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ttps://bridgeportedunet-my.sharepoint.com/personal/nnkwo_bridgeportedu_net/Documents/Documents/"/>
    </mc:Choice>
  </mc:AlternateContent>
  <xr:revisionPtr revIDLastSave="0" documentId="8_{AB54ECDA-284A-459D-B5E0-7490F1C5FAC5}" xr6:coauthVersionLast="47" xr6:coauthVersionMax="47" xr10:uidLastSave="{00000000-0000-0000-0000-000000000000}"/>
  <bookViews>
    <workbookView xWindow="-120" yWindow="-120" windowWidth="29040" windowHeight="15720" xr2:uid="{00000000-000D-0000-FFFF-FFFF00000000}"/>
  </bookViews>
  <sheets>
    <sheet name="1 Oper Budget Approp" sheetId="135" r:id="rId1"/>
    <sheet name="2 OPBUD Summary" sheetId="1" r:id="rId2"/>
    <sheet name="3 OPBUD_Detail" sheetId="113" r:id="rId3"/>
    <sheet name="4 GRANTS" sheetId="264" r:id="rId4"/>
    <sheet name="5 Grant Profile" sheetId="245" r:id="rId5"/>
    <sheet name="6 FNS Budget" sheetId="263" r:id="rId6"/>
    <sheet name="SchLocTable" sheetId="11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'3 OPBUD_Detail'!$A$126:$O$126</definedName>
    <definedName name="_xlnm._FilterDatabase" localSheetId="3" hidden="1">'4 GRANTS'!$Q$5:$R$8</definedName>
    <definedName name="_xlnm._FilterDatabase" localSheetId="4" hidden="1">'5 Grant Profile'!$A$7:$G$257</definedName>
    <definedName name="Area" localSheetId="5">[1]MENU!$A$19:$A$37</definedName>
    <definedName name="Area">[2]MENU!$A$19:$A$37</definedName>
    <definedName name="Auditrubric">[3]Sheet1!$B$3:$B$7</definedName>
    <definedName name="Locations" localSheetId="0">[4]SchLocTable!#REF!</definedName>
    <definedName name="Locations" localSheetId="3">[5]SchLocTable!#REF!</definedName>
    <definedName name="Locations" localSheetId="4">[5]SchLocTable!#REF!</definedName>
    <definedName name="Locations" localSheetId="5">[6]SchLocTable!#REF!</definedName>
    <definedName name="Locations" localSheetId="6">SchLocTable!#REF!</definedName>
    <definedName name="Locations">[5]SchLocTable!#REF!</definedName>
    <definedName name="MidGrades" localSheetId="3">[7]MENU!$A$40:$A$45</definedName>
    <definedName name="MidGrades">[7]MENU!$A$40:$A$45</definedName>
    <definedName name="MidGrades1" localSheetId="5">[8]MENU!$A$39:$A$44</definedName>
    <definedName name="MidGrades1">[9]MENU!$A$39:$A$44</definedName>
    <definedName name="MidSubjects" localSheetId="5">[10]MENU!$A$43:$A$48</definedName>
    <definedName name="MidSubjects">[11]MENU!$A$43:$A$48</definedName>
    <definedName name="Personnel" localSheetId="5">[12]MENU!$A$2:$A$12</definedName>
    <definedName name="Personnel">[13]MENU!$A$2:$A$12</definedName>
    <definedName name="PositionTitles" localSheetId="5">[14]MENU!$A$2:$A$7</definedName>
    <definedName name="PositionTitles">[15]MENU!$A$2:$A$7</definedName>
    <definedName name="PrepEnhance" localSheetId="3">[16]MENU!$A$17:$A$35</definedName>
    <definedName name="PrepEnhance">[16]MENU!$A$17:$A$35</definedName>
    <definedName name="PrepEnhance1" localSheetId="5">[17]MENU!$A$15:$A$33</definedName>
    <definedName name="PrepEnhance1">[18]MENU!$A$15:$A$33</definedName>
    <definedName name="_xlnm.Print_Area" localSheetId="0">'1 Oper Budget Approp'!$A$1:$P$188</definedName>
    <definedName name="_xlnm.Print_Area" localSheetId="3">'4 GRANTS'!$A$1:$Q$265</definedName>
    <definedName name="_xlnm.Print_Area" localSheetId="4">'5 Grant Profile'!$A$1:$G$260</definedName>
    <definedName name="_xlnm.Print_Area" localSheetId="5">'6 FNS Budget'!$A$1:$S$106</definedName>
    <definedName name="_xlnm.Print_Titles" localSheetId="0">'1 Oper Budget Approp'!$1:$4</definedName>
    <definedName name="_xlnm.Print_Titles" localSheetId="1">'2 OPBUD Summary'!$1:$7</definedName>
    <definedName name="_xlnm.Print_Titles" localSheetId="3">'4 GRANTS'!$1:$5</definedName>
    <definedName name="_xlnm.Print_Titles" localSheetId="4">'5 Grant Profile'!$1:$7</definedName>
    <definedName name="_xlnm.Print_Titles" localSheetId="5">'6 FNS Budget'!$1:$6</definedName>
    <definedName name="ReasonCode" localSheetId="5">[10]MENU!$A$2:$A$13</definedName>
    <definedName name="ReasonCode">[11]MENU!$A$2:$A$13</definedName>
    <definedName name="ReasonCodes" localSheetId="5">[19]ReasonTable2!$A$2:$A$9</definedName>
    <definedName name="ReasonCodes">[20]ReasonTable2!$A$2:$A$9</definedName>
    <definedName name="Reasons" localSheetId="3">[16]MENU!$A$2:$A$10</definedName>
    <definedName name="Reasons">[16]MENU!$A$2:$A$10</definedName>
    <definedName name="Reasons1" localSheetId="5">[21]MENU!$A$2:$A$11</definedName>
    <definedName name="Reasons1">[22]MENU!$A$2:$A$11</definedName>
    <definedName name="School" localSheetId="5">[12]MENU_Schools!$A$2:$A$37</definedName>
    <definedName name="School">[13]MENU_Schools!$A$2:$A$37</definedName>
    <definedName name="Special" localSheetId="5">[23]MENU!$A$20:$A$38</definedName>
    <definedName name="Special">[24]MENU!$A$20:$A$38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136" i="113" l="1"/>
  <c r="O4126" i="113" s="1"/>
  <c r="F292" i="245"/>
  <c r="E292" i="245"/>
  <c r="D292" i="245"/>
  <c r="C292" i="245"/>
  <c r="K210" i="264"/>
  <c r="L208" i="264"/>
  <c r="I208" i="264"/>
  <c r="P207" i="264"/>
  <c r="L207" i="264"/>
  <c r="I207" i="264"/>
  <c r="O207" i="264" s="1"/>
  <c r="M207" i="264" s="1"/>
  <c r="O206" i="264"/>
  <c r="M206" i="264" s="1"/>
  <c r="N206" i="264"/>
  <c r="L206" i="264"/>
  <c r="I206" i="264"/>
  <c r="O205" i="264"/>
  <c r="M205" i="264" s="1"/>
  <c r="N205" i="264"/>
  <c r="L205" i="264"/>
  <c r="I205" i="264"/>
  <c r="L204" i="264"/>
  <c r="I204" i="264"/>
  <c r="P203" i="264"/>
  <c r="L203" i="264"/>
  <c r="I203" i="264"/>
  <c r="O203" i="264" s="1"/>
  <c r="M203" i="264" s="1"/>
  <c r="O202" i="264"/>
  <c r="M202" i="264" s="1"/>
  <c r="N202" i="264"/>
  <c r="L202" i="264"/>
  <c r="I202" i="264"/>
  <c r="O201" i="264"/>
  <c r="M201" i="264" s="1"/>
  <c r="N201" i="264"/>
  <c r="L201" i="264"/>
  <c r="I201" i="264"/>
  <c r="L200" i="264"/>
  <c r="I200" i="264"/>
  <c r="P199" i="264"/>
  <c r="L199" i="264"/>
  <c r="I199" i="264"/>
  <c r="O199" i="264" s="1"/>
  <c r="M199" i="264" s="1"/>
  <c r="O198" i="264"/>
  <c r="M198" i="264" s="1"/>
  <c r="N198" i="264"/>
  <c r="L198" i="264"/>
  <c r="I198" i="264"/>
  <c r="O197" i="264"/>
  <c r="M197" i="264" s="1"/>
  <c r="N197" i="264"/>
  <c r="L197" i="264"/>
  <c r="I197" i="264"/>
  <c r="L196" i="264"/>
  <c r="I196" i="264"/>
  <c r="P195" i="264"/>
  <c r="L195" i="264"/>
  <c r="I195" i="264"/>
  <c r="O195" i="264" s="1"/>
  <c r="M195" i="264" s="1"/>
  <c r="O194" i="264"/>
  <c r="M194" i="264" s="1"/>
  <c r="N194" i="264"/>
  <c r="L194" i="264"/>
  <c r="I194" i="264"/>
  <c r="O193" i="264"/>
  <c r="M193" i="264" s="1"/>
  <c r="N193" i="264"/>
  <c r="L193" i="264"/>
  <c r="I193" i="264"/>
  <c r="L192" i="264"/>
  <c r="I192" i="264"/>
  <c r="P191" i="264"/>
  <c r="J191" i="264"/>
  <c r="L191" i="264" s="1"/>
  <c r="I191" i="264"/>
  <c r="O191" i="264" s="1"/>
  <c r="M191" i="264" s="1"/>
  <c r="O190" i="264"/>
  <c r="M190" i="264" s="1"/>
  <c r="L190" i="264"/>
  <c r="I190" i="264"/>
  <c r="N190" i="264" s="1"/>
  <c r="O189" i="264"/>
  <c r="N189" i="264"/>
  <c r="L189" i="264"/>
  <c r="I189" i="264"/>
  <c r="L188" i="264"/>
  <c r="I188" i="264"/>
  <c r="L187" i="264"/>
  <c r="I187" i="264"/>
  <c r="O186" i="264"/>
  <c r="M186" i="264" s="1"/>
  <c r="N186" i="264"/>
  <c r="L186" i="264"/>
  <c r="I186" i="264"/>
  <c r="P185" i="264"/>
  <c r="O185" i="264"/>
  <c r="M185" i="264" s="1"/>
  <c r="N185" i="264"/>
  <c r="L185" i="264"/>
  <c r="J185" i="264"/>
  <c r="I185" i="264"/>
  <c r="O184" i="264"/>
  <c r="M184" i="264" s="1"/>
  <c r="N184" i="264"/>
  <c r="L184" i="264"/>
  <c r="I184" i="264"/>
  <c r="L183" i="264"/>
  <c r="N183" i="264" s="1"/>
  <c r="I183" i="264"/>
  <c r="P182" i="264"/>
  <c r="L182" i="264"/>
  <c r="N182" i="264" s="1"/>
  <c r="I182" i="264"/>
  <c r="O182" i="264" s="1"/>
  <c r="M182" i="264" s="1"/>
  <c r="P181" i="264"/>
  <c r="O181" i="264"/>
  <c r="M181" i="264" s="1"/>
  <c r="N181" i="264"/>
  <c r="L181" i="264"/>
  <c r="I181" i="264"/>
  <c r="O180" i="264"/>
  <c r="M180" i="264" s="1"/>
  <c r="N180" i="264"/>
  <c r="L180" i="264"/>
  <c r="J180" i="264"/>
  <c r="I180" i="264"/>
  <c r="L179" i="264"/>
  <c r="I179" i="264"/>
  <c r="L178" i="264"/>
  <c r="I178" i="264"/>
  <c r="O177" i="264"/>
  <c r="M177" i="264" s="1"/>
  <c r="N177" i="264"/>
  <c r="L177" i="264"/>
  <c r="I177" i="264"/>
  <c r="P176" i="264"/>
  <c r="O176" i="264"/>
  <c r="M176" i="264" s="1"/>
  <c r="N176" i="264"/>
  <c r="L176" i="264"/>
  <c r="I176" i="264"/>
  <c r="L175" i="264"/>
  <c r="N175" i="264" s="1"/>
  <c r="I175" i="264"/>
  <c r="L174" i="264"/>
  <c r="H174" i="264"/>
  <c r="I174" i="264" s="1"/>
  <c r="L173" i="264"/>
  <c r="I173" i="264"/>
  <c r="O173" i="264" s="1"/>
  <c r="M173" i="264" s="1"/>
  <c r="L172" i="264"/>
  <c r="H172" i="264"/>
  <c r="I172" i="264" s="1"/>
  <c r="O172" i="264" s="1"/>
  <c r="M172" i="264" s="1"/>
  <c r="P171" i="264"/>
  <c r="O171" i="264"/>
  <c r="N171" i="264"/>
  <c r="M171" i="264"/>
  <c r="L171" i="264"/>
  <c r="I171" i="264"/>
  <c r="L170" i="264"/>
  <c r="N170" i="264" s="1"/>
  <c r="I170" i="264"/>
  <c r="L169" i="264"/>
  <c r="I169" i="264"/>
  <c r="O168" i="264"/>
  <c r="M168" i="264" s="1"/>
  <c r="L168" i="264"/>
  <c r="N168" i="264" s="1"/>
  <c r="I168" i="264"/>
  <c r="P167" i="264"/>
  <c r="O167" i="264"/>
  <c r="N167" i="264"/>
  <c r="M167" i="264"/>
  <c r="L167" i="264"/>
  <c r="I167" i="264"/>
  <c r="L166" i="264"/>
  <c r="N166" i="264" s="1"/>
  <c r="I166" i="264"/>
  <c r="L165" i="264"/>
  <c r="I165" i="264"/>
  <c r="O164" i="264"/>
  <c r="M164" i="264" s="1"/>
  <c r="L164" i="264"/>
  <c r="N164" i="264" s="1"/>
  <c r="I164" i="264"/>
  <c r="P163" i="264"/>
  <c r="O163" i="264"/>
  <c r="N163" i="264"/>
  <c r="M163" i="264"/>
  <c r="L163" i="264"/>
  <c r="I163" i="264"/>
  <c r="L162" i="264"/>
  <c r="N162" i="264" s="1"/>
  <c r="I162" i="264"/>
  <c r="L161" i="264"/>
  <c r="I161" i="264"/>
  <c r="O160" i="264"/>
  <c r="M160" i="264" s="1"/>
  <c r="L160" i="264"/>
  <c r="N160" i="264" s="1"/>
  <c r="I160" i="264"/>
  <c r="P159" i="264"/>
  <c r="O159" i="264"/>
  <c r="N159" i="264"/>
  <c r="M159" i="264"/>
  <c r="L159" i="264"/>
  <c r="I159" i="264"/>
  <c r="L158" i="264"/>
  <c r="N158" i="264" s="1"/>
  <c r="I158" i="264"/>
  <c r="L157" i="264"/>
  <c r="I157" i="264"/>
  <c r="G157" i="264"/>
  <c r="G210" i="264" s="1"/>
  <c r="L156" i="264"/>
  <c r="I156" i="264"/>
  <c r="O156" i="264" s="1"/>
  <c r="M156" i="264" s="1"/>
  <c r="P155" i="264"/>
  <c r="O155" i="264"/>
  <c r="M155" i="264" s="1"/>
  <c r="N155" i="264"/>
  <c r="L155" i="264"/>
  <c r="I155" i="264"/>
  <c r="O154" i="264"/>
  <c r="L154" i="264"/>
  <c r="N154" i="264" s="1"/>
  <c r="I154" i="264"/>
  <c r="P154" i="264" s="1"/>
  <c r="L153" i="264"/>
  <c r="N153" i="264" s="1"/>
  <c r="I153" i="264"/>
  <c r="L152" i="264"/>
  <c r="I152" i="264"/>
  <c r="O152" i="264" s="1"/>
  <c r="M152" i="264" s="1"/>
  <c r="P151" i="264"/>
  <c r="O151" i="264"/>
  <c r="M151" i="264" s="1"/>
  <c r="N151" i="264"/>
  <c r="L151" i="264"/>
  <c r="I151" i="264"/>
  <c r="O150" i="264"/>
  <c r="L150" i="264"/>
  <c r="N150" i="264" s="1"/>
  <c r="I150" i="264"/>
  <c r="P150" i="264" s="1"/>
  <c r="L149" i="264"/>
  <c r="N149" i="264" s="1"/>
  <c r="I149" i="264"/>
  <c r="L148" i="264"/>
  <c r="I148" i="264"/>
  <c r="P147" i="264"/>
  <c r="O147" i="264"/>
  <c r="M147" i="264" s="1"/>
  <c r="N147" i="264"/>
  <c r="L147" i="264"/>
  <c r="I147" i="264"/>
  <c r="O146" i="264"/>
  <c r="L146" i="264"/>
  <c r="N146" i="264" s="1"/>
  <c r="I146" i="264"/>
  <c r="P146" i="264" s="1"/>
  <c r="L145" i="264"/>
  <c r="N145" i="264" s="1"/>
  <c r="I145" i="264"/>
  <c r="L144" i="264"/>
  <c r="I144" i="264"/>
  <c r="P143" i="264"/>
  <c r="O143" i="264"/>
  <c r="M143" i="264" s="1"/>
  <c r="N143" i="264"/>
  <c r="L143" i="264"/>
  <c r="I143" i="264"/>
  <c r="O142" i="264"/>
  <c r="L142" i="264"/>
  <c r="N142" i="264" s="1"/>
  <c r="I142" i="264"/>
  <c r="P142" i="264" s="1"/>
  <c r="L141" i="264"/>
  <c r="N141" i="264" s="1"/>
  <c r="I141" i="264"/>
  <c r="L140" i="264"/>
  <c r="I140" i="264"/>
  <c r="O140" i="264" s="1"/>
  <c r="M140" i="264" s="1"/>
  <c r="P139" i="264"/>
  <c r="O139" i="264"/>
  <c r="M139" i="264"/>
  <c r="L139" i="264"/>
  <c r="I139" i="264"/>
  <c r="L138" i="264"/>
  <c r="N138" i="264" s="1"/>
  <c r="I138" i="264"/>
  <c r="L137" i="264"/>
  <c r="I137" i="264"/>
  <c r="P136" i="264"/>
  <c r="O136" i="264"/>
  <c r="M136" i="264" s="1"/>
  <c r="L136" i="264"/>
  <c r="N136" i="264" s="1"/>
  <c r="I136" i="264"/>
  <c r="O135" i="264"/>
  <c r="P135" i="264" s="1"/>
  <c r="N135" i="264"/>
  <c r="M135" i="264"/>
  <c r="L135" i="264"/>
  <c r="I135" i="264"/>
  <c r="L134" i="264"/>
  <c r="N134" i="264" s="1"/>
  <c r="I134" i="264"/>
  <c r="L133" i="264"/>
  <c r="I133" i="264"/>
  <c r="P132" i="264"/>
  <c r="O132" i="264"/>
  <c r="M132" i="264" s="1"/>
  <c r="L132" i="264"/>
  <c r="L131" i="264"/>
  <c r="N131" i="264" s="1"/>
  <c r="I131" i="264"/>
  <c r="L130" i="264"/>
  <c r="I130" i="264"/>
  <c r="O129" i="264"/>
  <c r="M129" i="264" s="1"/>
  <c r="L129" i="264"/>
  <c r="I129" i="264"/>
  <c r="N129" i="264" s="1"/>
  <c r="P128" i="264"/>
  <c r="O128" i="264"/>
  <c r="N128" i="264"/>
  <c r="M128" i="264"/>
  <c r="L128" i="264"/>
  <c r="I128" i="264"/>
  <c r="L127" i="264"/>
  <c r="N127" i="264" s="1"/>
  <c r="I127" i="264"/>
  <c r="L126" i="264"/>
  <c r="I126" i="264"/>
  <c r="O125" i="264"/>
  <c r="M125" i="264" s="1"/>
  <c r="L125" i="264"/>
  <c r="I125" i="264"/>
  <c r="N125" i="264" s="1"/>
  <c r="P124" i="264"/>
  <c r="O124" i="264"/>
  <c r="N124" i="264"/>
  <c r="M124" i="264"/>
  <c r="L124" i="264"/>
  <c r="I124" i="264"/>
  <c r="L123" i="264"/>
  <c r="N123" i="264" s="1"/>
  <c r="I123" i="264"/>
  <c r="L122" i="264"/>
  <c r="I122" i="264"/>
  <c r="O121" i="264"/>
  <c r="M121" i="264" s="1"/>
  <c r="L121" i="264"/>
  <c r="I121" i="264"/>
  <c r="N121" i="264" s="1"/>
  <c r="P120" i="264"/>
  <c r="O120" i="264"/>
  <c r="N120" i="264"/>
  <c r="M120" i="264"/>
  <c r="L120" i="264"/>
  <c r="I120" i="264"/>
  <c r="L119" i="264"/>
  <c r="N119" i="264" s="1"/>
  <c r="I119" i="264"/>
  <c r="L118" i="264"/>
  <c r="I118" i="264"/>
  <c r="O117" i="264"/>
  <c r="M117" i="264" s="1"/>
  <c r="L117" i="264"/>
  <c r="I117" i="264"/>
  <c r="N117" i="264" s="1"/>
  <c r="P116" i="264"/>
  <c r="O116" i="264"/>
  <c r="N116" i="264"/>
  <c r="M116" i="264"/>
  <c r="L116" i="264"/>
  <c r="I116" i="264"/>
  <c r="L115" i="264"/>
  <c r="N115" i="264" s="1"/>
  <c r="I115" i="264"/>
  <c r="L114" i="264"/>
  <c r="I114" i="264"/>
  <c r="O113" i="264"/>
  <c r="M113" i="264" s="1"/>
  <c r="L113" i="264"/>
  <c r="I113" i="264"/>
  <c r="N113" i="264" s="1"/>
  <c r="P112" i="264"/>
  <c r="O112" i="264"/>
  <c r="N112" i="264"/>
  <c r="M112" i="264"/>
  <c r="L112" i="264"/>
  <c r="I112" i="264"/>
  <c r="L111" i="264"/>
  <c r="N111" i="264" s="1"/>
  <c r="I111" i="264"/>
  <c r="L110" i="264"/>
  <c r="I110" i="264"/>
  <c r="O109" i="264"/>
  <c r="M109" i="264" s="1"/>
  <c r="N109" i="264"/>
  <c r="L109" i="264"/>
  <c r="I109" i="264"/>
  <c r="O108" i="264"/>
  <c r="P108" i="264" s="1"/>
  <c r="N108" i="264"/>
  <c r="M108" i="264"/>
  <c r="L108" i="264"/>
  <c r="I108" i="264"/>
  <c r="L107" i="264"/>
  <c r="I107" i="264"/>
  <c r="L106" i="264"/>
  <c r="I106" i="264"/>
  <c r="O105" i="264"/>
  <c r="M105" i="264" s="1"/>
  <c r="N105" i="264"/>
  <c r="L105" i="264"/>
  <c r="I105" i="264"/>
  <c r="O104" i="264"/>
  <c r="P104" i="264" s="1"/>
  <c r="N104" i="264"/>
  <c r="M104" i="264"/>
  <c r="L104" i="264"/>
  <c r="I104" i="264"/>
  <c r="L103" i="264"/>
  <c r="I103" i="264"/>
  <c r="L102" i="264"/>
  <c r="I102" i="264"/>
  <c r="O101" i="264"/>
  <c r="M101" i="264" s="1"/>
  <c r="N101" i="264"/>
  <c r="L101" i="264"/>
  <c r="I101" i="264"/>
  <c r="O100" i="264"/>
  <c r="P100" i="264" s="1"/>
  <c r="N100" i="264"/>
  <c r="M100" i="264"/>
  <c r="L100" i="264"/>
  <c r="I100" i="264"/>
  <c r="L99" i="264"/>
  <c r="I99" i="264"/>
  <c r="L98" i="264"/>
  <c r="I98" i="264"/>
  <c r="O97" i="264"/>
  <c r="M97" i="264" s="1"/>
  <c r="N97" i="264"/>
  <c r="L97" i="264"/>
  <c r="I97" i="264"/>
  <c r="O96" i="264"/>
  <c r="P96" i="264" s="1"/>
  <c r="N96" i="264"/>
  <c r="M96" i="264"/>
  <c r="L96" i="264"/>
  <c r="I96" i="264"/>
  <c r="L95" i="264"/>
  <c r="I95" i="264"/>
  <c r="L94" i="264"/>
  <c r="I94" i="264"/>
  <c r="O93" i="264"/>
  <c r="M93" i="264" s="1"/>
  <c r="N93" i="264"/>
  <c r="L93" i="264"/>
  <c r="I93" i="264"/>
  <c r="O92" i="264"/>
  <c r="P92" i="264" s="1"/>
  <c r="N92" i="264"/>
  <c r="M92" i="264"/>
  <c r="L92" i="264"/>
  <c r="I92" i="264"/>
  <c r="L91" i="264"/>
  <c r="I91" i="264"/>
  <c r="L90" i="264"/>
  <c r="I90" i="264"/>
  <c r="O89" i="264"/>
  <c r="M89" i="264" s="1"/>
  <c r="N89" i="264"/>
  <c r="L89" i="264"/>
  <c r="I89" i="264"/>
  <c r="O88" i="264"/>
  <c r="P88" i="264" s="1"/>
  <c r="N88" i="264"/>
  <c r="M88" i="264"/>
  <c r="L88" i="264"/>
  <c r="I88" i="264"/>
  <c r="L87" i="264"/>
  <c r="I87" i="264"/>
  <c r="L86" i="264"/>
  <c r="I86" i="264"/>
  <c r="O85" i="264"/>
  <c r="M85" i="264" s="1"/>
  <c r="N85" i="264"/>
  <c r="L85" i="264"/>
  <c r="J85" i="264"/>
  <c r="I85" i="264"/>
  <c r="O84" i="264"/>
  <c r="N84" i="264"/>
  <c r="L84" i="264"/>
  <c r="I84" i="264"/>
  <c r="L83" i="264"/>
  <c r="N83" i="264" s="1"/>
  <c r="I83" i="264"/>
  <c r="L82" i="264"/>
  <c r="I82" i="264"/>
  <c r="O81" i="264"/>
  <c r="M81" i="264" s="1"/>
  <c r="L81" i="264"/>
  <c r="N81" i="264" s="1"/>
  <c r="I81" i="264"/>
  <c r="O80" i="264"/>
  <c r="N80" i="264"/>
  <c r="L80" i="264"/>
  <c r="I80" i="264"/>
  <c r="L79" i="264"/>
  <c r="I79" i="264"/>
  <c r="L78" i="264"/>
  <c r="I78" i="264"/>
  <c r="O77" i="264"/>
  <c r="M77" i="264" s="1"/>
  <c r="L77" i="264"/>
  <c r="N77" i="264" s="1"/>
  <c r="I77" i="264"/>
  <c r="O76" i="264"/>
  <c r="N76" i="264"/>
  <c r="L76" i="264"/>
  <c r="I76" i="264"/>
  <c r="L75" i="264"/>
  <c r="N75" i="264" s="1"/>
  <c r="I75" i="264"/>
  <c r="L74" i="264"/>
  <c r="I74" i="264"/>
  <c r="O73" i="264"/>
  <c r="M73" i="264" s="1"/>
  <c r="L73" i="264"/>
  <c r="N73" i="264" s="1"/>
  <c r="I73" i="264"/>
  <c r="O72" i="264"/>
  <c r="N72" i="264"/>
  <c r="L72" i="264"/>
  <c r="I72" i="264"/>
  <c r="L71" i="264"/>
  <c r="I71" i="264"/>
  <c r="L70" i="264"/>
  <c r="I70" i="264"/>
  <c r="O69" i="264"/>
  <c r="M69" i="264" s="1"/>
  <c r="L69" i="264"/>
  <c r="N69" i="264" s="1"/>
  <c r="I69" i="264"/>
  <c r="O68" i="264"/>
  <c r="N68" i="264"/>
  <c r="L68" i="264"/>
  <c r="I68" i="264"/>
  <c r="L67" i="264"/>
  <c r="N67" i="264" s="1"/>
  <c r="I67" i="264"/>
  <c r="J66" i="264"/>
  <c r="L66" i="264" s="1"/>
  <c r="N66" i="264" s="1"/>
  <c r="I66" i="264"/>
  <c r="L65" i="264"/>
  <c r="N65" i="264" s="1"/>
  <c r="I65" i="264"/>
  <c r="O65" i="264" s="1"/>
  <c r="M65" i="264" s="1"/>
  <c r="O64" i="264"/>
  <c r="N64" i="264"/>
  <c r="L64" i="264"/>
  <c r="I64" i="264"/>
  <c r="O63" i="264"/>
  <c r="P63" i="264" s="1"/>
  <c r="L63" i="264"/>
  <c r="N63" i="264" s="1"/>
  <c r="I63" i="264"/>
  <c r="L62" i="264"/>
  <c r="N62" i="264" s="1"/>
  <c r="I62" i="264"/>
  <c r="L61" i="264"/>
  <c r="N61" i="264" s="1"/>
  <c r="I61" i="264"/>
  <c r="O61" i="264" s="1"/>
  <c r="M61" i="264" s="1"/>
  <c r="O60" i="264"/>
  <c r="N60" i="264"/>
  <c r="L60" i="264"/>
  <c r="K60" i="264"/>
  <c r="I60" i="264"/>
  <c r="P59" i="264"/>
  <c r="O59" i="264"/>
  <c r="N59" i="264"/>
  <c r="M59" i="264"/>
  <c r="K59" i="264"/>
  <c r="L59" i="264" s="1"/>
  <c r="I59" i="264"/>
  <c r="O58" i="264"/>
  <c r="P58" i="264" s="1"/>
  <c r="M58" i="264"/>
  <c r="L58" i="264"/>
  <c r="N58" i="264" s="1"/>
  <c r="I58" i="264"/>
  <c r="L57" i="264"/>
  <c r="I57" i="264"/>
  <c r="L56" i="264"/>
  <c r="I56" i="264"/>
  <c r="O56" i="264" s="1"/>
  <c r="M56" i="264" s="1"/>
  <c r="O55" i="264"/>
  <c r="M55" i="264" s="1"/>
  <c r="N55" i="264"/>
  <c r="L55" i="264"/>
  <c r="I55" i="264"/>
  <c r="O54" i="264"/>
  <c r="P54" i="264" s="1"/>
  <c r="M54" i="264"/>
  <c r="L54" i="264"/>
  <c r="N54" i="264" s="1"/>
  <c r="I54" i="264"/>
  <c r="L53" i="264"/>
  <c r="I53" i="264"/>
  <c r="L52" i="264"/>
  <c r="N52" i="264" s="1"/>
  <c r="I52" i="264"/>
  <c r="O52" i="264" s="1"/>
  <c r="R51" i="264"/>
  <c r="L51" i="264"/>
  <c r="I51" i="264"/>
  <c r="O51" i="264" s="1"/>
  <c r="M51" i="264" s="1"/>
  <c r="P50" i="264"/>
  <c r="O50" i="264"/>
  <c r="N50" i="264"/>
  <c r="M50" i="264"/>
  <c r="L50" i="264"/>
  <c r="I50" i="264"/>
  <c r="I49" i="264"/>
  <c r="P48" i="264"/>
  <c r="N48" i="264"/>
  <c r="L48" i="264"/>
  <c r="I48" i="264"/>
  <c r="O48" i="264" s="1"/>
  <c r="M48" i="264" s="1"/>
  <c r="L47" i="264"/>
  <c r="I47" i="264"/>
  <c r="L46" i="264"/>
  <c r="N46" i="264" s="1"/>
  <c r="I46" i="264"/>
  <c r="O45" i="264"/>
  <c r="L45" i="264"/>
  <c r="N45" i="264" s="1"/>
  <c r="I45" i="264"/>
  <c r="P44" i="264"/>
  <c r="O44" i="264"/>
  <c r="N44" i="264"/>
  <c r="M44" i="264"/>
  <c r="L44" i="264"/>
  <c r="I44" i="264"/>
  <c r="L43" i="264"/>
  <c r="I43" i="264"/>
  <c r="N42" i="264"/>
  <c r="I42" i="264"/>
  <c r="O42" i="264" s="1"/>
  <c r="M42" i="264" s="1"/>
  <c r="P41" i="264"/>
  <c r="O41" i="264"/>
  <c r="N41" i="264"/>
  <c r="M41" i="264"/>
  <c r="I41" i="264"/>
  <c r="L40" i="264"/>
  <c r="N40" i="264" s="1"/>
  <c r="I40" i="264"/>
  <c r="P39" i="264"/>
  <c r="L39" i="264"/>
  <c r="I39" i="264"/>
  <c r="O39" i="264" s="1"/>
  <c r="M39" i="264" s="1"/>
  <c r="O38" i="264"/>
  <c r="M38" i="264" s="1"/>
  <c r="N38" i="264"/>
  <c r="L38" i="264"/>
  <c r="I38" i="264"/>
  <c r="O37" i="264"/>
  <c r="P37" i="264" s="1"/>
  <c r="L37" i="264"/>
  <c r="I37" i="264"/>
  <c r="L36" i="264"/>
  <c r="N36" i="264" s="1"/>
  <c r="I36" i="264"/>
  <c r="L35" i="264"/>
  <c r="I35" i="264"/>
  <c r="O35" i="264" s="1"/>
  <c r="M35" i="264" s="1"/>
  <c r="O34" i="264"/>
  <c r="M34" i="264" s="1"/>
  <c r="N34" i="264"/>
  <c r="L34" i="264"/>
  <c r="I34" i="264"/>
  <c r="O33" i="264"/>
  <c r="P33" i="264" s="1"/>
  <c r="L33" i="264"/>
  <c r="I33" i="264"/>
  <c r="L32" i="264"/>
  <c r="N32" i="264" s="1"/>
  <c r="I32" i="264"/>
  <c r="P31" i="264"/>
  <c r="L31" i="264"/>
  <c r="I31" i="264"/>
  <c r="O31" i="264" s="1"/>
  <c r="M31" i="264" s="1"/>
  <c r="O30" i="264"/>
  <c r="M30" i="264" s="1"/>
  <c r="N30" i="264"/>
  <c r="L30" i="264"/>
  <c r="I30" i="264"/>
  <c r="O29" i="264"/>
  <c r="P29" i="264" s="1"/>
  <c r="L29" i="264"/>
  <c r="I29" i="264"/>
  <c r="L28" i="264"/>
  <c r="N28" i="264" s="1"/>
  <c r="I28" i="264"/>
  <c r="L27" i="264"/>
  <c r="I27" i="264"/>
  <c r="O27" i="264" s="1"/>
  <c r="M27" i="264" s="1"/>
  <c r="O26" i="264"/>
  <c r="N26" i="264"/>
  <c r="L26" i="264"/>
  <c r="I26" i="264"/>
  <c r="P24" i="264"/>
  <c r="O24" i="264"/>
  <c r="N24" i="264"/>
  <c r="M24" i="264"/>
  <c r="L24" i="264"/>
  <c r="I24" i="264"/>
  <c r="L23" i="264"/>
  <c r="I23" i="264"/>
  <c r="L22" i="264"/>
  <c r="N22" i="264" s="1"/>
  <c r="I22" i="264"/>
  <c r="O21" i="264"/>
  <c r="M21" i="264" s="1"/>
  <c r="L21" i="264"/>
  <c r="N21" i="264" s="1"/>
  <c r="I21" i="264"/>
  <c r="P20" i="264"/>
  <c r="O20" i="264"/>
  <c r="J20" i="264"/>
  <c r="L20" i="264" s="1"/>
  <c r="N20" i="264" s="1"/>
  <c r="I20" i="264"/>
  <c r="O19" i="264"/>
  <c r="L19" i="264"/>
  <c r="J19" i="264"/>
  <c r="J210" i="264" s="1"/>
  <c r="I19" i="264"/>
  <c r="P19" i="264" s="1"/>
  <c r="L18" i="264"/>
  <c r="N18" i="264" s="1"/>
  <c r="I18" i="264"/>
  <c r="L17" i="264"/>
  <c r="N17" i="264" s="1"/>
  <c r="I17" i="264"/>
  <c r="O16" i="264"/>
  <c r="L16" i="264"/>
  <c r="N16" i="264" s="1"/>
  <c r="I16" i="264"/>
  <c r="P15" i="264"/>
  <c r="O15" i="264"/>
  <c r="N15" i="264"/>
  <c r="M15" i="264"/>
  <c r="L15" i="264"/>
  <c r="I15" i="264"/>
  <c r="L14" i="264"/>
  <c r="I14" i="264"/>
  <c r="L13" i="264"/>
  <c r="N13" i="264" s="1"/>
  <c r="I13" i="264"/>
  <c r="O12" i="264"/>
  <c r="L12" i="264"/>
  <c r="N12" i="264" s="1"/>
  <c r="I12" i="264"/>
  <c r="P11" i="264"/>
  <c r="O11" i="264"/>
  <c r="N11" i="264"/>
  <c r="M11" i="264"/>
  <c r="L11" i="264"/>
  <c r="I11" i="264"/>
  <c r="L10" i="264"/>
  <c r="I10" i="264"/>
  <c r="L9" i="264"/>
  <c r="N9" i="264" s="1"/>
  <c r="I9" i="264"/>
  <c r="O8" i="264"/>
  <c r="L8" i="264"/>
  <c r="N8" i="264" s="1"/>
  <c r="I8" i="264"/>
  <c r="P7" i="264"/>
  <c r="O7" i="264"/>
  <c r="N7" i="264"/>
  <c r="M7" i="264"/>
  <c r="L7" i="264"/>
  <c r="I7" i="264"/>
  <c r="L6" i="264"/>
  <c r="I6" i="264"/>
  <c r="N265" i="113"/>
  <c r="N4036" i="113"/>
  <c r="O120" i="113"/>
  <c r="I125" i="1"/>
  <c r="O4118" i="113"/>
  <c r="O4089" i="113"/>
  <c r="O4120" i="113" s="1"/>
  <c r="M4077" i="113"/>
  <c r="M4076" i="113"/>
  <c r="M4075" i="113"/>
  <c r="M4074" i="113"/>
  <c r="M4073" i="113"/>
  <c r="M4072" i="113"/>
  <c r="M4071" i="113"/>
  <c r="M4070" i="113"/>
  <c r="M4069" i="113"/>
  <c r="M4068" i="113"/>
  <c r="M4067" i="113"/>
  <c r="M4066" i="113"/>
  <c r="M4065" i="113"/>
  <c r="M4064" i="113"/>
  <c r="M4063" i="113"/>
  <c r="M4062" i="113"/>
  <c r="M4061" i="113"/>
  <c r="M4060" i="113"/>
  <c r="M4059" i="113"/>
  <c r="M4058" i="113"/>
  <c r="M4057" i="113"/>
  <c r="M4056" i="113"/>
  <c r="M4055" i="113"/>
  <c r="M4054" i="113"/>
  <c r="M4053" i="113"/>
  <c r="M4052" i="113"/>
  <c r="M4051" i="113"/>
  <c r="M4050" i="113"/>
  <c r="M4049" i="113"/>
  <c r="M4048" i="113"/>
  <c r="M4047" i="113"/>
  <c r="M4046" i="113"/>
  <c r="M4045" i="113"/>
  <c r="M4044" i="113"/>
  <c r="M4043" i="113"/>
  <c r="M4042" i="113"/>
  <c r="M4041" i="113"/>
  <c r="M4040" i="113"/>
  <c r="M4039" i="113"/>
  <c r="M4038" i="113"/>
  <c r="M4037" i="113"/>
  <c r="M4036" i="113"/>
  <c r="M4035" i="113"/>
  <c r="M4034" i="113"/>
  <c r="M4033" i="113"/>
  <c r="M4032" i="113"/>
  <c r="M4031" i="113"/>
  <c r="M4030" i="113"/>
  <c r="M4029" i="113"/>
  <c r="M4028" i="113"/>
  <c r="M4027" i="113"/>
  <c r="M4026" i="113"/>
  <c r="M4025" i="113"/>
  <c r="M4024" i="113"/>
  <c r="M4023" i="113"/>
  <c r="M4022" i="113"/>
  <c r="M4021" i="113"/>
  <c r="M4020" i="113"/>
  <c r="M4019" i="113"/>
  <c r="M4018" i="113"/>
  <c r="M4017" i="113"/>
  <c r="M4016" i="113"/>
  <c r="M4015" i="113"/>
  <c r="M4014" i="113"/>
  <c r="M4013" i="113"/>
  <c r="M4012" i="113"/>
  <c r="M4011" i="113"/>
  <c r="M4010" i="113"/>
  <c r="M4009" i="113"/>
  <c r="M4008" i="113"/>
  <c r="M4007" i="113"/>
  <c r="M4006" i="113"/>
  <c r="M4005" i="113"/>
  <c r="M4004" i="113"/>
  <c r="M4003" i="113"/>
  <c r="M4002" i="113"/>
  <c r="M4001" i="113"/>
  <c r="M4000" i="113"/>
  <c r="M3999" i="113"/>
  <c r="M3998" i="113"/>
  <c r="M3997" i="113"/>
  <c r="M3996" i="113"/>
  <c r="M3995" i="113"/>
  <c r="M3994" i="113"/>
  <c r="M3993" i="113"/>
  <c r="M3992" i="113"/>
  <c r="M3991" i="113"/>
  <c r="M3990" i="113"/>
  <c r="M3989" i="113"/>
  <c r="M3988" i="113"/>
  <c r="M3987" i="113"/>
  <c r="M3986" i="113"/>
  <c r="M3985" i="113"/>
  <c r="M3984" i="113"/>
  <c r="M3983" i="113"/>
  <c r="M3982" i="113"/>
  <c r="M3981" i="113"/>
  <c r="M3980" i="113"/>
  <c r="M3979" i="113"/>
  <c r="M3978" i="113"/>
  <c r="M3977" i="113"/>
  <c r="M3976" i="113"/>
  <c r="M3975" i="113"/>
  <c r="M3974" i="113"/>
  <c r="M3973" i="113"/>
  <c r="M3972" i="113"/>
  <c r="M3971" i="113"/>
  <c r="M3970" i="113"/>
  <c r="M3969" i="113"/>
  <c r="M3968" i="113"/>
  <c r="M3967" i="113"/>
  <c r="M3966" i="113"/>
  <c r="M3965" i="113"/>
  <c r="M3964" i="113"/>
  <c r="M3963" i="113"/>
  <c r="M3962" i="113"/>
  <c r="M3961" i="113"/>
  <c r="M3960" i="113"/>
  <c r="M3959" i="113"/>
  <c r="M3958" i="113"/>
  <c r="M3957" i="113"/>
  <c r="M3956" i="113"/>
  <c r="M3955" i="113"/>
  <c r="M3954" i="113"/>
  <c r="M3953" i="113"/>
  <c r="M3952" i="113"/>
  <c r="M3951" i="113"/>
  <c r="M3950" i="113"/>
  <c r="M3949" i="113"/>
  <c r="M3948" i="113"/>
  <c r="M3947" i="113"/>
  <c r="M3946" i="113"/>
  <c r="M3945" i="113"/>
  <c r="M3944" i="113"/>
  <c r="M3943" i="113"/>
  <c r="M3942" i="113"/>
  <c r="M3941" i="113"/>
  <c r="M3940" i="113"/>
  <c r="M3939" i="113"/>
  <c r="M3938" i="113"/>
  <c r="M3937" i="113"/>
  <c r="M3936" i="113"/>
  <c r="M3935" i="113"/>
  <c r="M3934" i="113"/>
  <c r="M3933" i="113"/>
  <c r="M3932" i="113"/>
  <c r="M3931" i="113"/>
  <c r="M3930" i="113"/>
  <c r="M3929" i="113"/>
  <c r="M3928" i="113"/>
  <c r="M3927" i="113"/>
  <c r="M3926" i="113"/>
  <c r="M3925" i="113"/>
  <c r="M3924" i="113"/>
  <c r="M3923" i="113"/>
  <c r="M3922" i="113"/>
  <c r="M3921" i="113"/>
  <c r="M3920" i="113"/>
  <c r="M3919" i="113"/>
  <c r="M3918" i="113"/>
  <c r="M3917" i="113"/>
  <c r="M3916" i="113"/>
  <c r="M3915" i="113"/>
  <c r="M3914" i="113"/>
  <c r="M3913" i="113"/>
  <c r="M3912" i="113"/>
  <c r="M3911" i="113"/>
  <c r="M3910" i="113"/>
  <c r="M3909" i="113"/>
  <c r="M3908" i="113"/>
  <c r="M3907" i="113"/>
  <c r="M3906" i="113"/>
  <c r="M3905" i="113"/>
  <c r="M3904" i="113"/>
  <c r="M3903" i="113"/>
  <c r="M3902" i="113"/>
  <c r="M3901" i="113"/>
  <c r="M3900" i="113"/>
  <c r="M3899" i="113"/>
  <c r="M3898" i="113"/>
  <c r="M3897" i="113"/>
  <c r="M3896" i="113"/>
  <c r="M3895" i="113"/>
  <c r="M3894" i="113"/>
  <c r="M3893" i="113"/>
  <c r="M3892" i="113"/>
  <c r="M3891" i="113"/>
  <c r="M3890" i="113"/>
  <c r="M3889" i="113"/>
  <c r="M3888" i="113"/>
  <c r="M3887" i="113"/>
  <c r="M3886" i="113"/>
  <c r="M3885" i="113"/>
  <c r="M3884" i="113"/>
  <c r="M3883" i="113"/>
  <c r="M3882" i="113"/>
  <c r="M3881" i="113"/>
  <c r="M3880" i="113"/>
  <c r="M3879" i="113"/>
  <c r="M3878" i="113"/>
  <c r="M3877" i="113"/>
  <c r="M3876" i="113"/>
  <c r="M3875" i="113"/>
  <c r="M3874" i="113"/>
  <c r="M3873" i="113"/>
  <c r="M3872" i="113"/>
  <c r="M3871" i="113"/>
  <c r="M3870" i="113"/>
  <c r="M3869" i="113"/>
  <c r="M3868" i="113"/>
  <c r="M3867" i="113"/>
  <c r="M3866" i="113"/>
  <c r="M3865" i="113"/>
  <c r="M3864" i="113"/>
  <c r="M3863" i="113"/>
  <c r="M3862" i="113"/>
  <c r="M3861" i="113"/>
  <c r="M3860" i="113"/>
  <c r="M3859" i="113"/>
  <c r="M3858" i="113"/>
  <c r="M3857" i="113"/>
  <c r="M3856" i="113"/>
  <c r="M3855" i="113"/>
  <c r="M3854" i="113"/>
  <c r="M3853" i="113"/>
  <c r="M3852" i="113"/>
  <c r="M3851" i="113"/>
  <c r="M3850" i="113"/>
  <c r="M3849" i="113"/>
  <c r="M3848" i="113"/>
  <c r="M3847" i="113"/>
  <c r="M3846" i="113"/>
  <c r="M3845" i="113"/>
  <c r="M3844" i="113"/>
  <c r="M3843" i="113"/>
  <c r="M3842" i="113"/>
  <c r="M3841" i="113"/>
  <c r="M3840" i="113"/>
  <c r="M3839" i="113"/>
  <c r="M3838" i="113"/>
  <c r="M3837" i="113"/>
  <c r="M3836" i="113"/>
  <c r="M3835" i="113"/>
  <c r="M3834" i="113"/>
  <c r="M3833" i="113"/>
  <c r="M3832" i="113"/>
  <c r="M3831" i="113"/>
  <c r="M3830" i="113"/>
  <c r="M3829" i="113"/>
  <c r="M3828" i="113"/>
  <c r="M3827" i="113"/>
  <c r="M3826" i="113"/>
  <c r="M3825" i="113"/>
  <c r="M3824" i="113"/>
  <c r="M3823" i="113"/>
  <c r="M3822" i="113"/>
  <c r="M3821" i="113"/>
  <c r="M3820" i="113"/>
  <c r="M3819" i="113"/>
  <c r="M3818" i="113"/>
  <c r="M3817" i="113"/>
  <c r="M3816" i="113"/>
  <c r="M3815" i="113"/>
  <c r="M3814" i="113"/>
  <c r="M3813" i="113"/>
  <c r="M3812" i="113"/>
  <c r="M3811" i="113"/>
  <c r="M3810" i="113"/>
  <c r="M3809" i="113"/>
  <c r="M3808" i="113"/>
  <c r="M3807" i="113"/>
  <c r="M3806" i="113"/>
  <c r="M3805" i="113"/>
  <c r="M3804" i="113"/>
  <c r="M3803" i="113"/>
  <c r="M3802" i="113"/>
  <c r="M3801" i="113"/>
  <c r="M3800" i="113"/>
  <c r="M3799" i="113"/>
  <c r="M3798" i="113"/>
  <c r="M3797" i="113"/>
  <c r="M3796" i="113"/>
  <c r="M3795" i="113"/>
  <c r="M3794" i="113"/>
  <c r="M3793" i="113"/>
  <c r="M3792" i="113"/>
  <c r="M3791" i="113"/>
  <c r="M3790" i="113"/>
  <c r="M3789" i="113"/>
  <c r="M3788" i="113"/>
  <c r="M3787" i="113"/>
  <c r="M3786" i="113"/>
  <c r="M3785" i="113"/>
  <c r="M3784" i="113"/>
  <c r="M3783" i="113"/>
  <c r="M3782" i="113"/>
  <c r="M3781" i="113"/>
  <c r="M3780" i="113"/>
  <c r="M3779" i="113"/>
  <c r="M3778" i="113"/>
  <c r="M3777" i="113"/>
  <c r="M3776" i="113"/>
  <c r="M3775" i="113"/>
  <c r="M3774" i="113"/>
  <c r="M3773" i="113"/>
  <c r="M3772" i="113"/>
  <c r="M3771" i="113"/>
  <c r="M3770" i="113"/>
  <c r="M3769" i="113"/>
  <c r="M3768" i="113"/>
  <c r="M3767" i="113"/>
  <c r="M3766" i="113"/>
  <c r="M3765" i="113"/>
  <c r="M3764" i="113"/>
  <c r="M3763" i="113"/>
  <c r="M3762" i="113"/>
  <c r="M3761" i="113"/>
  <c r="M3760" i="113"/>
  <c r="M3759" i="113"/>
  <c r="M3758" i="113"/>
  <c r="M3757" i="113"/>
  <c r="M3756" i="113"/>
  <c r="M3755" i="113"/>
  <c r="M3754" i="113"/>
  <c r="M3753" i="113"/>
  <c r="M3752" i="113"/>
  <c r="M3751" i="113"/>
  <c r="M3750" i="113"/>
  <c r="M3749" i="113"/>
  <c r="M3748" i="113"/>
  <c r="M3747" i="113"/>
  <c r="M3746" i="113"/>
  <c r="M3745" i="113"/>
  <c r="M3744" i="113"/>
  <c r="M3743" i="113"/>
  <c r="M3742" i="113"/>
  <c r="M3741" i="113"/>
  <c r="M3740" i="113"/>
  <c r="M3739" i="113"/>
  <c r="M3738" i="113"/>
  <c r="M3737" i="113"/>
  <c r="M3736" i="113"/>
  <c r="M3735" i="113"/>
  <c r="M3734" i="113"/>
  <c r="M3733" i="113"/>
  <c r="M3732" i="113"/>
  <c r="M3731" i="113"/>
  <c r="M3730" i="113"/>
  <c r="M3729" i="113"/>
  <c r="M3728" i="113"/>
  <c r="M3727" i="113"/>
  <c r="M3726" i="113"/>
  <c r="M3725" i="113"/>
  <c r="M3724" i="113"/>
  <c r="M3723" i="113"/>
  <c r="M3722" i="113"/>
  <c r="M3721" i="113"/>
  <c r="M3720" i="113"/>
  <c r="M3719" i="113"/>
  <c r="M3718" i="113"/>
  <c r="M3717" i="113"/>
  <c r="M3716" i="113"/>
  <c r="M3715" i="113"/>
  <c r="M3714" i="113"/>
  <c r="M3713" i="113"/>
  <c r="M3712" i="113"/>
  <c r="M3711" i="113"/>
  <c r="M3710" i="113"/>
  <c r="M3709" i="113"/>
  <c r="M3708" i="113"/>
  <c r="M3707" i="113"/>
  <c r="M3706" i="113"/>
  <c r="M3705" i="113"/>
  <c r="M3704" i="113"/>
  <c r="M3703" i="113"/>
  <c r="M3702" i="113"/>
  <c r="M3701" i="113"/>
  <c r="M3700" i="113"/>
  <c r="M3699" i="113"/>
  <c r="M3698" i="113"/>
  <c r="M3697" i="113"/>
  <c r="M3696" i="113"/>
  <c r="M3695" i="113"/>
  <c r="M3694" i="113"/>
  <c r="M3693" i="113"/>
  <c r="M3692" i="113"/>
  <c r="M3691" i="113"/>
  <c r="M3690" i="113"/>
  <c r="M3689" i="113"/>
  <c r="M3688" i="113"/>
  <c r="M3687" i="113"/>
  <c r="M3686" i="113"/>
  <c r="M3685" i="113"/>
  <c r="M3684" i="113"/>
  <c r="M3683" i="113"/>
  <c r="M3682" i="113"/>
  <c r="M3681" i="113"/>
  <c r="M3680" i="113"/>
  <c r="M3679" i="113"/>
  <c r="M3678" i="113"/>
  <c r="M3677" i="113"/>
  <c r="M3676" i="113"/>
  <c r="M3675" i="113"/>
  <c r="M3674" i="113"/>
  <c r="M3673" i="113"/>
  <c r="M3672" i="113"/>
  <c r="M3671" i="113"/>
  <c r="M3670" i="113"/>
  <c r="M3669" i="113"/>
  <c r="M3668" i="113"/>
  <c r="M3667" i="113"/>
  <c r="M3666" i="113"/>
  <c r="M3665" i="113"/>
  <c r="M3664" i="113"/>
  <c r="M3663" i="113"/>
  <c r="M3662" i="113"/>
  <c r="M3661" i="113"/>
  <c r="M3660" i="113"/>
  <c r="M3659" i="113"/>
  <c r="M3658" i="113"/>
  <c r="M3657" i="113"/>
  <c r="M3656" i="113"/>
  <c r="M3655" i="113"/>
  <c r="M3654" i="113"/>
  <c r="M3653" i="113"/>
  <c r="M3652" i="113"/>
  <c r="M3651" i="113"/>
  <c r="M3650" i="113"/>
  <c r="M3649" i="113"/>
  <c r="M3648" i="113"/>
  <c r="M3647" i="113"/>
  <c r="M3646" i="113"/>
  <c r="M3645" i="113"/>
  <c r="M3644" i="113"/>
  <c r="M3643" i="113"/>
  <c r="M3642" i="113"/>
  <c r="M3641" i="113"/>
  <c r="M3640" i="113"/>
  <c r="M3639" i="113"/>
  <c r="M3638" i="113"/>
  <c r="M3637" i="113"/>
  <c r="M3636" i="113"/>
  <c r="M3635" i="113"/>
  <c r="M3634" i="113"/>
  <c r="M3633" i="113"/>
  <c r="M3632" i="113"/>
  <c r="M3631" i="113"/>
  <c r="M3630" i="113"/>
  <c r="M3629" i="113"/>
  <c r="M3628" i="113"/>
  <c r="M3627" i="113"/>
  <c r="M3626" i="113"/>
  <c r="M3625" i="113"/>
  <c r="M3624" i="113"/>
  <c r="M3623" i="113"/>
  <c r="M3622" i="113"/>
  <c r="M3621" i="113"/>
  <c r="M3620" i="113"/>
  <c r="M3619" i="113"/>
  <c r="M3618" i="113"/>
  <c r="M3617" i="113"/>
  <c r="M3616" i="113"/>
  <c r="M3615" i="113"/>
  <c r="M3614" i="113"/>
  <c r="M3613" i="113"/>
  <c r="M3612" i="113"/>
  <c r="M3611" i="113"/>
  <c r="M3610" i="113"/>
  <c r="M3609" i="113"/>
  <c r="M3608" i="113"/>
  <c r="M3607" i="113"/>
  <c r="M3606" i="113"/>
  <c r="M3605" i="113"/>
  <c r="M3604" i="113"/>
  <c r="M3603" i="113"/>
  <c r="M3602" i="113"/>
  <c r="M3601" i="113"/>
  <c r="M3600" i="113"/>
  <c r="M3599" i="113"/>
  <c r="M3598" i="113"/>
  <c r="M3597" i="113"/>
  <c r="M3596" i="113"/>
  <c r="M3595" i="113"/>
  <c r="M3594" i="113"/>
  <c r="M3593" i="113"/>
  <c r="M3592" i="113"/>
  <c r="M3591" i="113"/>
  <c r="M3590" i="113"/>
  <c r="M3589" i="113"/>
  <c r="M3588" i="113"/>
  <c r="M3587" i="113"/>
  <c r="M3586" i="113"/>
  <c r="M3585" i="113"/>
  <c r="M3584" i="113"/>
  <c r="M3583" i="113"/>
  <c r="M3582" i="113"/>
  <c r="M3581" i="113"/>
  <c r="M3580" i="113"/>
  <c r="M3579" i="113"/>
  <c r="M3578" i="113"/>
  <c r="M3577" i="113"/>
  <c r="M3576" i="113"/>
  <c r="M3575" i="113"/>
  <c r="M3574" i="113"/>
  <c r="M3573" i="113"/>
  <c r="M3572" i="113"/>
  <c r="M3571" i="113"/>
  <c r="M3570" i="113"/>
  <c r="M3569" i="113"/>
  <c r="M3568" i="113"/>
  <c r="M3567" i="113"/>
  <c r="M3566" i="113"/>
  <c r="M3565" i="113"/>
  <c r="M3564" i="113"/>
  <c r="M3563" i="113"/>
  <c r="M3562" i="113"/>
  <c r="M3561" i="113"/>
  <c r="M3560" i="113"/>
  <c r="M3559" i="113"/>
  <c r="M3558" i="113"/>
  <c r="M3557" i="113"/>
  <c r="M3556" i="113"/>
  <c r="M3555" i="113"/>
  <c r="M3554" i="113"/>
  <c r="M3553" i="113"/>
  <c r="M3552" i="113"/>
  <c r="M3551" i="113"/>
  <c r="M3550" i="113"/>
  <c r="M3549" i="113"/>
  <c r="M3548" i="113"/>
  <c r="M3547" i="113"/>
  <c r="M3546" i="113"/>
  <c r="M3545" i="113"/>
  <c r="M3544" i="113"/>
  <c r="M3543" i="113"/>
  <c r="M3542" i="113"/>
  <c r="M3541" i="113"/>
  <c r="M3540" i="113"/>
  <c r="M3539" i="113"/>
  <c r="M3538" i="113"/>
  <c r="M3537" i="113"/>
  <c r="M3536" i="113"/>
  <c r="M3535" i="113"/>
  <c r="M3534" i="113"/>
  <c r="M3533" i="113"/>
  <c r="M3532" i="113"/>
  <c r="M3531" i="113"/>
  <c r="M3530" i="113"/>
  <c r="M3529" i="113"/>
  <c r="M3528" i="113"/>
  <c r="M3527" i="113"/>
  <c r="M3526" i="113"/>
  <c r="M3525" i="113"/>
  <c r="M3524" i="113"/>
  <c r="M3523" i="113"/>
  <c r="M3522" i="113"/>
  <c r="M3521" i="113"/>
  <c r="M3520" i="113"/>
  <c r="M3519" i="113"/>
  <c r="M3518" i="113"/>
  <c r="M3517" i="113"/>
  <c r="M3516" i="113"/>
  <c r="M3515" i="113"/>
  <c r="M3514" i="113"/>
  <c r="M3513" i="113"/>
  <c r="M3512" i="113"/>
  <c r="M3511" i="113"/>
  <c r="M3510" i="113"/>
  <c r="M3509" i="113"/>
  <c r="M3508" i="113"/>
  <c r="M3507" i="113"/>
  <c r="M3506" i="113"/>
  <c r="M3505" i="113"/>
  <c r="M3504" i="113"/>
  <c r="M3503" i="113"/>
  <c r="M3502" i="113"/>
  <c r="M3501" i="113"/>
  <c r="M3500" i="113"/>
  <c r="M3499" i="113"/>
  <c r="M3498" i="113"/>
  <c r="M3497" i="113"/>
  <c r="M3496" i="113"/>
  <c r="M3495" i="113"/>
  <c r="M3494" i="113"/>
  <c r="M3493" i="113"/>
  <c r="M3492" i="113"/>
  <c r="M3491" i="113"/>
  <c r="M3490" i="113"/>
  <c r="M3489" i="113"/>
  <c r="M3488" i="113"/>
  <c r="M3487" i="113"/>
  <c r="M3486" i="113"/>
  <c r="M3485" i="113"/>
  <c r="M3484" i="113"/>
  <c r="M3483" i="113"/>
  <c r="M3482" i="113"/>
  <c r="M3481" i="113"/>
  <c r="M3480" i="113"/>
  <c r="M3479" i="113"/>
  <c r="M3478" i="113"/>
  <c r="M3477" i="113"/>
  <c r="M3476" i="113"/>
  <c r="M3475" i="113"/>
  <c r="M3474" i="113"/>
  <c r="M3473" i="113"/>
  <c r="M3472" i="113"/>
  <c r="M3471" i="113"/>
  <c r="M3470" i="113"/>
  <c r="M3469" i="113"/>
  <c r="M3468" i="113"/>
  <c r="M3467" i="113"/>
  <c r="M3466" i="113"/>
  <c r="M3465" i="113"/>
  <c r="M3464" i="113"/>
  <c r="M3463" i="113"/>
  <c r="M3462" i="113"/>
  <c r="M3461" i="113"/>
  <c r="M3460" i="113"/>
  <c r="M3459" i="113"/>
  <c r="M3458" i="113"/>
  <c r="M3457" i="113"/>
  <c r="M3456" i="113"/>
  <c r="M3455" i="113"/>
  <c r="M3454" i="113"/>
  <c r="M3453" i="113"/>
  <c r="M3452" i="113"/>
  <c r="M3451" i="113"/>
  <c r="M3450" i="113"/>
  <c r="M3449" i="113"/>
  <c r="M3448" i="113"/>
  <c r="M3447" i="113"/>
  <c r="M3446" i="113"/>
  <c r="M3445" i="113"/>
  <c r="M3444" i="113"/>
  <c r="M3443" i="113"/>
  <c r="M3442" i="113"/>
  <c r="M3441" i="113"/>
  <c r="M3440" i="113"/>
  <c r="M3439" i="113"/>
  <c r="M3438" i="113"/>
  <c r="M3437" i="113"/>
  <c r="M3436" i="113"/>
  <c r="M3435" i="113"/>
  <c r="M3434" i="113"/>
  <c r="M3433" i="113"/>
  <c r="M3432" i="113"/>
  <c r="M3431" i="113"/>
  <c r="M3430" i="113"/>
  <c r="M3429" i="113"/>
  <c r="M3428" i="113"/>
  <c r="M3427" i="113"/>
  <c r="M3426" i="113"/>
  <c r="M3425" i="113"/>
  <c r="M3424" i="113"/>
  <c r="M3423" i="113"/>
  <c r="M3422" i="113"/>
  <c r="M3421" i="113"/>
  <c r="M3420" i="113"/>
  <c r="M3419" i="113"/>
  <c r="M3418" i="113"/>
  <c r="M3417" i="113"/>
  <c r="M3416" i="113"/>
  <c r="M3415" i="113"/>
  <c r="M3414" i="113"/>
  <c r="M3413" i="113"/>
  <c r="M3412" i="113"/>
  <c r="M3411" i="113"/>
  <c r="M3410" i="113"/>
  <c r="M3409" i="113"/>
  <c r="M3408" i="113"/>
  <c r="M3407" i="113"/>
  <c r="M3406" i="113"/>
  <c r="M3405" i="113"/>
  <c r="M3404" i="113"/>
  <c r="M3403" i="113"/>
  <c r="M3402" i="113"/>
  <c r="M3401" i="113"/>
  <c r="M3400" i="113"/>
  <c r="M3399" i="113"/>
  <c r="M3398" i="113"/>
  <c r="M3397" i="113"/>
  <c r="M3396" i="113"/>
  <c r="M3395" i="113"/>
  <c r="M3394" i="113"/>
  <c r="M3393" i="113"/>
  <c r="M3392" i="113"/>
  <c r="M3391" i="113"/>
  <c r="M3390" i="113"/>
  <c r="M3389" i="113"/>
  <c r="M3388" i="113"/>
  <c r="M3387" i="113"/>
  <c r="M3386" i="113"/>
  <c r="M3385" i="113"/>
  <c r="M3384" i="113"/>
  <c r="M3383" i="113"/>
  <c r="M3382" i="113"/>
  <c r="M3381" i="113"/>
  <c r="M3380" i="113"/>
  <c r="M3379" i="113"/>
  <c r="M3378" i="113"/>
  <c r="M3377" i="113"/>
  <c r="M3376" i="113"/>
  <c r="M3375" i="113"/>
  <c r="M3374" i="113"/>
  <c r="M3373" i="113"/>
  <c r="M3372" i="113"/>
  <c r="M3371" i="113"/>
  <c r="M3370" i="113"/>
  <c r="M3369" i="113"/>
  <c r="M3368" i="113"/>
  <c r="M3367" i="113"/>
  <c r="M3366" i="113"/>
  <c r="M3365" i="113"/>
  <c r="M3364" i="113"/>
  <c r="M3363" i="113"/>
  <c r="M3362" i="113"/>
  <c r="M3361" i="113"/>
  <c r="M3360" i="113"/>
  <c r="M3359" i="113"/>
  <c r="M3358" i="113"/>
  <c r="M3357" i="113"/>
  <c r="M3356" i="113"/>
  <c r="M3355" i="113"/>
  <c r="M3354" i="113"/>
  <c r="M3353" i="113"/>
  <c r="M3352" i="113"/>
  <c r="M3351" i="113"/>
  <c r="M3350" i="113"/>
  <c r="M3349" i="113"/>
  <c r="M3348" i="113"/>
  <c r="M3347" i="113"/>
  <c r="M3346" i="113"/>
  <c r="M3345" i="113"/>
  <c r="M3344" i="113"/>
  <c r="M3343" i="113"/>
  <c r="M3342" i="113"/>
  <c r="M3341" i="113"/>
  <c r="M3340" i="113"/>
  <c r="M3339" i="113"/>
  <c r="M3338" i="113"/>
  <c r="M3337" i="113"/>
  <c r="M3336" i="113"/>
  <c r="M3335" i="113"/>
  <c r="M3334" i="113"/>
  <c r="M3333" i="113"/>
  <c r="M3332" i="113"/>
  <c r="M3331" i="113"/>
  <c r="M3330" i="113"/>
  <c r="M3329" i="113"/>
  <c r="M3328" i="113"/>
  <c r="M3327" i="113"/>
  <c r="M3326" i="113"/>
  <c r="M3325" i="113"/>
  <c r="M3324" i="113"/>
  <c r="M3323" i="113"/>
  <c r="M3322" i="113"/>
  <c r="M3321" i="113"/>
  <c r="M3320" i="113"/>
  <c r="M3319" i="113"/>
  <c r="M3318" i="113"/>
  <c r="M3317" i="113"/>
  <c r="M3316" i="113"/>
  <c r="M3315" i="113"/>
  <c r="M3314" i="113"/>
  <c r="M3313" i="113"/>
  <c r="M3312" i="113"/>
  <c r="M3311" i="113"/>
  <c r="M3310" i="113"/>
  <c r="M3309" i="113"/>
  <c r="M3308" i="113"/>
  <c r="M3307" i="113"/>
  <c r="M3306" i="113"/>
  <c r="M3305" i="113"/>
  <c r="M3304" i="113"/>
  <c r="M3303" i="113"/>
  <c r="M3302" i="113"/>
  <c r="M3301" i="113"/>
  <c r="M3300" i="113"/>
  <c r="M3299" i="113"/>
  <c r="M3298" i="113"/>
  <c r="M3297" i="113"/>
  <c r="M3296" i="113"/>
  <c r="M3295" i="113"/>
  <c r="M3294" i="113"/>
  <c r="M3293" i="113"/>
  <c r="M3292" i="113"/>
  <c r="M3291" i="113"/>
  <c r="M3290" i="113"/>
  <c r="M3289" i="113"/>
  <c r="M3288" i="113"/>
  <c r="M3287" i="113"/>
  <c r="M3286" i="113"/>
  <c r="M3285" i="113"/>
  <c r="M3284" i="113"/>
  <c r="M3283" i="113"/>
  <c r="M3282" i="113"/>
  <c r="M3281" i="113"/>
  <c r="M3280" i="113"/>
  <c r="M3279" i="113"/>
  <c r="M3278" i="113"/>
  <c r="M3277" i="113"/>
  <c r="M3276" i="113"/>
  <c r="M3275" i="113"/>
  <c r="M3274" i="113"/>
  <c r="M3273" i="113"/>
  <c r="M3272" i="113"/>
  <c r="M3271" i="113"/>
  <c r="M3270" i="113"/>
  <c r="M3269" i="113"/>
  <c r="M3268" i="113"/>
  <c r="M3267" i="113"/>
  <c r="M3266" i="113"/>
  <c r="M3265" i="113"/>
  <c r="M3264" i="113"/>
  <c r="M3263" i="113"/>
  <c r="M3262" i="113"/>
  <c r="M3261" i="113"/>
  <c r="M3260" i="113"/>
  <c r="M3259" i="113"/>
  <c r="M3258" i="113"/>
  <c r="M3257" i="113"/>
  <c r="M3256" i="113"/>
  <c r="M3255" i="113"/>
  <c r="M3254" i="113"/>
  <c r="M3253" i="113"/>
  <c r="M3252" i="113"/>
  <c r="M3251" i="113"/>
  <c r="M3250" i="113"/>
  <c r="M3249" i="113"/>
  <c r="M3248" i="113"/>
  <c r="M3247" i="113"/>
  <c r="M3246" i="113"/>
  <c r="M3245" i="113"/>
  <c r="M3244" i="113"/>
  <c r="M3243" i="113"/>
  <c r="M3242" i="113"/>
  <c r="M3241" i="113"/>
  <c r="M3240" i="113"/>
  <c r="M3239" i="113"/>
  <c r="M3238" i="113"/>
  <c r="M3237" i="113"/>
  <c r="M3236" i="113"/>
  <c r="M3235" i="113"/>
  <c r="M3234" i="113"/>
  <c r="M3233" i="113"/>
  <c r="M3232" i="113"/>
  <c r="M3231" i="113"/>
  <c r="M3230" i="113"/>
  <c r="M3229" i="113"/>
  <c r="M3228" i="113"/>
  <c r="M3227" i="113"/>
  <c r="M3226" i="113"/>
  <c r="M3225" i="113"/>
  <c r="M3224" i="113"/>
  <c r="M3223" i="113"/>
  <c r="M3222" i="113"/>
  <c r="M3221" i="113"/>
  <c r="M3220" i="113"/>
  <c r="M3219" i="113"/>
  <c r="M3218" i="113"/>
  <c r="M3217" i="113"/>
  <c r="M3216" i="113"/>
  <c r="M3215" i="113"/>
  <c r="M3214" i="113"/>
  <c r="M3213" i="113"/>
  <c r="M3212" i="113"/>
  <c r="M3211" i="113"/>
  <c r="M3210" i="113"/>
  <c r="M3209" i="113"/>
  <c r="M3208" i="113"/>
  <c r="M3207" i="113"/>
  <c r="M3206" i="113"/>
  <c r="M3205" i="113"/>
  <c r="M3204" i="113"/>
  <c r="M3203" i="113"/>
  <c r="M3202" i="113"/>
  <c r="M3201" i="113"/>
  <c r="M3200" i="113"/>
  <c r="M3199" i="113"/>
  <c r="M3198" i="113"/>
  <c r="M3197" i="113"/>
  <c r="M3196" i="113"/>
  <c r="M3195" i="113"/>
  <c r="M3194" i="113"/>
  <c r="M3193" i="113"/>
  <c r="M3192" i="113"/>
  <c r="M3191" i="113"/>
  <c r="M3190" i="113"/>
  <c r="M3189" i="113"/>
  <c r="M3188" i="113"/>
  <c r="M3187" i="113"/>
  <c r="M3186" i="113"/>
  <c r="M3185" i="113"/>
  <c r="M3184" i="113"/>
  <c r="M3183" i="113"/>
  <c r="M3182" i="113"/>
  <c r="M3181" i="113"/>
  <c r="M3180" i="113"/>
  <c r="M3179" i="113"/>
  <c r="M3178" i="113"/>
  <c r="M3177" i="113"/>
  <c r="M3176" i="113"/>
  <c r="M3175" i="113"/>
  <c r="M3174" i="113"/>
  <c r="M3173" i="113"/>
  <c r="M3172" i="113"/>
  <c r="M3171" i="113"/>
  <c r="M3170" i="113"/>
  <c r="M3169" i="113"/>
  <c r="M3168" i="113"/>
  <c r="M3167" i="113"/>
  <c r="M3166" i="113"/>
  <c r="M3165" i="113"/>
  <c r="M3164" i="113"/>
  <c r="M3163" i="113"/>
  <c r="M3162" i="113"/>
  <c r="M3161" i="113"/>
  <c r="M3160" i="113"/>
  <c r="M3159" i="113"/>
  <c r="M3158" i="113"/>
  <c r="M3157" i="113"/>
  <c r="M3156" i="113"/>
  <c r="M3155" i="113"/>
  <c r="M3154" i="113"/>
  <c r="M3153" i="113"/>
  <c r="M3152" i="113"/>
  <c r="M3151" i="113"/>
  <c r="M3150" i="113"/>
  <c r="M3149" i="113"/>
  <c r="M3148" i="113"/>
  <c r="M3147" i="113"/>
  <c r="M3146" i="113"/>
  <c r="M3145" i="113"/>
  <c r="M3144" i="113"/>
  <c r="M3143" i="113"/>
  <c r="M3142" i="113"/>
  <c r="M3141" i="113"/>
  <c r="M3140" i="113"/>
  <c r="M3139" i="113"/>
  <c r="M3138" i="113"/>
  <c r="M3137" i="113"/>
  <c r="M3136" i="113"/>
  <c r="M3135" i="113"/>
  <c r="M3134" i="113"/>
  <c r="M3133" i="113"/>
  <c r="M3132" i="113"/>
  <c r="M3131" i="113"/>
  <c r="M3130" i="113"/>
  <c r="M3129" i="113"/>
  <c r="M3128" i="113"/>
  <c r="M3127" i="113"/>
  <c r="M3126" i="113"/>
  <c r="M3125" i="113"/>
  <c r="M3124" i="113"/>
  <c r="M3123" i="113"/>
  <c r="M3122" i="113"/>
  <c r="M3121" i="113"/>
  <c r="M3120" i="113"/>
  <c r="M3119" i="113"/>
  <c r="M3118" i="113"/>
  <c r="M3117" i="113"/>
  <c r="M3116" i="113"/>
  <c r="M3115" i="113"/>
  <c r="M3114" i="113"/>
  <c r="M3113" i="113"/>
  <c r="M3112" i="113"/>
  <c r="M3111" i="113"/>
  <c r="M3110" i="113"/>
  <c r="M3109" i="113"/>
  <c r="M3108" i="113"/>
  <c r="M3107" i="113"/>
  <c r="M3106" i="113"/>
  <c r="M3105" i="113"/>
  <c r="M3104" i="113"/>
  <c r="M3103" i="113"/>
  <c r="M3102" i="113"/>
  <c r="M3101" i="113"/>
  <c r="M3100" i="113"/>
  <c r="M3099" i="113"/>
  <c r="M3098" i="113"/>
  <c r="M3097" i="113"/>
  <c r="M3096" i="113"/>
  <c r="M3095" i="113"/>
  <c r="M3094" i="113"/>
  <c r="M3093" i="113"/>
  <c r="M3092" i="113"/>
  <c r="M3091" i="113"/>
  <c r="M3090" i="113"/>
  <c r="M3089" i="113"/>
  <c r="M3088" i="113"/>
  <c r="M3087" i="113"/>
  <c r="M3086" i="113"/>
  <c r="M3085" i="113"/>
  <c r="M3084" i="113"/>
  <c r="M3083" i="113"/>
  <c r="M3082" i="113"/>
  <c r="M3081" i="113"/>
  <c r="M3080" i="113"/>
  <c r="M3079" i="113"/>
  <c r="M3078" i="113"/>
  <c r="M3077" i="113"/>
  <c r="M3076" i="113"/>
  <c r="M3075" i="113"/>
  <c r="M3074" i="113"/>
  <c r="M3073" i="113"/>
  <c r="M3072" i="113"/>
  <c r="M3071" i="113"/>
  <c r="M3070" i="113"/>
  <c r="M3069" i="113"/>
  <c r="M3068" i="113"/>
  <c r="M3067" i="113"/>
  <c r="M3066" i="113"/>
  <c r="M3065" i="113"/>
  <c r="M3064" i="113"/>
  <c r="M3063" i="113"/>
  <c r="M3062" i="113"/>
  <c r="M3061" i="113"/>
  <c r="M3060" i="113"/>
  <c r="M3059" i="113"/>
  <c r="M3058" i="113"/>
  <c r="M3057" i="113"/>
  <c r="M3056" i="113"/>
  <c r="M3055" i="113"/>
  <c r="M3054" i="113"/>
  <c r="M3053" i="113"/>
  <c r="M3052" i="113"/>
  <c r="M3051" i="113"/>
  <c r="M3050" i="113"/>
  <c r="M3049" i="113"/>
  <c r="M3048" i="113"/>
  <c r="M3047" i="113"/>
  <c r="M3046" i="113"/>
  <c r="M3045" i="113"/>
  <c r="M3044" i="113"/>
  <c r="M3043" i="113"/>
  <c r="M3042" i="113"/>
  <c r="M3041" i="113"/>
  <c r="M3040" i="113"/>
  <c r="M3039" i="113"/>
  <c r="M3038" i="113"/>
  <c r="M3037" i="113"/>
  <c r="M3036" i="113"/>
  <c r="M3035" i="113"/>
  <c r="M3034" i="113"/>
  <c r="M3033" i="113"/>
  <c r="M3032" i="113"/>
  <c r="M3031" i="113"/>
  <c r="M3030" i="113"/>
  <c r="M3029" i="113"/>
  <c r="M3028" i="113"/>
  <c r="M3027" i="113"/>
  <c r="M3026" i="113"/>
  <c r="M3025" i="113"/>
  <c r="M3024" i="113"/>
  <c r="M3023" i="113"/>
  <c r="M3022" i="113"/>
  <c r="M3021" i="113"/>
  <c r="M3020" i="113"/>
  <c r="M3019" i="113"/>
  <c r="M3018" i="113"/>
  <c r="M3017" i="113"/>
  <c r="M3016" i="113"/>
  <c r="M3015" i="113"/>
  <c r="M3014" i="113"/>
  <c r="M3013" i="113"/>
  <c r="M3012" i="113"/>
  <c r="M3011" i="113"/>
  <c r="M3010" i="113"/>
  <c r="M3009" i="113"/>
  <c r="M3008" i="113"/>
  <c r="M3007" i="113"/>
  <c r="M3006" i="113"/>
  <c r="M3005" i="113"/>
  <c r="M3004" i="113"/>
  <c r="M3003" i="113"/>
  <c r="M3002" i="113"/>
  <c r="M3001" i="113"/>
  <c r="M3000" i="113"/>
  <c r="M2999" i="113"/>
  <c r="M2998" i="113"/>
  <c r="M2997" i="113"/>
  <c r="M2996" i="113"/>
  <c r="M2995" i="113"/>
  <c r="M2994" i="113"/>
  <c r="M2993" i="113"/>
  <c r="M2992" i="113"/>
  <c r="M2991" i="113"/>
  <c r="M2990" i="113"/>
  <c r="M2989" i="113"/>
  <c r="M2988" i="113"/>
  <c r="M2987" i="113"/>
  <c r="M2986" i="113"/>
  <c r="M2985" i="113"/>
  <c r="M2984" i="113"/>
  <c r="M2983" i="113"/>
  <c r="M2982" i="113"/>
  <c r="M2981" i="113"/>
  <c r="M2980" i="113"/>
  <c r="M2979" i="113"/>
  <c r="M2978" i="113"/>
  <c r="M2977" i="113"/>
  <c r="M2976" i="113"/>
  <c r="M2975" i="113"/>
  <c r="M2974" i="113"/>
  <c r="M2973" i="113"/>
  <c r="M2972" i="113"/>
  <c r="M2971" i="113"/>
  <c r="M2970" i="113"/>
  <c r="M2969" i="113"/>
  <c r="M2968" i="113"/>
  <c r="M2967" i="113"/>
  <c r="M2966" i="113"/>
  <c r="M2965" i="113"/>
  <c r="M2964" i="113"/>
  <c r="M2963" i="113"/>
  <c r="M2962" i="113"/>
  <c r="M2961" i="113"/>
  <c r="M2960" i="113"/>
  <c r="M2959" i="113"/>
  <c r="M2958" i="113"/>
  <c r="M2957" i="113"/>
  <c r="M2956" i="113"/>
  <c r="M2955" i="113"/>
  <c r="M2954" i="113"/>
  <c r="M2953" i="113"/>
  <c r="M2952" i="113"/>
  <c r="M2951" i="113"/>
  <c r="M2950" i="113"/>
  <c r="M2949" i="113"/>
  <c r="M2948" i="113"/>
  <c r="M2947" i="113"/>
  <c r="M2946" i="113"/>
  <c r="M2945" i="113"/>
  <c r="M2944" i="113"/>
  <c r="M2943" i="113"/>
  <c r="M2942" i="113"/>
  <c r="M2941" i="113"/>
  <c r="M2940" i="113"/>
  <c r="M2939" i="113"/>
  <c r="M2938" i="113"/>
  <c r="M2937" i="113"/>
  <c r="M2936" i="113"/>
  <c r="M2935" i="113"/>
  <c r="M2934" i="113"/>
  <c r="M2933" i="113"/>
  <c r="M2932" i="113"/>
  <c r="M2931" i="113"/>
  <c r="M2930" i="113"/>
  <c r="M2929" i="113"/>
  <c r="M2928" i="113"/>
  <c r="M2927" i="113"/>
  <c r="M2926" i="113"/>
  <c r="M2925" i="113"/>
  <c r="M2924" i="113"/>
  <c r="M2923" i="113"/>
  <c r="M2922" i="113"/>
  <c r="M2921" i="113"/>
  <c r="M2920" i="113"/>
  <c r="M2919" i="113"/>
  <c r="M2918" i="113"/>
  <c r="M2917" i="113"/>
  <c r="M2916" i="113"/>
  <c r="M2915" i="113"/>
  <c r="M2914" i="113"/>
  <c r="M2913" i="113"/>
  <c r="M2912" i="113"/>
  <c r="M2911" i="113"/>
  <c r="M2910" i="113"/>
  <c r="M2909" i="113"/>
  <c r="M2908" i="113"/>
  <c r="M2907" i="113"/>
  <c r="M2906" i="113"/>
  <c r="M2905" i="113"/>
  <c r="M2904" i="113"/>
  <c r="M2903" i="113"/>
  <c r="M2902" i="113"/>
  <c r="M2901" i="113"/>
  <c r="M2900" i="113"/>
  <c r="M2899" i="113"/>
  <c r="M2898" i="113"/>
  <c r="M2897" i="113"/>
  <c r="M2896" i="113"/>
  <c r="M2895" i="113"/>
  <c r="M2894" i="113"/>
  <c r="M2893" i="113"/>
  <c r="M2892" i="113"/>
  <c r="M2891" i="113"/>
  <c r="M2890" i="113"/>
  <c r="M2889" i="113"/>
  <c r="M2888" i="113"/>
  <c r="M2887" i="113"/>
  <c r="M2886" i="113"/>
  <c r="M2885" i="113"/>
  <c r="M2884" i="113"/>
  <c r="M2883" i="113"/>
  <c r="M2882" i="113"/>
  <c r="M2881" i="113"/>
  <c r="M2880" i="113"/>
  <c r="M2879" i="113"/>
  <c r="M2878" i="113"/>
  <c r="M2877" i="113"/>
  <c r="M2876" i="113"/>
  <c r="M2875" i="113"/>
  <c r="M2874" i="113"/>
  <c r="M2873" i="113"/>
  <c r="M2872" i="113"/>
  <c r="M2871" i="113"/>
  <c r="M2870" i="113"/>
  <c r="M2869" i="113"/>
  <c r="M2868" i="113"/>
  <c r="M2867" i="113"/>
  <c r="M2866" i="113"/>
  <c r="M2865" i="113"/>
  <c r="M2864" i="113"/>
  <c r="M2863" i="113"/>
  <c r="M2862" i="113"/>
  <c r="M2861" i="113"/>
  <c r="M2860" i="113"/>
  <c r="M2859" i="113"/>
  <c r="M2858" i="113"/>
  <c r="M2857" i="113"/>
  <c r="M2856" i="113"/>
  <c r="M2855" i="113"/>
  <c r="M2854" i="113"/>
  <c r="M2853" i="113"/>
  <c r="M2852" i="113"/>
  <c r="M2851" i="113"/>
  <c r="M2850" i="113"/>
  <c r="M2849" i="113"/>
  <c r="M2848" i="113"/>
  <c r="M2847" i="113"/>
  <c r="M2846" i="113"/>
  <c r="M2845" i="113"/>
  <c r="M2844" i="113"/>
  <c r="M2843" i="113"/>
  <c r="M2842" i="113"/>
  <c r="M2841" i="113"/>
  <c r="M2840" i="113"/>
  <c r="M2839" i="113"/>
  <c r="M2838" i="113"/>
  <c r="M2837" i="113"/>
  <c r="M2836" i="113"/>
  <c r="M2835" i="113"/>
  <c r="M2834" i="113"/>
  <c r="M2833" i="113"/>
  <c r="M2832" i="113"/>
  <c r="M2831" i="113"/>
  <c r="M2830" i="113"/>
  <c r="M2829" i="113"/>
  <c r="M2828" i="113"/>
  <c r="M2827" i="113"/>
  <c r="M2826" i="113"/>
  <c r="M2825" i="113"/>
  <c r="M2824" i="113"/>
  <c r="M2823" i="113"/>
  <c r="M2822" i="113"/>
  <c r="M2821" i="113"/>
  <c r="M2820" i="113"/>
  <c r="M2819" i="113"/>
  <c r="M2818" i="113"/>
  <c r="M2817" i="113"/>
  <c r="M2816" i="113"/>
  <c r="M2815" i="113"/>
  <c r="M2814" i="113"/>
  <c r="M2813" i="113"/>
  <c r="M2812" i="113"/>
  <c r="M2811" i="113"/>
  <c r="M2810" i="113"/>
  <c r="M2809" i="113"/>
  <c r="M2808" i="113"/>
  <c r="M2807" i="113"/>
  <c r="M2806" i="113"/>
  <c r="M2805" i="113"/>
  <c r="M2804" i="113"/>
  <c r="M2803" i="113"/>
  <c r="M2802" i="113"/>
  <c r="M2801" i="113"/>
  <c r="M2800" i="113"/>
  <c r="M2799" i="113"/>
  <c r="M2798" i="113"/>
  <c r="M2797" i="113"/>
  <c r="M2796" i="113"/>
  <c r="M2795" i="113"/>
  <c r="M2794" i="113"/>
  <c r="M2793" i="113"/>
  <c r="M2792" i="113"/>
  <c r="M2791" i="113"/>
  <c r="M2790" i="113"/>
  <c r="M2789" i="113"/>
  <c r="M2788" i="113"/>
  <c r="M2787" i="113"/>
  <c r="M2786" i="113"/>
  <c r="M2785" i="113"/>
  <c r="M2784" i="113"/>
  <c r="M2783" i="113"/>
  <c r="M2782" i="113"/>
  <c r="M2781" i="113"/>
  <c r="M2780" i="113"/>
  <c r="M2779" i="113"/>
  <c r="M2778" i="113"/>
  <c r="M2777" i="113"/>
  <c r="M2776" i="113"/>
  <c r="M2775" i="113"/>
  <c r="M2774" i="113"/>
  <c r="M2773" i="113"/>
  <c r="M2772" i="113"/>
  <c r="M2771" i="113"/>
  <c r="M2770" i="113"/>
  <c r="M2769" i="113"/>
  <c r="M2768" i="113"/>
  <c r="M2767" i="113"/>
  <c r="M2766" i="113"/>
  <c r="M2765" i="113"/>
  <c r="M2764" i="113"/>
  <c r="M2763" i="113"/>
  <c r="M2762" i="113"/>
  <c r="M2761" i="113"/>
  <c r="M2760" i="113"/>
  <c r="M2759" i="113"/>
  <c r="M2758" i="113"/>
  <c r="M2757" i="113"/>
  <c r="M2756" i="113"/>
  <c r="M2755" i="113"/>
  <c r="M2754" i="113"/>
  <c r="M2753" i="113"/>
  <c r="M2752" i="113"/>
  <c r="M2751" i="113"/>
  <c r="M2750" i="113"/>
  <c r="M2749" i="113"/>
  <c r="M2748" i="113"/>
  <c r="M2747" i="113"/>
  <c r="M2746" i="113"/>
  <c r="M2745" i="113"/>
  <c r="M2744" i="113"/>
  <c r="M2743" i="113"/>
  <c r="M2742" i="113"/>
  <c r="M2741" i="113"/>
  <c r="M2740" i="113"/>
  <c r="M2739" i="113"/>
  <c r="M2738" i="113"/>
  <c r="M2737" i="113"/>
  <c r="M2736" i="113"/>
  <c r="M2735" i="113"/>
  <c r="M2734" i="113"/>
  <c r="M2733" i="113"/>
  <c r="M2732" i="113"/>
  <c r="M2731" i="113"/>
  <c r="M2730" i="113"/>
  <c r="M2729" i="113"/>
  <c r="M2728" i="113"/>
  <c r="M2727" i="113"/>
  <c r="M2726" i="113"/>
  <c r="M2725" i="113"/>
  <c r="M2724" i="113"/>
  <c r="M2723" i="113"/>
  <c r="M2722" i="113"/>
  <c r="M2721" i="113"/>
  <c r="M2720" i="113"/>
  <c r="M2719" i="113"/>
  <c r="M2718" i="113"/>
  <c r="M2717" i="113"/>
  <c r="M2716" i="113"/>
  <c r="M2715" i="113"/>
  <c r="M2714" i="113"/>
  <c r="M2713" i="113"/>
  <c r="M2712" i="113"/>
  <c r="M2711" i="113"/>
  <c r="M2710" i="113"/>
  <c r="M2709" i="113"/>
  <c r="M2708" i="113"/>
  <c r="M2707" i="113"/>
  <c r="M2706" i="113"/>
  <c r="M2705" i="113"/>
  <c r="M2704" i="113"/>
  <c r="M2703" i="113"/>
  <c r="M2702" i="113"/>
  <c r="M2701" i="113"/>
  <c r="M2700" i="113"/>
  <c r="M2699" i="113"/>
  <c r="M2698" i="113"/>
  <c r="M2697" i="113"/>
  <c r="M2696" i="113"/>
  <c r="M2695" i="113"/>
  <c r="M2694" i="113"/>
  <c r="M2693" i="113"/>
  <c r="M2692" i="113"/>
  <c r="M2691" i="113"/>
  <c r="M2690" i="113"/>
  <c r="M2689" i="113"/>
  <c r="M2688" i="113"/>
  <c r="M2687" i="113"/>
  <c r="M2686" i="113"/>
  <c r="M2685" i="113"/>
  <c r="M2684" i="113"/>
  <c r="M2683" i="113"/>
  <c r="M2682" i="113"/>
  <c r="M2681" i="113"/>
  <c r="M2680" i="113"/>
  <c r="M2679" i="113"/>
  <c r="M2678" i="113"/>
  <c r="M2677" i="113"/>
  <c r="M2676" i="113"/>
  <c r="M2675" i="113"/>
  <c r="M2674" i="113"/>
  <c r="M2673" i="113"/>
  <c r="M2672" i="113"/>
  <c r="M2671" i="113"/>
  <c r="M2670" i="113"/>
  <c r="M2669" i="113"/>
  <c r="M2668" i="113"/>
  <c r="M2667" i="113"/>
  <c r="M2666" i="113"/>
  <c r="M2665" i="113"/>
  <c r="M2664" i="113"/>
  <c r="M2663" i="113"/>
  <c r="M2662" i="113"/>
  <c r="M2661" i="113"/>
  <c r="M2660" i="113"/>
  <c r="M2659" i="113"/>
  <c r="M2658" i="113"/>
  <c r="M2657" i="113"/>
  <c r="M2656" i="113"/>
  <c r="M2655" i="113"/>
  <c r="M2654" i="113"/>
  <c r="M2653" i="113"/>
  <c r="M2652" i="113"/>
  <c r="M2651" i="113"/>
  <c r="M2650" i="113"/>
  <c r="M2649" i="113"/>
  <c r="M2648" i="113"/>
  <c r="M2647" i="113"/>
  <c r="M2646" i="113"/>
  <c r="M2645" i="113"/>
  <c r="M2644" i="113"/>
  <c r="M2643" i="113"/>
  <c r="M2642" i="113"/>
  <c r="M2641" i="113"/>
  <c r="M2640" i="113"/>
  <c r="M2639" i="113"/>
  <c r="M2638" i="113"/>
  <c r="M2637" i="113"/>
  <c r="M2636" i="113"/>
  <c r="M2635" i="113"/>
  <c r="M2634" i="113"/>
  <c r="M2633" i="113"/>
  <c r="M2632" i="113"/>
  <c r="M2631" i="113"/>
  <c r="M2630" i="113"/>
  <c r="M2629" i="113"/>
  <c r="M2628" i="113"/>
  <c r="M2627" i="113"/>
  <c r="M2626" i="113"/>
  <c r="M2625" i="113"/>
  <c r="M2624" i="113"/>
  <c r="M2623" i="113"/>
  <c r="M2622" i="113"/>
  <c r="M2621" i="113"/>
  <c r="M2620" i="113"/>
  <c r="M2619" i="113"/>
  <c r="M2618" i="113"/>
  <c r="M2617" i="113"/>
  <c r="M2616" i="113"/>
  <c r="M2615" i="113"/>
  <c r="M2614" i="113"/>
  <c r="M2613" i="113"/>
  <c r="M2612" i="113"/>
  <c r="M2611" i="113"/>
  <c r="M2610" i="113"/>
  <c r="M2609" i="113"/>
  <c r="M2608" i="113"/>
  <c r="M2607" i="113"/>
  <c r="M2606" i="113"/>
  <c r="M2605" i="113"/>
  <c r="M2604" i="113"/>
  <c r="M2603" i="113"/>
  <c r="M2602" i="113"/>
  <c r="M2601" i="113"/>
  <c r="M2600" i="113"/>
  <c r="M2599" i="113"/>
  <c r="M2598" i="113"/>
  <c r="M2597" i="113"/>
  <c r="M2596" i="113"/>
  <c r="M2595" i="113"/>
  <c r="M2594" i="113"/>
  <c r="M2593" i="113"/>
  <c r="M2592" i="113"/>
  <c r="M2591" i="113"/>
  <c r="M2590" i="113"/>
  <c r="M2589" i="113"/>
  <c r="M2588" i="113"/>
  <c r="M2587" i="113"/>
  <c r="M2586" i="113"/>
  <c r="M2585" i="113"/>
  <c r="M2584" i="113"/>
  <c r="M2583" i="113"/>
  <c r="M2582" i="113"/>
  <c r="M2581" i="113"/>
  <c r="M2580" i="113"/>
  <c r="M2579" i="113"/>
  <c r="M2578" i="113"/>
  <c r="M2577" i="113"/>
  <c r="M2576" i="113"/>
  <c r="M2575" i="113"/>
  <c r="M2574" i="113"/>
  <c r="M2573" i="113"/>
  <c r="M2572" i="113"/>
  <c r="M2571" i="113"/>
  <c r="M2570" i="113"/>
  <c r="M2569" i="113"/>
  <c r="M2568" i="113"/>
  <c r="M2567" i="113"/>
  <c r="M2566" i="113"/>
  <c r="M2565" i="113"/>
  <c r="M2564" i="113"/>
  <c r="M2563" i="113"/>
  <c r="M2562" i="113"/>
  <c r="M2561" i="113"/>
  <c r="M2560" i="113"/>
  <c r="M2559" i="113"/>
  <c r="M2558" i="113"/>
  <c r="M2557" i="113"/>
  <c r="M2556" i="113"/>
  <c r="M2555" i="113"/>
  <c r="M2554" i="113"/>
  <c r="M2553" i="113"/>
  <c r="M2552" i="113"/>
  <c r="M2551" i="113"/>
  <c r="M2550" i="113"/>
  <c r="M2549" i="113"/>
  <c r="M2548" i="113"/>
  <c r="M2547" i="113"/>
  <c r="M2546" i="113"/>
  <c r="M2545" i="113"/>
  <c r="M2544" i="113"/>
  <c r="M2543" i="113"/>
  <c r="M2542" i="113"/>
  <c r="M2541" i="113"/>
  <c r="M2540" i="113"/>
  <c r="M2539" i="113"/>
  <c r="M2538" i="113"/>
  <c r="M2537" i="113"/>
  <c r="M2536" i="113"/>
  <c r="M2535" i="113"/>
  <c r="M2534" i="113"/>
  <c r="M2533" i="113"/>
  <c r="M2532" i="113"/>
  <c r="M2531" i="113"/>
  <c r="M2530" i="113"/>
  <c r="M2529" i="113"/>
  <c r="M2528" i="113"/>
  <c r="M2527" i="113"/>
  <c r="M2526" i="113"/>
  <c r="M2525" i="113"/>
  <c r="M2524" i="113"/>
  <c r="M2523" i="113"/>
  <c r="M2522" i="113"/>
  <c r="M2521" i="113"/>
  <c r="M2520" i="113"/>
  <c r="M2519" i="113"/>
  <c r="M2518" i="113"/>
  <c r="M2517" i="113"/>
  <c r="M2516" i="113"/>
  <c r="M2515" i="113"/>
  <c r="M2514" i="113"/>
  <c r="M2513" i="113"/>
  <c r="M2512" i="113"/>
  <c r="M2511" i="113"/>
  <c r="M2510" i="113"/>
  <c r="M2509" i="113"/>
  <c r="M2508" i="113"/>
  <c r="M2507" i="113"/>
  <c r="M2506" i="113"/>
  <c r="M2505" i="113"/>
  <c r="M2504" i="113"/>
  <c r="M2503" i="113"/>
  <c r="M2502" i="113"/>
  <c r="M2501" i="113"/>
  <c r="N2500" i="113"/>
  <c r="M2500" i="113"/>
  <c r="M2499" i="113"/>
  <c r="M2498" i="113"/>
  <c r="M2497" i="113"/>
  <c r="M2496" i="113"/>
  <c r="M2495" i="113"/>
  <c r="M2494" i="113"/>
  <c r="M2493" i="113"/>
  <c r="M2492" i="113"/>
  <c r="M2491" i="113"/>
  <c r="M2490" i="113"/>
  <c r="M2489" i="113"/>
  <c r="M2488" i="113"/>
  <c r="M2487" i="113"/>
  <c r="M2486" i="113"/>
  <c r="M2485" i="113"/>
  <c r="M2484" i="113"/>
  <c r="M2483" i="113"/>
  <c r="M2482" i="113"/>
  <c r="M2481" i="113"/>
  <c r="M2480" i="113"/>
  <c r="M2479" i="113"/>
  <c r="M2478" i="113"/>
  <c r="M2477" i="113"/>
  <c r="M2476" i="113"/>
  <c r="M2475" i="113"/>
  <c r="M2474" i="113"/>
  <c r="M2473" i="113"/>
  <c r="M2472" i="113"/>
  <c r="M2471" i="113"/>
  <c r="M2470" i="113"/>
  <c r="M2469" i="113"/>
  <c r="M2468" i="113"/>
  <c r="M2467" i="113"/>
  <c r="M2466" i="113"/>
  <c r="M2465" i="113"/>
  <c r="M2464" i="113"/>
  <c r="M2463" i="113"/>
  <c r="M2462" i="113"/>
  <c r="M2461" i="113"/>
  <c r="M2460" i="113"/>
  <c r="M2459" i="113"/>
  <c r="M2458" i="113"/>
  <c r="M2457" i="113"/>
  <c r="M2456" i="113"/>
  <c r="M2455" i="113"/>
  <c r="M2454" i="113"/>
  <c r="M2453" i="113"/>
  <c r="M2452" i="113"/>
  <c r="M2451" i="113"/>
  <c r="M2450" i="113"/>
  <c r="M2449" i="113"/>
  <c r="M2448" i="113"/>
  <c r="M2447" i="113"/>
  <c r="M2446" i="113"/>
  <c r="M2445" i="113"/>
  <c r="M2444" i="113"/>
  <c r="M2443" i="113"/>
  <c r="M2442" i="113"/>
  <c r="M2441" i="113"/>
  <c r="M2440" i="113"/>
  <c r="M2439" i="113"/>
  <c r="M2438" i="113"/>
  <c r="M2437" i="113"/>
  <c r="M2436" i="113"/>
  <c r="M2435" i="113"/>
  <c r="M2434" i="113"/>
  <c r="M2433" i="113"/>
  <c r="M2432" i="113"/>
  <c r="M2431" i="113"/>
  <c r="M2430" i="113"/>
  <c r="M2429" i="113"/>
  <c r="M2428" i="113"/>
  <c r="M2427" i="113"/>
  <c r="M2426" i="113"/>
  <c r="M2425" i="113"/>
  <c r="M2424" i="113"/>
  <c r="M2423" i="113"/>
  <c r="M2422" i="113"/>
  <c r="M2421" i="113"/>
  <c r="M2420" i="113"/>
  <c r="M2419" i="113"/>
  <c r="M2418" i="113"/>
  <c r="M2417" i="113"/>
  <c r="M2416" i="113"/>
  <c r="M2415" i="113"/>
  <c r="M2414" i="113"/>
  <c r="M2413" i="113"/>
  <c r="M2412" i="113"/>
  <c r="M2411" i="113"/>
  <c r="M2410" i="113"/>
  <c r="M2409" i="113"/>
  <c r="M2408" i="113"/>
  <c r="M2407" i="113"/>
  <c r="M2406" i="113"/>
  <c r="M2405" i="113"/>
  <c r="M2404" i="113"/>
  <c r="M2403" i="113"/>
  <c r="M2402" i="113"/>
  <c r="M2401" i="113"/>
  <c r="M2400" i="113"/>
  <c r="M2399" i="113"/>
  <c r="M2398" i="113"/>
  <c r="M2397" i="113"/>
  <c r="M2396" i="113"/>
  <c r="M2395" i="113"/>
  <c r="M2394" i="113"/>
  <c r="M2393" i="113"/>
  <c r="M2392" i="113"/>
  <c r="M2391" i="113"/>
  <c r="M2390" i="113"/>
  <c r="M2389" i="113"/>
  <c r="M2388" i="113"/>
  <c r="M2387" i="113"/>
  <c r="M2386" i="113"/>
  <c r="M2385" i="113"/>
  <c r="M2384" i="113"/>
  <c r="M2383" i="113"/>
  <c r="M2382" i="113"/>
  <c r="M2381" i="113"/>
  <c r="M2380" i="113"/>
  <c r="M2379" i="113"/>
  <c r="M2378" i="113"/>
  <c r="M2377" i="113"/>
  <c r="M2376" i="113"/>
  <c r="M2375" i="113"/>
  <c r="M2374" i="113"/>
  <c r="M2373" i="113"/>
  <c r="M2372" i="113"/>
  <c r="M2371" i="113"/>
  <c r="M2370" i="113"/>
  <c r="M2369" i="113"/>
  <c r="M2368" i="113"/>
  <c r="M2367" i="113"/>
  <c r="M2366" i="113"/>
  <c r="M2365" i="113"/>
  <c r="M2364" i="113"/>
  <c r="M2363" i="113"/>
  <c r="M2362" i="113"/>
  <c r="M2361" i="113"/>
  <c r="M2360" i="113"/>
  <c r="M2359" i="113"/>
  <c r="M2358" i="113"/>
  <c r="M2357" i="113"/>
  <c r="M2356" i="113"/>
  <c r="M2355" i="113"/>
  <c r="M2354" i="113"/>
  <c r="M2353" i="113"/>
  <c r="M2352" i="113"/>
  <c r="M2351" i="113"/>
  <c r="M2350" i="113"/>
  <c r="M2349" i="113"/>
  <c r="M2348" i="113"/>
  <c r="M2347" i="113"/>
  <c r="M2346" i="113"/>
  <c r="M2345" i="113"/>
  <c r="M2344" i="113"/>
  <c r="M2343" i="113"/>
  <c r="M2342" i="113"/>
  <c r="M2341" i="113"/>
  <c r="M2340" i="113"/>
  <c r="M2339" i="113"/>
  <c r="M2338" i="113"/>
  <c r="M2337" i="113"/>
  <c r="M2336" i="113"/>
  <c r="M2335" i="113"/>
  <c r="M2334" i="113"/>
  <c r="M2333" i="113"/>
  <c r="M2332" i="113"/>
  <c r="M2331" i="113"/>
  <c r="M2330" i="113"/>
  <c r="M2329" i="113"/>
  <c r="M2328" i="113"/>
  <c r="M2327" i="113"/>
  <c r="M2326" i="113"/>
  <c r="M2325" i="113"/>
  <c r="M2324" i="113"/>
  <c r="M2323" i="113"/>
  <c r="M2322" i="113"/>
  <c r="M2321" i="113"/>
  <c r="M2320" i="113"/>
  <c r="M2319" i="113"/>
  <c r="M2318" i="113"/>
  <c r="M2317" i="113"/>
  <c r="M2316" i="113"/>
  <c r="M2315" i="113"/>
  <c r="M2314" i="113"/>
  <c r="M2313" i="113"/>
  <c r="M2312" i="113"/>
  <c r="M2311" i="113"/>
  <c r="M2310" i="113"/>
  <c r="M2309" i="113"/>
  <c r="M2308" i="113"/>
  <c r="M2307" i="113"/>
  <c r="M2306" i="113"/>
  <c r="M2305" i="113"/>
  <c r="M2304" i="113"/>
  <c r="M2303" i="113"/>
  <c r="M2302" i="113"/>
  <c r="M2301" i="113"/>
  <c r="M2300" i="113"/>
  <c r="M2299" i="113"/>
  <c r="M2298" i="113"/>
  <c r="M2297" i="113"/>
  <c r="M2296" i="113"/>
  <c r="M2295" i="113"/>
  <c r="M2294" i="113"/>
  <c r="M2293" i="113"/>
  <c r="M2292" i="113"/>
  <c r="M2291" i="113"/>
  <c r="M2290" i="113"/>
  <c r="M2289" i="113"/>
  <c r="M2288" i="113"/>
  <c r="M2287" i="113"/>
  <c r="M2286" i="113"/>
  <c r="M2285" i="113"/>
  <c r="M2284" i="113"/>
  <c r="M2283" i="113"/>
  <c r="M2282" i="113"/>
  <c r="M2281" i="113"/>
  <c r="M2280" i="113"/>
  <c r="M2279" i="113"/>
  <c r="M2278" i="113"/>
  <c r="M2277" i="113"/>
  <c r="M2276" i="113"/>
  <c r="M2275" i="113"/>
  <c r="M2274" i="113"/>
  <c r="M2273" i="113"/>
  <c r="M2272" i="113"/>
  <c r="M2271" i="113"/>
  <c r="M2270" i="113"/>
  <c r="M2269" i="113"/>
  <c r="M2268" i="113"/>
  <c r="M2267" i="113"/>
  <c r="M2266" i="113"/>
  <c r="M2265" i="113"/>
  <c r="M2264" i="113"/>
  <c r="M2263" i="113"/>
  <c r="M2262" i="113"/>
  <c r="M2261" i="113"/>
  <c r="M2260" i="113"/>
  <c r="M2259" i="113"/>
  <c r="M2258" i="113"/>
  <c r="M2257" i="113"/>
  <c r="M2256" i="113"/>
  <c r="M2255" i="113"/>
  <c r="M2254" i="113"/>
  <c r="M2253" i="113"/>
  <c r="M2252" i="113"/>
  <c r="M2251" i="113"/>
  <c r="M2250" i="113"/>
  <c r="M2249" i="113"/>
  <c r="M2248" i="113"/>
  <c r="M2247" i="113"/>
  <c r="M2246" i="113"/>
  <c r="M2245" i="113"/>
  <c r="M2244" i="113"/>
  <c r="M2243" i="113"/>
  <c r="M2242" i="113"/>
  <c r="M2241" i="113"/>
  <c r="M2240" i="113"/>
  <c r="M2239" i="113"/>
  <c r="M2238" i="113"/>
  <c r="M2237" i="113"/>
  <c r="M2236" i="113"/>
  <c r="M2235" i="113"/>
  <c r="M2234" i="113"/>
  <c r="M2233" i="113"/>
  <c r="M2232" i="113"/>
  <c r="M2231" i="113"/>
  <c r="M2230" i="113"/>
  <c r="M2229" i="113"/>
  <c r="M2228" i="113"/>
  <c r="M2227" i="113"/>
  <c r="M2226" i="113"/>
  <c r="M2225" i="113"/>
  <c r="M2224" i="113"/>
  <c r="M2223" i="113"/>
  <c r="M2222" i="113"/>
  <c r="M2221" i="113"/>
  <c r="M2220" i="113"/>
  <c r="M2219" i="113"/>
  <c r="M2218" i="113"/>
  <c r="M2217" i="113"/>
  <c r="M2216" i="113"/>
  <c r="M2215" i="113"/>
  <c r="M2214" i="113"/>
  <c r="M2213" i="113"/>
  <c r="M2212" i="113"/>
  <c r="M2211" i="113"/>
  <c r="M2210" i="113"/>
  <c r="M2209" i="113"/>
  <c r="M2208" i="113"/>
  <c r="M2207" i="113"/>
  <c r="M2206" i="113"/>
  <c r="M2205" i="113"/>
  <c r="M2204" i="113"/>
  <c r="M2203" i="113"/>
  <c r="M2202" i="113"/>
  <c r="M2201" i="113"/>
  <c r="M2200" i="113"/>
  <c r="M2199" i="113"/>
  <c r="M2198" i="113"/>
  <c r="M2197" i="113"/>
  <c r="M2196" i="113"/>
  <c r="M2195" i="113"/>
  <c r="M2194" i="113"/>
  <c r="M2193" i="113"/>
  <c r="M2192" i="113"/>
  <c r="M2191" i="113"/>
  <c r="M2190" i="113"/>
  <c r="M2189" i="113"/>
  <c r="M2188" i="113"/>
  <c r="M2187" i="113"/>
  <c r="M2186" i="113"/>
  <c r="M2185" i="113"/>
  <c r="M2184" i="113"/>
  <c r="M2183" i="113"/>
  <c r="M2182" i="113"/>
  <c r="M2181" i="113"/>
  <c r="M2180" i="113"/>
  <c r="M2179" i="113"/>
  <c r="M2178" i="113"/>
  <c r="M2177" i="113"/>
  <c r="M2176" i="113"/>
  <c r="M2175" i="113"/>
  <c r="M2174" i="113"/>
  <c r="M2173" i="113"/>
  <c r="M2172" i="113"/>
  <c r="M2171" i="113"/>
  <c r="M2170" i="113"/>
  <c r="M2169" i="113"/>
  <c r="M2168" i="113"/>
  <c r="M2167" i="113"/>
  <c r="M2166" i="113"/>
  <c r="M2165" i="113"/>
  <c r="M2164" i="113"/>
  <c r="M2163" i="113"/>
  <c r="M2162" i="113"/>
  <c r="M2161" i="113"/>
  <c r="M2160" i="113"/>
  <c r="M2159" i="113"/>
  <c r="M2158" i="113"/>
  <c r="M2157" i="113"/>
  <c r="M2156" i="113"/>
  <c r="M2155" i="113"/>
  <c r="M2154" i="113"/>
  <c r="M2153" i="113"/>
  <c r="M2152" i="113"/>
  <c r="M2151" i="113"/>
  <c r="M2150" i="113"/>
  <c r="M2149" i="113"/>
  <c r="M2148" i="113"/>
  <c r="M2147" i="113"/>
  <c r="M2146" i="113"/>
  <c r="M2145" i="113"/>
  <c r="M2144" i="113"/>
  <c r="M2143" i="113"/>
  <c r="M2142" i="113"/>
  <c r="M2141" i="113"/>
  <c r="M2140" i="113"/>
  <c r="M2139" i="113"/>
  <c r="M2138" i="113"/>
  <c r="M2137" i="113"/>
  <c r="M2136" i="113"/>
  <c r="M2135" i="113"/>
  <c r="M2134" i="113"/>
  <c r="M2133" i="113"/>
  <c r="M2132" i="113"/>
  <c r="M2131" i="113"/>
  <c r="M2130" i="113"/>
  <c r="M2129" i="113"/>
  <c r="M2128" i="113"/>
  <c r="M2127" i="113"/>
  <c r="M2126" i="113"/>
  <c r="M2125" i="113"/>
  <c r="M2124" i="113"/>
  <c r="M2123" i="113"/>
  <c r="M2122" i="113"/>
  <c r="M2121" i="113"/>
  <c r="M2120" i="113"/>
  <c r="M2119" i="113"/>
  <c r="M2118" i="113"/>
  <c r="M2117" i="113"/>
  <c r="M2116" i="113"/>
  <c r="M2115" i="113"/>
  <c r="M2114" i="113"/>
  <c r="M2113" i="113"/>
  <c r="M2112" i="113"/>
  <c r="M2111" i="113"/>
  <c r="M2110" i="113"/>
  <c r="M2109" i="113"/>
  <c r="M2108" i="113"/>
  <c r="M2107" i="113"/>
  <c r="M2106" i="113"/>
  <c r="M2105" i="113"/>
  <c r="M2104" i="113"/>
  <c r="M2103" i="113"/>
  <c r="M2102" i="113"/>
  <c r="M2101" i="113"/>
  <c r="M2100" i="113"/>
  <c r="M2099" i="113"/>
  <c r="M2098" i="113"/>
  <c r="M2097" i="113"/>
  <c r="M2096" i="113"/>
  <c r="M2095" i="113"/>
  <c r="M2094" i="113"/>
  <c r="M2093" i="113"/>
  <c r="M2092" i="113"/>
  <c r="M2091" i="113"/>
  <c r="M2090" i="113"/>
  <c r="M2089" i="113"/>
  <c r="M2088" i="113"/>
  <c r="M2087" i="113"/>
  <c r="M2086" i="113"/>
  <c r="M2085" i="113"/>
  <c r="M2084" i="113"/>
  <c r="M2083" i="113"/>
  <c r="M2082" i="113"/>
  <c r="M2081" i="113"/>
  <c r="M2080" i="113"/>
  <c r="M2079" i="113"/>
  <c r="M2078" i="113"/>
  <c r="M2077" i="113"/>
  <c r="M2076" i="113"/>
  <c r="M2075" i="113"/>
  <c r="M2074" i="113"/>
  <c r="M2073" i="113"/>
  <c r="M2072" i="113"/>
  <c r="M2071" i="113"/>
  <c r="M2070" i="113"/>
  <c r="M2069" i="113"/>
  <c r="M2068" i="113"/>
  <c r="M2067" i="113"/>
  <c r="M2066" i="113"/>
  <c r="M2065" i="113"/>
  <c r="M2064" i="113"/>
  <c r="M2063" i="113"/>
  <c r="M2062" i="113"/>
  <c r="M2061" i="113"/>
  <c r="M2060" i="113"/>
  <c r="M2059" i="113"/>
  <c r="M2058" i="113"/>
  <c r="M2057" i="113"/>
  <c r="M2056" i="113"/>
  <c r="M2055" i="113"/>
  <c r="M2054" i="113"/>
  <c r="M2053" i="113"/>
  <c r="M2052" i="113"/>
  <c r="M2051" i="113"/>
  <c r="M2050" i="113"/>
  <c r="M2049" i="113"/>
  <c r="M2048" i="113"/>
  <c r="M2047" i="113"/>
  <c r="M2046" i="113"/>
  <c r="M2045" i="113"/>
  <c r="M2044" i="113"/>
  <c r="M2043" i="113"/>
  <c r="M2042" i="113"/>
  <c r="M2041" i="113"/>
  <c r="M2040" i="113"/>
  <c r="M2039" i="113"/>
  <c r="M2038" i="113"/>
  <c r="M2037" i="113"/>
  <c r="M2036" i="113"/>
  <c r="M2035" i="113"/>
  <c r="M2034" i="113"/>
  <c r="M2033" i="113"/>
  <c r="M2032" i="113"/>
  <c r="M2031" i="113"/>
  <c r="M2030" i="113"/>
  <c r="M2029" i="113"/>
  <c r="M2028" i="113"/>
  <c r="M2027" i="113"/>
  <c r="M2026" i="113"/>
  <c r="M2025" i="113"/>
  <c r="M2024" i="113"/>
  <c r="M2023" i="113"/>
  <c r="M2022" i="113"/>
  <c r="M2021" i="113"/>
  <c r="M2020" i="113"/>
  <c r="M2019" i="113"/>
  <c r="M2018" i="113"/>
  <c r="M2017" i="113"/>
  <c r="M2016" i="113"/>
  <c r="M2015" i="113"/>
  <c r="M2014" i="113"/>
  <c r="M2013" i="113"/>
  <c r="M2012" i="113"/>
  <c r="M2011" i="113"/>
  <c r="M2010" i="113"/>
  <c r="M2009" i="113"/>
  <c r="M2008" i="113"/>
  <c r="M2007" i="113"/>
  <c r="M2006" i="113"/>
  <c r="M2005" i="113"/>
  <c r="M2004" i="113"/>
  <c r="M2003" i="113"/>
  <c r="M2002" i="113"/>
  <c r="M2001" i="113"/>
  <c r="M2000" i="113"/>
  <c r="M1999" i="113"/>
  <c r="M1998" i="113"/>
  <c r="M1997" i="113"/>
  <c r="M1996" i="113"/>
  <c r="M1995" i="113"/>
  <c r="M1994" i="113"/>
  <c r="M1993" i="113"/>
  <c r="M1992" i="113"/>
  <c r="M1991" i="113"/>
  <c r="M1990" i="113"/>
  <c r="M1989" i="113"/>
  <c r="M1988" i="113"/>
  <c r="M1987" i="113"/>
  <c r="M1986" i="113"/>
  <c r="M1985" i="113"/>
  <c r="M1984" i="113"/>
  <c r="M1983" i="113"/>
  <c r="M1982" i="113"/>
  <c r="M1981" i="113"/>
  <c r="M1980" i="113"/>
  <c r="M1979" i="113"/>
  <c r="M1978" i="113"/>
  <c r="M1977" i="113"/>
  <c r="M1976" i="113"/>
  <c r="M1975" i="113"/>
  <c r="M1974" i="113"/>
  <c r="M1973" i="113"/>
  <c r="M1972" i="113"/>
  <c r="M1971" i="113"/>
  <c r="M1970" i="113"/>
  <c r="M1969" i="113"/>
  <c r="M1968" i="113"/>
  <c r="M1967" i="113"/>
  <c r="M1966" i="113"/>
  <c r="M1965" i="113"/>
  <c r="M1964" i="113"/>
  <c r="M1963" i="113"/>
  <c r="M1962" i="113"/>
  <c r="M1961" i="113"/>
  <c r="M1960" i="113"/>
  <c r="M1959" i="113"/>
  <c r="M1958" i="113"/>
  <c r="M1957" i="113"/>
  <c r="M1956" i="113"/>
  <c r="M1955" i="113"/>
  <c r="M1954" i="113"/>
  <c r="M1953" i="113"/>
  <c r="M1952" i="113"/>
  <c r="M1951" i="113"/>
  <c r="M1950" i="113"/>
  <c r="M1949" i="113"/>
  <c r="M1948" i="113"/>
  <c r="M1947" i="113"/>
  <c r="M1946" i="113"/>
  <c r="M1945" i="113"/>
  <c r="M1944" i="113"/>
  <c r="M1943" i="113"/>
  <c r="M1942" i="113"/>
  <c r="M1941" i="113"/>
  <c r="M1940" i="113"/>
  <c r="M1939" i="113"/>
  <c r="M1938" i="113"/>
  <c r="M1937" i="113"/>
  <c r="M1936" i="113"/>
  <c r="M1935" i="113"/>
  <c r="M1934" i="113"/>
  <c r="M1933" i="113"/>
  <c r="M1932" i="113"/>
  <c r="M1931" i="113"/>
  <c r="M1930" i="113"/>
  <c r="M1929" i="113"/>
  <c r="M1928" i="113"/>
  <c r="M1927" i="113"/>
  <c r="M1926" i="113"/>
  <c r="M1925" i="113"/>
  <c r="M1924" i="113"/>
  <c r="M1923" i="113"/>
  <c r="M1922" i="113"/>
  <c r="M1921" i="113"/>
  <c r="M1920" i="113"/>
  <c r="M1919" i="113"/>
  <c r="M1918" i="113"/>
  <c r="M1917" i="113"/>
  <c r="M1916" i="113"/>
  <c r="M1915" i="113"/>
  <c r="M1914" i="113"/>
  <c r="M1913" i="113"/>
  <c r="M1912" i="113"/>
  <c r="M1911" i="113"/>
  <c r="M1910" i="113"/>
  <c r="M1909" i="113"/>
  <c r="M1908" i="113"/>
  <c r="M1907" i="113"/>
  <c r="M1906" i="113"/>
  <c r="M1905" i="113"/>
  <c r="M1904" i="113"/>
  <c r="M1903" i="113"/>
  <c r="M1902" i="113"/>
  <c r="M1901" i="113"/>
  <c r="M1900" i="113"/>
  <c r="M1899" i="113"/>
  <c r="M1898" i="113"/>
  <c r="M1897" i="113"/>
  <c r="M1896" i="113"/>
  <c r="M1895" i="113"/>
  <c r="M1894" i="113"/>
  <c r="M1893" i="113"/>
  <c r="M1892" i="113"/>
  <c r="M1891" i="113"/>
  <c r="M1890" i="113"/>
  <c r="M1889" i="113"/>
  <c r="M1888" i="113"/>
  <c r="M1887" i="113"/>
  <c r="M1886" i="113"/>
  <c r="M1885" i="113"/>
  <c r="M1884" i="113"/>
  <c r="M1883" i="113"/>
  <c r="M1882" i="113"/>
  <c r="M1881" i="113"/>
  <c r="M1880" i="113"/>
  <c r="M1879" i="113"/>
  <c r="M1878" i="113"/>
  <c r="M1877" i="113"/>
  <c r="M1876" i="113"/>
  <c r="M1875" i="113"/>
  <c r="M1874" i="113"/>
  <c r="M1873" i="113"/>
  <c r="M1872" i="113"/>
  <c r="M1871" i="113"/>
  <c r="M1870" i="113"/>
  <c r="M1869" i="113"/>
  <c r="M1868" i="113"/>
  <c r="M1867" i="113"/>
  <c r="M1866" i="113"/>
  <c r="M1865" i="113"/>
  <c r="M1864" i="113"/>
  <c r="M1863" i="113"/>
  <c r="M1862" i="113"/>
  <c r="M1861" i="113"/>
  <c r="M1860" i="113"/>
  <c r="M1859" i="113"/>
  <c r="M1858" i="113"/>
  <c r="M1857" i="113"/>
  <c r="M1856" i="113"/>
  <c r="M1855" i="113"/>
  <c r="M1854" i="113"/>
  <c r="M1853" i="113"/>
  <c r="M1852" i="113"/>
  <c r="M1851" i="113"/>
  <c r="M1850" i="113"/>
  <c r="M1849" i="113"/>
  <c r="M1848" i="113"/>
  <c r="M1847" i="113"/>
  <c r="M1846" i="113"/>
  <c r="M1845" i="113"/>
  <c r="M1844" i="113"/>
  <c r="M1843" i="113"/>
  <c r="M1842" i="113"/>
  <c r="M1841" i="113"/>
  <c r="M1840" i="113"/>
  <c r="M1839" i="113"/>
  <c r="M1838" i="113"/>
  <c r="M1837" i="113"/>
  <c r="M1836" i="113"/>
  <c r="M1835" i="113"/>
  <c r="M1834" i="113"/>
  <c r="M1833" i="113"/>
  <c r="M1832" i="113"/>
  <c r="M1831" i="113"/>
  <c r="M1830" i="113"/>
  <c r="M1829" i="113"/>
  <c r="M1828" i="113"/>
  <c r="M1827" i="113"/>
  <c r="M1826" i="113"/>
  <c r="M1825" i="113"/>
  <c r="M1824" i="113"/>
  <c r="M1823" i="113"/>
  <c r="M1822" i="113"/>
  <c r="M1821" i="113"/>
  <c r="M1820" i="113"/>
  <c r="M1819" i="113"/>
  <c r="M1818" i="113"/>
  <c r="M1817" i="113"/>
  <c r="M1816" i="113"/>
  <c r="M1815" i="113"/>
  <c r="M1814" i="113"/>
  <c r="M1813" i="113"/>
  <c r="M1812" i="113"/>
  <c r="M1811" i="113"/>
  <c r="M1810" i="113"/>
  <c r="M1809" i="113"/>
  <c r="M1808" i="113"/>
  <c r="M1807" i="113"/>
  <c r="M1806" i="113"/>
  <c r="M1805" i="113"/>
  <c r="M1804" i="113"/>
  <c r="M1803" i="113"/>
  <c r="M1802" i="113"/>
  <c r="M1801" i="113"/>
  <c r="M1800" i="113"/>
  <c r="M1799" i="113"/>
  <c r="M1798" i="113"/>
  <c r="M1797" i="113"/>
  <c r="M1796" i="113"/>
  <c r="M1795" i="113"/>
  <c r="M1794" i="113"/>
  <c r="M1793" i="113"/>
  <c r="M1792" i="113"/>
  <c r="M1791" i="113"/>
  <c r="M1790" i="113"/>
  <c r="M1789" i="113"/>
  <c r="M1788" i="113"/>
  <c r="M1787" i="113"/>
  <c r="M1786" i="113"/>
  <c r="M1785" i="113"/>
  <c r="M1784" i="113"/>
  <c r="M1783" i="113"/>
  <c r="M1782" i="113"/>
  <c r="M1781" i="113"/>
  <c r="M1780" i="113"/>
  <c r="M1779" i="113"/>
  <c r="M1778" i="113"/>
  <c r="M1777" i="113"/>
  <c r="M1776" i="113"/>
  <c r="M1775" i="113"/>
  <c r="M1774" i="113"/>
  <c r="M1773" i="113"/>
  <c r="M1772" i="113"/>
  <c r="M1771" i="113"/>
  <c r="M1770" i="113"/>
  <c r="M1769" i="113"/>
  <c r="M1768" i="113"/>
  <c r="M1767" i="113"/>
  <c r="M1766" i="113"/>
  <c r="M1765" i="113"/>
  <c r="M1764" i="113"/>
  <c r="M1763" i="113"/>
  <c r="M1762" i="113"/>
  <c r="M1761" i="113"/>
  <c r="M1760" i="113"/>
  <c r="M1759" i="113"/>
  <c r="M1758" i="113"/>
  <c r="M1757" i="113"/>
  <c r="M1756" i="113"/>
  <c r="M1755" i="113"/>
  <c r="M1754" i="113"/>
  <c r="M1753" i="113"/>
  <c r="M1752" i="113"/>
  <c r="M1751" i="113"/>
  <c r="M1750" i="113"/>
  <c r="M1749" i="113"/>
  <c r="M1748" i="113"/>
  <c r="M1747" i="113"/>
  <c r="M1746" i="113"/>
  <c r="M1745" i="113"/>
  <c r="M1744" i="113"/>
  <c r="M1743" i="113"/>
  <c r="M1742" i="113"/>
  <c r="M1741" i="113"/>
  <c r="M1740" i="113"/>
  <c r="M1739" i="113"/>
  <c r="M1738" i="113"/>
  <c r="M1737" i="113"/>
  <c r="M1736" i="113"/>
  <c r="M1735" i="113"/>
  <c r="M1734" i="113"/>
  <c r="M1733" i="113"/>
  <c r="M1732" i="113"/>
  <c r="M1731" i="113"/>
  <c r="M1730" i="113"/>
  <c r="M1729" i="113"/>
  <c r="M1728" i="113"/>
  <c r="M1727" i="113"/>
  <c r="M1726" i="113"/>
  <c r="M1725" i="113"/>
  <c r="M1724" i="113"/>
  <c r="M1723" i="113"/>
  <c r="M1722" i="113"/>
  <c r="M1721" i="113"/>
  <c r="M1720" i="113"/>
  <c r="M1719" i="113"/>
  <c r="M1718" i="113"/>
  <c r="M1717" i="113"/>
  <c r="M1716" i="113"/>
  <c r="M1715" i="113"/>
  <c r="M1714" i="113"/>
  <c r="M1713" i="113"/>
  <c r="M1712" i="113"/>
  <c r="M1711" i="113"/>
  <c r="M1710" i="113"/>
  <c r="M1709" i="113"/>
  <c r="M1708" i="113"/>
  <c r="M1707" i="113"/>
  <c r="M1706" i="113"/>
  <c r="M1705" i="113"/>
  <c r="M1704" i="113"/>
  <c r="M1703" i="113"/>
  <c r="M1702" i="113"/>
  <c r="M1701" i="113"/>
  <c r="M1700" i="113"/>
  <c r="M1699" i="113"/>
  <c r="M1698" i="113"/>
  <c r="M1697" i="113"/>
  <c r="M1696" i="113"/>
  <c r="M1695" i="113"/>
  <c r="M1694" i="113"/>
  <c r="M1693" i="113"/>
  <c r="M1692" i="113"/>
  <c r="M1691" i="113"/>
  <c r="M1690" i="113"/>
  <c r="M1689" i="113"/>
  <c r="M1688" i="113"/>
  <c r="M1687" i="113"/>
  <c r="M1686" i="113"/>
  <c r="M1685" i="113"/>
  <c r="M1684" i="113"/>
  <c r="M1683" i="113"/>
  <c r="M1682" i="113"/>
  <c r="M1681" i="113"/>
  <c r="M1680" i="113"/>
  <c r="M1679" i="113"/>
  <c r="M1678" i="113"/>
  <c r="M1677" i="113"/>
  <c r="M1676" i="113"/>
  <c r="M1675" i="113"/>
  <c r="M1674" i="113"/>
  <c r="M1673" i="113"/>
  <c r="M1672" i="113"/>
  <c r="M1671" i="113"/>
  <c r="M1670" i="113"/>
  <c r="M1669" i="113"/>
  <c r="M1668" i="113"/>
  <c r="M1667" i="113"/>
  <c r="M1666" i="113"/>
  <c r="M1665" i="113"/>
  <c r="M1664" i="113"/>
  <c r="M1663" i="113"/>
  <c r="M1662" i="113"/>
  <c r="M1661" i="113"/>
  <c r="M1660" i="113"/>
  <c r="M1659" i="113"/>
  <c r="M1658" i="113"/>
  <c r="M1657" i="113"/>
  <c r="M1656" i="113"/>
  <c r="M1655" i="113"/>
  <c r="M1654" i="113"/>
  <c r="M1653" i="113"/>
  <c r="M1652" i="113"/>
  <c r="M1651" i="113"/>
  <c r="M1650" i="113"/>
  <c r="M1649" i="113"/>
  <c r="M1648" i="113"/>
  <c r="M1647" i="113"/>
  <c r="M1646" i="113"/>
  <c r="M1645" i="113"/>
  <c r="M1644" i="113"/>
  <c r="M1643" i="113"/>
  <c r="M1642" i="113"/>
  <c r="M1641" i="113"/>
  <c r="M1640" i="113"/>
  <c r="M1639" i="113"/>
  <c r="M1638" i="113"/>
  <c r="M1637" i="113"/>
  <c r="M1636" i="113"/>
  <c r="M1635" i="113"/>
  <c r="M1634" i="113"/>
  <c r="M1633" i="113"/>
  <c r="M1632" i="113"/>
  <c r="M1631" i="113"/>
  <c r="M1630" i="113"/>
  <c r="M1629" i="113"/>
  <c r="M1628" i="113"/>
  <c r="M1627" i="113"/>
  <c r="M1626" i="113"/>
  <c r="M1625" i="113"/>
  <c r="M1624" i="113"/>
  <c r="M1623" i="113"/>
  <c r="M1622" i="113"/>
  <c r="M1621" i="113"/>
  <c r="M1620" i="113"/>
  <c r="M1619" i="113"/>
  <c r="M1618" i="113"/>
  <c r="M1617" i="113"/>
  <c r="M1616" i="113"/>
  <c r="M1615" i="113"/>
  <c r="M1614" i="113"/>
  <c r="M1613" i="113"/>
  <c r="M1612" i="113"/>
  <c r="M1611" i="113"/>
  <c r="M1610" i="113"/>
  <c r="M1609" i="113"/>
  <c r="M1608" i="113"/>
  <c r="M1607" i="113"/>
  <c r="M1606" i="113"/>
  <c r="M1605" i="113"/>
  <c r="M1604" i="113"/>
  <c r="M1603" i="113"/>
  <c r="M1602" i="113"/>
  <c r="M1601" i="113"/>
  <c r="M1600" i="113"/>
  <c r="M1599" i="113"/>
  <c r="M1598" i="113"/>
  <c r="M1597" i="113"/>
  <c r="M1596" i="113"/>
  <c r="M1595" i="113"/>
  <c r="M1594" i="113"/>
  <c r="M1593" i="113"/>
  <c r="M1592" i="113"/>
  <c r="M1591" i="113"/>
  <c r="M1590" i="113"/>
  <c r="M1589" i="113"/>
  <c r="M1588" i="113"/>
  <c r="M1587" i="113"/>
  <c r="M1586" i="113"/>
  <c r="M1585" i="113"/>
  <c r="M1584" i="113"/>
  <c r="M1583" i="113"/>
  <c r="M1582" i="113"/>
  <c r="M1581" i="113"/>
  <c r="M1580" i="113"/>
  <c r="M1579" i="113"/>
  <c r="M1578" i="113"/>
  <c r="M1577" i="113"/>
  <c r="M1576" i="113"/>
  <c r="M1575" i="113"/>
  <c r="M1574" i="113"/>
  <c r="M1573" i="113"/>
  <c r="M1572" i="113"/>
  <c r="M1571" i="113"/>
  <c r="M1570" i="113"/>
  <c r="M1569" i="113"/>
  <c r="M1568" i="113"/>
  <c r="M1567" i="113"/>
  <c r="M1566" i="113"/>
  <c r="M1565" i="113"/>
  <c r="M1564" i="113"/>
  <c r="M1563" i="113"/>
  <c r="M1562" i="113"/>
  <c r="M1561" i="113"/>
  <c r="M1560" i="113"/>
  <c r="M1559" i="113"/>
  <c r="M1558" i="113"/>
  <c r="M1557" i="113"/>
  <c r="M1556" i="113"/>
  <c r="M1555" i="113"/>
  <c r="M1554" i="113"/>
  <c r="M1553" i="113"/>
  <c r="M1552" i="113"/>
  <c r="M1551" i="113"/>
  <c r="M1550" i="113"/>
  <c r="M1549" i="113"/>
  <c r="M1548" i="113"/>
  <c r="M1547" i="113"/>
  <c r="M1546" i="113"/>
  <c r="M1545" i="113"/>
  <c r="M1544" i="113"/>
  <c r="M1543" i="113"/>
  <c r="M1542" i="113"/>
  <c r="M1541" i="113"/>
  <c r="M1540" i="113"/>
  <c r="M1539" i="113"/>
  <c r="M1538" i="113"/>
  <c r="M1537" i="113"/>
  <c r="M1536" i="113"/>
  <c r="M1535" i="113"/>
  <c r="M1534" i="113"/>
  <c r="M1533" i="113"/>
  <c r="M1532" i="113"/>
  <c r="M1531" i="113"/>
  <c r="M1530" i="113"/>
  <c r="M1529" i="113"/>
  <c r="M1528" i="113"/>
  <c r="M1527" i="113"/>
  <c r="M1526" i="113"/>
  <c r="M1525" i="113"/>
  <c r="M1524" i="113"/>
  <c r="M1523" i="113"/>
  <c r="M1522" i="113"/>
  <c r="M1521" i="113"/>
  <c r="M1520" i="113"/>
  <c r="M1519" i="113"/>
  <c r="M1518" i="113"/>
  <c r="M1517" i="113"/>
  <c r="M1516" i="113"/>
  <c r="M1515" i="113"/>
  <c r="M1514" i="113"/>
  <c r="M1513" i="113"/>
  <c r="M1512" i="113"/>
  <c r="M1511" i="113"/>
  <c r="M1510" i="113"/>
  <c r="M1509" i="113"/>
  <c r="M1508" i="113"/>
  <c r="M1507" i="113"/>
  <c r="M1506" i="113"/>
  <c r="M1505" i="113"/>
  <c r="M1504" i="113"/>
  <c r="M1503" i="113"/>
  <c r="M1502" i="113"/>
  <c r="M1501" i="113"/>
  <c r="M1500" i="113"/>
  <c r="M1499" i="113"/>
  <c r="M1498" i="113"/>
  <c r="M1497" i="113"/>
  <c r="M1496" i="113"/>
  <c r="M1495" i="113"/>
  <c r="M1494" i="113"/>
  <c r="M1493" i="113"/>
  <c r="M1492" i="113"/>
  <c r="M1491" i="113"/>
  <c r="M1490" i="113"/>
  <c r="M1489" i="113"/>
  <c r="M1488" i="113"/>
  <c r="M1487" i="113"/>
  <c r="M1486" i="113"/>
  <c r="M1485" i="113"/>
  <c r="M1484" i="113"/>
  <c r="M1483" i="113"/>
  <c r="M1482" i="113"/>
  <c r="M1481" i="113"/>
  <c r="M1480" i="113"/>
  <c r="M1479" i="113"/>
  <c r="M1478" i="113"/>
  <c r="M1477" i="113"/>
  <c r="M1476" i="113"/>
  <c r="M1475" i="113"/>
  <c r="M1474" i="113"/>
  <c r="M1473" i="113"/>
  <c r="M1472" i="113"/>
  <c r="M1471" i="113"/>
  <c r="M1470" i="113"/>
  <c r="M1469" i="113"/>
  <c r="M1468" i="113"/>
  <c r="M1467" i="113"/>
  <c r="M1466" i="113"/>
  <c r="M1465" i="113"/>
  <c r="M1464" i="113"/>
  <c r="M1463" i="113"/>
  <c r="M1462" i="113"/>
  <c r="M1461" i="113"/>
  <c r="M1460" i="113"/>
  <c r="M1459" i="113"/>
  <c r="M1458" i="113"/>
  <c r="M1457" i="113"/>
  <c r="M1456" i="113"/>
  <c r="M1455" i="113"/>
  <c r="M1454" i="113"/>
  <c r="M1453" i="113"/>
  <c r="M1452" i="113"/>
  <c r="M1451" i="113"/>
  <c r="M1450" i="113"/>
  <c r="M1449" i="113"/>
  <c r="M1448" i="113"/>
  <c r="M1447" i="113"/>
  <c r="M1446" i="113"/>
  <c r="M1445" i="113"/>
  <c r="M1444" i="113"/>
  <c r="M1443" i="113"/>
  <c r="M1442" i="113"/>
  <c r="M1441" i="113"/>
  <c r="M1440" i="113"/>
  <c r="M1439" i="113"/>
  <c r="M1438" i="113"/>
  <c r="M1437" i="113"/>
  <c r="M1436" i="113"/>
  <c r="M1435" i="113"/>
  <c r="M1434" i="113"/>
  <c r="M1433" i="113"/>
  <c r="M1432" i="113"/>
  <c r="M1431" i="113"/>
  <c r="M1430" i="113"/>
  <c r="M1429" i="113"/>
  <c r="M1428" i="113"/>
  <c r="M1427" i="113"/>
  <c r="M1426" i="113"/>
  <c r="M1425" i="113"/>
  <c r="M1424" i="113"/>
  <c r="M1423" i="113"/>
  <c r="M1422" i="113"/>
  <c r="M1421" i="113"/>
  <c r="M1420" i="113"/>
  <c r="M1419" i="113"/>
  <c r="M1418" i="113"/>
  <c r="M1417" i="113"/>
  <c r="M1416" i="113"/>
  <c r="M1415" i="113"/>
  <c r="M1414" i="113"/>
  <c r="M1413" i="113"/>
  <c r="M1412" i="113"/>
  <c r="M1411" i="113"/>
  <c r="M1410" i="113"/>
  <c r="M1409" i="113"/>
  <c r="M1408" i="113"/>
  <c r="M1407" i="113"/>
  <c r="M1406" i="113"/>
  <c r="M1405" i="113"/>
  <c r="M1404" i="113"/>
  <c r="M1403" i="113"/>
  <c r="M1402" i="113"/>
  <c r="M1401" i="113"/>
  <c r="M1400" i="113"/>
  <c r="M1399" i="113"/>
  <c r="M1398" i="113"/>
  <c r="M1397" i="113"/>
  <c r="M1396" i="113"/>
  <c r="M1395" i="113"/>
  <c r="M1394" i="113"/>
  <c r="M1393" i="113"/>
  <c r="M1392" i="113"/>
  <c r="M1391" i="113"/>
  <c r="M1390" i="113"/>
  <c r="M1389" i="113"/>
  <c r="M1388" i="113"/>
  <c r="M1387" i="113"/>
  <c r="M1386" i="113"/>
  <c r="M1385" i="113"/>
  <c r="M1384" i="113"/>
  <c r="M1383" i="113"/>
  <c r="M1382" i="113"/>
  <c r="M1381" i="113"/>
  <c r="M1380" i="113"/>
  <c r="M1379" i="113"/>
  <c r="M1378" i="113"/>
  <c r="M1377" i="113"/>
  <c r="M1376" i="113"/>
  <c r="M1375" i="113"/>
  <c r="M1374" i="113"/>
  <c r="M1373" i="113"/>
  <c r="M1372" i="113"/>
  <c r="M1371" i="113"/>
  <c r="M1370" i="113"/>
  <c r="M1369" i="113"/>
  <c r="M1368" i="113"/>
  <c r="M1367" i="113"/>
  <c r="M1366" i="113"/>
  <c r="M1365" i="113"/>
  <c r="M1364" i="113"/>
  <c r="M1363" i="113"/>
  <c r="M1362" i="113"/>
  <c r="M1361" i="113"/>
  <c r="M1360" i="113"/>
  <c r="M1359" i="113"/>
  <c r="M1358" i="113"/>
  <c r="M1357" i="113"/>
  <c r="M1356" i="113"/>
  <c r="M1355" i="113"/>
  <c r="M1354" i="113"/>
  <c r="M1353" i="113"/>
  <c r="M1352" i="113"/>
  <c r="M1351" i="113"/>
  <c r="M1350" i="113"/>
  <c r="M1349" i="113"/>
  <c r="M1348" i="113"/>
  <c r="M1347" i="113"/>
  <c r="M1346" i="113"/>
  <c r="M1345" i="113"/>
  <c r="M1344" i="113"/>
  <c r="M1343" i="113"/>
  <c r="M1342" i="113"/>
  <c r="M1341" i="113"/>
  <c r="M1340" i="113"/>
  <c r="M1339" i="113"/>
  <c r="M1338" i="113"/>
  <c r="M1337" i="113"/>
  <c r="M1336" i="113"/>
  <c r="M1335" i="113"/>
  <c r="M1334" i="113"/>
  <c r="M1333" i="113"/>
  <c r="M1332" i="113"/>
  <c r="M1331" i="113"/>
  <c r="M1330" i="113"/>
  <c r="M1329" i="113"/>
  <c r="M1328" i="113"/>
  <c r="M1327" i="113"/>
  <c r="M1326" i="113"/>
  <c r="M1325" i="113"/>
  <c r="M1324" i="113"/>
  <c r="M1323" i="113"/>
  <c r="M1322" i="113"/>
  <c r="M1321" i="113"/>
  <c r="M1320" i="113"/>
  <c r="M1319" i="113"/>
  <c r="M1318" i="113"/>
  <c r="M1317" i="113"/>
  <c r="M1316" i="113"/>
  <c r="M1315" i="113"/>
  <c r="M1314" i="113"/>
  <c r="M1313" i="113"/>
  <c r="M1312" i="113"/>
  <c r="M1311" i="113"/>
  <c r="M1310" i="113"/>
  <c r="M1309" i="113"/>
  <c r="M1308" i="113"/>
  <c r="M1307" i="113"/>
  <c r="M1306" i="113"/>
  <c r="M1305" i="113"/>
  <c r="M1304" i="113"/>
  <c r="M1303" i="113"/>
  <c r="M1302" i="113"/>
  <c r="M1301" i="113"/>
  <c r="M1300" i="113"/>
  <c r="M1299" i="113"/>
  <c r="M1298" i="113"/>
  <c r="M1297" i="113"/>
  <c r="M1296" i="113"/>
  <c r="M1295" i="113"/>
  <c r="M1294" i="113"/>
  <c r="M1293" i="113"/>
  <c r="M1292" i="113"/>
  <c r="M1291" i="113"/>
  <c r="M1290" i="113"/>
  <c r="M1289" i="113"/>
  <c r="M1288" i="113"/>
  <c r="M1287" i="113"/>
  <c r="M1286" i="113"/>
  <c r="M1285" i="113"/>
  <c r="M1284" i="113"/>
  <c r="M1283" i="113"/>
  <c r="M1282" i="113"/>
  <c r="M1281" i="113"/>
  <c r="M1280" i="113"/>
  <c r="M1279" i="113"/>
  <c r="M1278" i="113"/>
  <c r="M1277" i="113"/>
  <c r="M1276" i="113"/>
  <c r="M1275" i="113"/>
  <c r="M1274" i="113"/>
  <c r="M1273" i="113"/>
  <c r="M1272" i="113"/>
  <c r="M1271" i="113"/>
  <c r="M1270" i="113"/>
  <c r="M1269" i="113"/>
  <c r="M1268" i="113"/>
  <c r="M1267" i="113"/>
  <c r="M1266" i="113"/>
  <c r="M1265" i="113"/>
  <c r="M1264" i="113"/>
  <c r="M1263" i="113"/>
  <c r="M1262" i="113"/>
  <c r="M1261" i="113"/>
  <c r="M1260" i="113"/>
  <c r="M1259" i="113"/>
  <c r="M1258" i="113"/>
  <c r="M1257" i="113"/>
  <c r="M1256" i="113"/>
  <c r="M1255" i="113"/>
  <c r="M1254" i="113"/>
  <c r="M1253" i="113"/>
  <c r="M1252" i="113"/>
  <c r="M1251" i="113"/>
  <c r="M1250" i="113"/>
  <c r="M1249" i="113"/>
  <c r="M1248" i="113"/>
  <c r="M1247" i="113"/>
  <c r="M1246" i="113"/>
  <c r="M1245" i="113"/>
  <c r="M1244" i="113"/>
  <c r="M1243" i="113"/>
  <c r="M1242" i="113"/>
  <c r="M1241" i="113"/>
  <c r="M1240" i="113"/>
  <c r="M1239" i="113"/>
  <c r="M1238" i="113"/>
  <c r="M1237" i="113"/>
  <c r="M1236" i="113"/>
  <c r="M1235" i="113"/>
  <c r="M1234" i="113"/>
  <c r="M1233" i="113"/>
  <c r="M1232" i="113"/>
  <c r="M1231" i="113"/>
  <c r="M1230" i="113"/>
  <c r="M1229" i="113"/>
  <c r="M1228" i="113"/>
  <c r="M1227" i="113"/>
  <c r="M1226" i="113"/>
  <c r="M1225" i="113"/>
  <c r="M1224" i="113"/>
  <c r="M1223" i="113"/>
  <c r="M1222" i="113"/>
  <c r="M1221" i="113"/>
  <c r="M1220" i="113"/>
  <c r="M1219" i="113"/>
  <c r="M1218" i="113"/>
  <c r="M1217" i="113"/>
  <c r="M1216" i="113"/>
  <c r="M1215" i="113"/>
  <c r="M1214" i="113"/>
  <c r="M1213" i="113"/>
  <c r="M1212" i="113"/>
  <c r="M1211" i="113"/>
  <c r="M1210" i="113"/>
  <c r="M1209" i="113"/>
  <c r="M1208" i="113"/>
  <c r="M1207" i="113"/>
  <c r="M1206" i="113"/>
  <c r="M1205" i="113"/>
  <c r="M1204" i="113"/>
  <c r="M1203" i="113"/>
  <c r="M1202" i="113"/>
  <c r="M1201" i="113"/>
  <c r="M1200" i="113"/>
  <c r="M1199" i="113"/>
  <c r="M1198" i="113"/>
  <c r="M1197" i="113"/>
  <c r="M1196" i="113"/>
  <c r="M1195" i="113"/>
  <c r="M1194" i="113"/>
  <c r="M1193" i="113"/>
  <c r="M1192" i="113"/>
  <c r="M1191" i="113"/>
  <c r="M1190" i="113"/>
  <c r="M1189" i="113"/>
  <c r="M1188" i="113"/>
  <c r="M1187" i="113"/>
  <c r="M1186" i="113"/>
  <c r="M1185" i="113"/>
  <c r="M1184" i="113"/>
  <c r="M1183" i="113"/>
  <c r="M1182" i="113"/>
  <c r="M1181" i="113"/>
  <c r="M1180" i="113"/>
  <c r="M1179" i="113"/>
  <c r="M1178" i="113"/>
  <c r="M1177" i="113"/>
  <c r="M1176" i="113"/>
  <c r="M1175" i="113"/>
  <c r="M1174" i="113"/>
  <c r="M1173" i="113"/>
  <c r="M1172" i="113"/>
  <c r="M1171" i="113"/>
  <c r="M1170" i="113"/>
  <c r="M1169" i="113"/>
  <c r="M1168" i="113"/>
  <c r="M1167" i="113"/>
  <c r="M1166" i="113"/>
  <c r="M1165" i="113"/>
  <c r="M1164" i="113"/>
  <c r="M1163" i="113"/>
  <c r="M1162" i="113"/>
  <c r="M1161" i="113"/>
  <c r="M1160" i="113"/>
  <c r="M1159" i="113"/>
  <c r="M1158" i="113"/>
  <c r="M1157" i="113"/>
  <c r="M1156" i="113"/>
  <c r="M1155" i="113"/>
  <c r="M1154" i="113"/>
  <c r="M1153" i="113"/>
  <c r="M1152" i="113"/>
  <c r="M1151" i="113"/>
  <c r="M1150" i="113"/>
  <c r="M1149" i="113"/>
  <c r="M1148" i="113"/>
  <c r="M1147" i="113"/>
  <c r="M1146" i="113"/>
  <c r="M1145" i="113"/>
  <c r="M1144" i="113"/>
  <c r="M1143" i="113"/>
  <c r="M1142" i="113"/>
  <c r="M1141" i="113"/>
  <c r="M1140" i="113"/>
  <c r="M1139" i="113"/>
  <c r="M1138" i="113"/>
  <c r="M1137" i="113"/>
  <c r="M1136" i="113"/>
  <c r="M1135" i="113"/>
  <c r="M1134" i="113"/>
  <c r="M1133" i="113"/>
  <c r="M1132" i="113"/>
  <c r="M1131" i="113"/>
  <c r="M1130" i="113"/>
  <c r="M1129" i="113"/>
  <c r="M1128" i="113"/>
  <c r="M1127" i="113"/>
  <c r="M1126" i="113"/>
  <c r="M1125" i="113"/>
  <c r="M1124" i="113"/>
  <c r="M1123" i="113"/>
  <c r="M1122" i="113"/>
  <c r="M1121" i="113"/>
  <c r="M1120" i="113"/>
  <c r="M1119" i="113"/>
  <c r="M1118" i="113"/>
  <c r="M1117" i="113"/>
  <c r="M1116" i="113"/>
  <c r="M1115" i="113"/>
  <c r="M1114" i="113"/>
  <c r="M1113" i="113"/>
  <c r="M1112" i="113"/>
  <c r="M1111" i="113"/>
  <c r="M1110" i="113"/>
  <c r="M1109" i="113"/>
  <c r="M1108" i="113"/>
  <c r="M1107" i="113"/>
  <c r="M1106" i="113"/>
  <c r="M1105" i="113"/>
  <c r="M1104" i="113"/>
  <c r="M1103" i="113"/>
  <c r="M1102" i="113"/>
  <c r="M1101" i="113"/>
  <c r="M1100" i="113"/>
  <c r="M1099" i="113"/>
  <c r="M1098" i="113"/>
  <c r="M1097" i="113"/>
  <c r="M1096" i="113"/>
  <c r="M1095" i="113"/>
  <c r="M1094" i="113"/>
  <c r="M1093" i="113"/>
  <c r="M1092" i="113"/>
  <c r="M1091" i="113"/>
  <c r="M1090" i="113"/>
  <c r="M1089" i="113"/>
  <c r="M1088" i="113"/>
  <c r="M1087" i="113"/>
  <c r="M1086" i="113"/>
  <c r="M1085" i="113"/>
  <c r="M1084" i="113"/>
  <c r="M1083" i="113"/>
  <c r="M1082" i="113"/>
  <c r="M1081" i="113"/>
  <c r="M1080" i="113"/>
  <c r="M1079" i="113"/>
  <c r="M1078" i="113"/>
  <c r="M1077" i="113"/>
  <c r="M1076" i="113"/>
  <c r="M1075" i="113"/>
  <c r="M1074" i="113"/>
  <c r="M1073" i="113"/>
  <c r="M1072" i="113"/>
  <c r="M1071" i="113"/>
  <c r="M1070" i="113"/>
  <c r="M1069" i="113"/>
  <c r="M1068" i="113"/>
  <c r="M1067" i="113"/>
  <c r="M1066" i="113"/>
  <c r="M1065" i="113"/>
  <c r="M1064" i="113"/>
  <c r="M1063" i="113"/>
  <c r="M1062" i="113"/>
  <c r="M1061" i="113"/>
  <c r="M1060" i="113"/>
  <c r="M1059" i="113"/>
  <c r="M1058" i="113"/>
  <c r="M1057" i="113"/>
  <c r="M1056" i="113"/>
  <c r="M1055" i="113"/>
  <c r="M1054" i="113"/>
  <c r="M1053" i="113"/>
  <c r="M1052" i="113"/>
  <c r="M1051" i="113"/>
  <c r="M1050" i="113"/>
  <c r="M1049" i="113"/>
  <c r="M1048" i="113"/>
  <c r="M1047" i="113"/>
  <c r="M1046" i="113"/>
  <c r="M1045" i="113"/>
  <c r="M1044" i="113"/>
  <c r="M1043" i="113"/>
  <c r="M1042" i="113"/>
  <c r="M1041" i="113"/>
  <c r="M1040" i="113"/>
  <c r="M1039" i="113"/>
  <c r="M1038" i="113"/>
  <c r="M1037" i="113"/>
  <c r="M1036" i="113"/>
  <c r="M1035" i="113"/>
  <c r="M1034" i="113"/>
  <c r="M1033" i="113"/>
  <c r="M1032" i="113"/>
  <c r="M1031" i="113"/>
  <c r="M1030" i="113"/>
  <c r="M1029" i="113"/>
  <c r="M1028" i="113"/>
  <c r="M1027" i="113"/>
  <c r="M1026" i="113"/>
  <c r="M1025" i="113"/>
  <c r="M1024" i="113"/>
  <c r="M1023" i="113"/>
  <c r="M1022" i="113"/>
  <c r="M1021" i="113"/>
  <c r="M1020" i="113"/>
  <c r="M1019" i="113"/>
  <c r="M1018" i="113"/>
  <c r="M1017" i="113"/>
  <c r="M1016" i="113"/>
  <c r="M1015" i="113"/>
  <c r="M1014" i="113"/>
  <c r="M1013" i="113"/>
  <c r="M1012" i="113"/>
  <c r="M1011" i="113"/>
  <c r="M1010" i="113"/>
  <c r="M1009" i="113"/>
  <c r="M1008" i="113"/>
  <c r="M1007" i="113"/>
  <c r="M1006" i="113"/>
  <c r="M1005" i="113"/>
  <c r="M1004" i="113"/>
  <c r="M1003" i="113"/>
  <c r="M1002" i="113"/>
  <c r="M1001" i="113"/>
  <c r="M1000" i="113"/>
  <c r="M999" i="113"/>
  <c r="M998" i="113"/>
  <c r="M997" i="113"/>
  <c r="M996" i="113"/>
  <c r="M995" i="113"/>
  <c r="M994" i="113"/>
  <c r="M993" i="113"/>
  <c r="M992" i="113"/>
  <c r="M991" i="113"/>
  <c r="M990" i="113"/>
  <c r="M989" i="113"/>
  <c r="M988" i="113"/>
  <c r="M987" i="113"/>
  <c r="M986" i="113"/>
  <c r="M985" i="113"/>
  <c r="M984" i="113"/>
  <c r="M983" i="113"/>
  <c r="M982" i="113"/>
  <c r="M981" i="113"/>
  <c r="M980" i="113"/>
  <c r="M979" i="113"/>
  <c r="M978" i="113"/>
  <c r="M977" i="113"/>
  <c r="M976" i="113"/>
  <c r="M975" i="113"/>
  <c r="M974" i="113"/>
  <c r="M973" i="113"/>
  <c r="M972" i="113"/>
  <c r="M971" i="113"/>
  <c r="M970" i="113"/>
  <c r="M969" i="113"/>
  <c r="M968" i="113"/>
  <c r="M967" i="113"/>
  <c r="M966" i="113"/>
  <c r="M965" i="113"/>
  <c r="M964" i="113"/>
  <c r="M963" i="113"/>
  <c r="M962" i="113"/>
  <c r="M961" i="113"/>
  <c r="M960" i="113"/>
  <c r="M959" i="113"/>
  <c r="M958" i="113"/>
  <c r="M957" i="113"/>
  <c r="M956" i="113"/>
  <c r="M955" i="113"/>
  <c r="M954" i="113"/>
  <c r="M953" i="113"/>
  <c r="M952" i="113"/>
  <c r="M951" i="113"/>
  <c r="M950" i="113"/>
  <c r="M949" i="113"/>
  <c r="M948" i="113"/>
  <c r="M947" i="113"/>
  <c r="M946" i="113"/>
  <c r="M945" i="113"/>
  <c r="M944" i="113"/>
  <c r="M943" i="113"/>
  <c r="M942" i="113"/>
  <c r="M941" i="113"/>
  <c r="M940" i="113"/>
  <c r="M939" i="113"/>
  <c r="M938" i="113"/>
  <c r="M937" i="113"/>
  <c r="M936" i="113"/>
  <c r="M935" i="113"/>
  <c r="M934" i="113"/>
  <c r="M933" i="113"/>
  <c r="M932" i="113"/>
  <c r="M931" i="113"/>
  <c r="M930" i="113"/>
  <c r="M929" i="113"/>
  <c r="M928" i="113"/>
  <c r="M927" i="113"/>
  <c r="M926" i="113"/>
  <c r="M925" i="113"/>
  <c r="M924" i="113"/>
  <c r="M923" i="113"/>
  <c r="M922" i="113"/>
  <c r="M921" i="113"/>
  <c r="M920" i="113"/>
  <c r="M919" i="113"/>
  <c r="M918" i="113"/>
  <c r="M917" i="113"/>
  <c r="M916" i="113"/>
  <c r="M915" i="113"/>
  <c r="M914" i="113"/>
  <c r="M913" i="113"/>
  <c r="M912" i="113"/>
  <c r="M911" i="113"/>
  <c r="M910" i="113"/>
  <c r="M909" i="113"/>
  <c r="M908" i="113"/>
  <c r="M907" i="113"/>
  <c r="M906" i="113"/>
  <c r="M905" i="113"/>
  <c r="M904" i="113"/>
  <c r="M903" i="113"/>
  <c r="M902" i="113"/>
  <c r="M901" i="113"/>
  <c r="M900" i="113"/>
  <c r="M899" i="113"/>
  <c r="M898" i="113"/>
  <c r="M897" i="113"/>
  <c r="M896" i="113"/>
  <c r="M895" i="113"/>
  <c r="M894" i="113"/>
  <c r="M893" i="113"/>
  <c r="M892" i="113"/>
  <c r="M891" i="113"/>
  <c r="M890" i="113"/>
  <c r="M889" i="113"/>
  <c r="M888" i="113"/>
  <c r="M887" i="113"/>
  <c r="M886" i="113"/>
  <c r="M885" i="113"/>
  <c r="M884" i="113"/>
  <c r="M883" i="113"/>
  <c r="M882" i="113"/>
  <c r="M881" i="113"/>
  <c r="M880" i="113"/>
  <c r="M879" i="113"/>
  <c r="M878" i="113"/>
  <c r="M877" i="113"/>
  <c r="M876" i="113"/>
  <c r="M875" i="113"/>
  <c r="M874" i="113"/>
  <c r="M873" i="113"/>
  <c r="M872" i="113"/>
  <c r="M871" i="113"/>
  <c r="M870" i="113"/>
  <c r="M869" i="113"/>
  <c r="M868" i="113"/>
  <c r="M867" i="113"/>
  <c r="M866" i="113"/>
  <c r="M865" i="113"/>
  <c r="M864" i="113"/>
  <c r="M863" i="113"/>
  <c r="M862" i="113"/>
  <c r="M861" i="113"/>
  <c r="M860" i="113"/>
  <c r="M859" i="113"/>
  <c r="M858" i="113"/>
  <c r="M857" i="113"/>
  <c r="M856" i="113"/>
  <c r="M855" i="113"/>
  <c r="M854" i="113"/>
  <c r="M853" i="113"/>
  <c r="M852" i="113"/>
  <c r="M851" i="113"/>
  <c r="M850" i="113"/>
  <c r="M849" i="113"/>
  <c r="M848" i="113"/>
  <c r="M847" i="113"/>
  <c r="M846" i="113"/>
  <c r="M845" i="113"/>
  <c r="M844" i="113"/>
  <c r="M843" i="113"/>
  <c r="M842" i="113"/>
  <c r="M841" i="113"/>
  <c r="M840" i="113"/>
  <c r="M839" i="113"/>
  <c r="M838" i="113"/>
  <c r="M837" i="113"/>
  <c r="M836" i="113"/>
  <c r="M835" i="113"/>
  <c r="M834" i="113"/>
  <c r="M833" i="113"/>
  <c r="M832" i="113"/>
  <c r="M831" i="113"/>
  <c r="M830" i="113"/>
  <c r="M829" i="113"/>
  <c r="M828" i="113"/>
  <c r="M827" i="113"/>
  <c r="M826" i="113"/>
  <c r="M825" i="113"/>
  <c r="M824" i="113"/>
  <c r="M823" i="113"/>
  <c r="M822" i="113"/>
  <c r="M821" i="113"/>
  <c r="M820" i="113"/>
  <c r="M819" i="113"/>
  <c r="M818" i="113"/>
  <c r="M817" i="113"/>
  <c r="M816" i="113"/>
  <c r="M815" i="113"/>
  <c r="M814" i="113"/>
  <c r="M813" i="113"/>
  <c r="M812" i="113"/>
  <c r="M811" i="113"/>
  <c r="M810" i="113"/>
  <c r="M809" i="113"/>
  <c r="M808" i="113"/>
  <c r="M807" i="113"/>
  <c r="M806" i="113"/>
  <c r="M805" i="113"/>
  <c r="M804" i="113"/>
  <c r="M803" i="113"/>
  <c r="M802" i="113"/>
  <c r="M801" i="113"/>
  <c r="M800" i="113"/>
  <c r="M799" i="113"/>
  <c r="M798" i="113"/>
  <c r="M797" i="113"/>
  <c r="M796" i="113"/>
  <c r="M795" i="113"/>
  <c r="M794" i="113"/>
  <c r="M793" i="113"/>
  <c r="M792" i="113"/>
  <c r="M791" i="113"/>
  <c r="M790" i="113"/>
  <c r="M789" i="113"/>
  <c r="M788" i="113"/>
  <c r="M787" i="113"/>
  <c r="M786" i="113"/>
  <c r="M785" i="113"/>
  <c r="M784" i="113"/>
  <c r="M783" i="113"/>
  <c r="M782" i="113"/>
  <c r="M781" i="113"/>
  <c r="M780" i="113"/>
  <c r="M779" i="113"/>
  <c r="M778" i="113"/>
  <c r="M777" i="113"/>
  <c r="M776" i="113"/>
  <c r="M775" i="113"/>
  <c r="M774" i="113"/>
  <c r="M773" i="113"/>
  <c r="M772" i="113"/>
  <c r="M771" i="113"/>
  <c r="M770" i="113"/>
  <c r="M769" i="113"/>
  <c r="M768" i="113"/>
  <c r="M767" i="113"/>
  <c r="M766" i="113"/>
  <c r="M765" i="113"/>
  <c r="M764" i="113"/>
  <c r="M763" i="113"/>
  <c r="M762" i="113"/>
  <c r="M761" i="113"/>
  <c r="M760" i="113"/>
  <c r="M759" i="113"/>
  <c r="M758" i="113"/>
  <c r="M757" i="113"/>
  <c r="M756" i="113"/>
  <c r="M755" i="113"/>
  <c r="M754" i="113"/>
  <c r="M753" i="113"/>
  <c r="M752" i="113"/>
  <c r="M751" i="113"/>
  <c r="M750" i="113"/>
  <c r="M749" i="113"/>
  <c r="M748" i="113"/>
  <c r="M747" i="113"/>
  <c r="M746" i="113"/>
  <c r="M745" i="113"/>
  <c r="M744" i="113"/>
  <c r="M743" i="113"/>
  <c r="M742" i="113"/>
  <c r="M741" i="113"/>
  <c r="M740" i="113"/>
  <c r="M739" i="113"/>
  <c r="M738" i="113"/>
  <c r="M737" i="113"/>
  <c r="M736" i="113"/>
  <c r="M735" i="113"/>
  <c r="M734" i="113"/>
  <c r="M733" i="113"/>
  <c r="M732" i="113"/>
  <c r="M731" i="113"/>
  <c r="M730" i="113"/>
  <c r="M729" i="113"/>
  <c r="M728" i="113"/>
  <c r="M727" i="113"/>
  <c r="M726" i="113"/>
  <c r="M725" i="113"/>
  <c r="M724" i="113"/>
  <c r="M723" i="113"/>
  <c r="M722" i="113"/>
  <c r="M721" i="113"/>
  <c r="M720" i="113"/>
  <c r="M719" i="113"/>
  <c r="M718" i="113"/>
  <c r="M717" i="113"/>
  <c r="M716" i="113"/>
  <c r="M715" i="113"/>
  <c r="M714" i="113"/>
  <c r="M713" i="113"/>
  <c r="M712" i="113"/>
  <c r="M711" i="113"/>
  <c r="M710" i="113"/>
  <c r="M709" i="113"/>
  <c r="M708" i="113"/>
  <c r="M707" i="113"/>
  <c r="M706" i="113"/>
  <c r="M705" i="113"/>
  <c r="M704" i="113"/>
  <c r="M703" i="113"/>
  <c r="M702" i="113"/>
  <c r="M701" i="113"/>
  <c r="M700" i="113"/>
  <c r="M699" i="113"/>
  <c r="M698" i="113"/>
  <c r="M697" i="113"/>
  <c r="M696" i="113"/>
  <c r="M695" i="113"/>
  <c r="M694" i="113"/>
  <c r="M693" i="113"/>
  <c r="M692" i="113"/>
  <c r="M691" i="113"/>
  <c r="M690" i="113"/>
  <c r="M689" i="113"/>
  <c r="M688" i="113"/>
  <c r="M687" i="113"/>
  <c r="M686" i="113"/>
  <c r="M685" i="113"/>
  <c r="M684" i="113"/>
  <c r="M683" i="113"/>
  <c r="M682" i="113"/>
  <c r="M681" i="113"/>
  <c r="M680" i="113"/>
  <c r="M679" i="113"/>
  <c r="M678" i="113"/>
  <c r="M677" i="113"/>
  <c r="M676" i="113"/>
  <c r="M675" i="113"/>
  <c r="M674" i="113"/>
  <c r="M673" i="113"/>
  <c r="M672" i="113"/>
  <c r="M671" i="113"/>
  <c r="M670" i="113"/>
  <c r="M669" i="113"/>
  <c r="M668" i="113"/>
  <c r="M667" i="113"/>
  <c r="M666" i="113"/>
  <c r="M665" i="113"/>
  <c r="M664" i="113"/>
  <c r="M663" i="113"/>
  <c r="M662" i="113"/>
  <c r="M661" i="113"/>
  <c r="M660" i="113"/>
  <c r="M659" i="113"/>
  <c r="M658" i="113"/>
  <c r="M657" i="113"/>
  <c r="M656" i="113"/>
  <c r="M655" i="113"/>
  <c r="M654" i="113"/>
  <c r="M653" i="113"/>
  <c r="M652" i="113"/>
  <c r="M651" i="113"/>
  <c r="M650" i="113"/>
  <c r="M649" i="113"/>
  <c r="M648" i="113"/>
  <c r="M647" i="113"/>
  <c r="M646" i="113"/>
  <c r="M645" i="113"/>
  <c r="M644" i="113"/>
  <c r="M643" i="113"/>
  <c r="M642" i="113"/>
  <c r="M641" i="113"/>
  <c r="M640" i="113"/>
  <c r="M639" i="113"/>
  <c r="M638" i="113"/>
  <c r="M637" i="113"/>
  <c r="M636" i="113"/>
  <c r="M635" i="113"/>
  <c r="M634" i="113"/>
  <c r="M633" i="113"/>
  <c r="M632" i="113"/>
  <c r="M631" i="113"/>
  <c r="M630" i="113"/>
  <c r="M629" i="113"/>
  <c r="M628" i="113"/>
  <c r="M627" i="113"/>
  <c r="M626" i="113"/>
  <c r="M625" i="113"/>
  <c r="M624" i="113"/>
  <c r="M623" i="113"/>
  <c r="M622" i="113"/>
  <c r="M621" i="113"/>
  <c r="M620" i="113"/>
  <c r="M619" i="113"/>
  <c r="M618" i="113"/>
  <c r="M617" i="113"/>
  <c r="M616" i="113"/>
  <c r="M615" i="113"/>
  <c r="M614" i="113"/>
  <c r="M613" i="113"/>
  <c r="M612" i="113"/>
  <c r="M611" i="113"/>
  <c r="M610" i="113"/>
  <c r="M609" i="113"/>
  <c r="M608" i="113"/>
  <c r="M607" i="113"/>
  <c r="M606" i="113"/>
  <c r="M605" i="113"/>
  <c r="M604" i="113"/>
  <c r="M603" i="113"/>
  <c r="M602" i="113"/>
  <c r="M601" i="113"/>
  <c r="M600" i="113"/>
  <c r="M599" i="113"/>
  <c r="M598" i="113"/>
  <c r="M597" i="113"/>
  <c r="M596" i="113"/>
  <c r="M595" i="113"/>
  <c r="M594" i="113"/>
  <c r="M593" i="113"/>
  <c r="M592" i="113"/>
  <c r="M591" i="113"/>
  <c r="M590" i="113"/>
  <c r="M589" i="113"/>
  <c r="M588" i="113"/>
  <c r="M587" i="113"/>
  <c r="M586" i="113"/>
  <c r="M585" i="113"/>
  <c r="M584" i="113"/>
  <c r="M583" i="113"/>
  <c r="M582" i="113"/>
  <c r="M581" i="113"/>
  <c r="M580" i="113"/>
  <c r="M579" i="113"/>
  <c r="M578" i="113"/>
  <c r="M577" i="113"/>
  <c r="M576" i="113"/>
  <c r="M575" i="113"/>
  <c r="M574" i="113"/>
  <c r="M573" i="113"/>
  <c r="M572" i="113"/>
  <c r="M571" i="113"/>
  <c r="M570" i="113"/>
  <c r="M569" i="113"/>
  <c r="M568" i="113"/>
  <c r="M567" i="113"/>
  <c r="M566" i="113"/>
  <c r="M565" i="113"/>
  <c r="M564" i="113"/>
  <c r="M563" i="113"/>
  <c r="M562" i="113"/>
  <c r="M561" i="113"/>
  <c r="M560" i="113"/>
  <c r="M559" i="113"/>
  <c r="M558" i="113"/>
  <c r="M557" i="113"/>
  <c r="M556" i="113"/>
  <c r="M555" i="113"/>
  <c r="M554" i="113"/>
  <c r="M553" i="113"/>
  <c r="M552" i="113"/>
  <c r="M551" i="113"/>
  <c r="M550" i="113"/>
  <c r="M549" i="113"/>
  <c r="M548" i="113"/>
  <c r="M547" i="113"/>
  <c r="M546" i="113"/>
  <c r="M545" i="113"/>
  <c r="M544" i="113"/>
  <c r="M543" i="113"/>
  <c r="M542" i="113"/>
  <c r="M541" i="113"/>
  <c r="M540" i="113"/>
  <c r="M539" i="113"/>
  <c r="M538" i="113"/>
  <c r="M537" i="113"/>
  <c r="M536" i="113"/>
  <c r="M535" i="113"/>
  <c r="M534" i="113"/>
  <c r="M533" i="113"/>
  <c r="M532" i="113"/>
  <c r="M531" i="113"/>
  <c r="M530" i="113"/>
  <c r="M529" i="113"/>
  <c r="M528" i="113"/>
  <c r="M527" i="113"/>
  <c r="M526" i="113"/>
  <c r="M525" i="113"/>
  <c r="M524" i="113"/>
  <c r="M523" i="113"/>
  <c r="M522" i="113"/>
  <c r="M521" i="113"/>
  <c r="M520" i="113"/>
  <c r="M519" i="113"/>
  <c r="M518" i="113"/>
  <c r="M517" i="113"/>
  <c r="M516" i="113"/>
  <c r="M515" i="113"/>
  <c r="M514" i="113"/>
  <c r="M513" i="113"/>
  <c r="M512" i="113"/>
  <c r="M511" i="113"/>
  <c r="M510" i="113"/>
  <c r="M509" i="113"/>
  <c r="M508" i="113"/>
  <c r="M507" i="113"/>
  <c r="M506" i="113"/>
  <c r="M505" i="113"/>
  <c r="M504" i="113"/>
  <c r="M503" i="113"/>
  <c r="M502" i="113"/>
  <c r="M501" i="113"/>
  <c r="M500" i="113"/>
  <c r="M499" i="113"/>
  <c r="M498" i="113"/>
  <c r="M497" i="113"/>
  <c r="M496" i="113"/>
  <c r="M495" i="113"/>
  <c r="M494" i="113"/>
  <c r="M493" i="113"/>
  <c r="M492" i="113"/>
  <c r="M491" i="113"/>
  <c r="M490" i="113"/>
  <c r="M489" i="113"/>
  <c r="M488" i="113"/>
  <c r="M487" i="113"/>
  <c r="M486" i="113"/>
  <c r="M485" i="113"/>
  <c r="M484" i="113"/>
  <c r="M483" i="113"/>
  <c r="M482" i="113"/>
  <c r="M481" i="113"/>
  <c r="M480" i="113"/>
  <c r="M479" i="113"/>
  <c r="M478" i="113"/>
  <c r="M477" i="113"/>
  <c r="M476" i="113"/>
  <c r="M475" i="113"/>
  <c r="M474" i="113"/>
  <c r="M473" i="113"/>
  <c r="M472" i="113"/>
  <c r="M471" i="113"/>
  <c r="M470" i="113"/>
  <c r="M469" i="113"/>
  <c r="M468" i="113"/>
  <c r="M467" i="113"/>
  <c r="M466" i="113"/>
  <c r="M465" i="113"/>
  <c r="M464" i="113"/>
  <c r="M463" i="113"/>
  <c r="M462" i="113"/>
  <c r="M461" i="113"/>
  <c r="M460" i="113"/>
  <c r="M459" i="113"/>
  <c r="M458" i="113"/>
  <c r="M457" i="113"/>
  <c r="M456" i="113"/>
  <c r="M455" i="113"/>
  <c r="M454" i="113"/>
  <c r="M453" i="113"/>
  <c r="M452" i="113"/>
  <c r="M451" i="113"/>
  <c r="M450" i="113"/>
  <c r="M449" i="113"/>
  <c r="M448" i="113"/>
  <c r="M447" i="113"/>
  <c r="M446" i="113"/>
  <c r="M445" i="113"/>
  <c r="M444" i="113"/>
  <c r="M443" i="113"/>
  <c r="M442" i="113"/>
  <c r="M441" i="113"/>
  <c r="M440" i="113"/>
  <c r="M439" i="113"/>
  <c r="M438" i="113"/>
  <c r="M437" i="113"/>
  <c r="M436" i="113"/>
  <c r="M435" i="113"/>
  <c r="M434" i="113"/>
  <c r="M433" i="113"/>
  <c r="M432" i="113"/>
  <c r="M431" i="113"/>
  <c r="M430" i="113"/>
  <c r="M429" i="113"/>
  <c r="M428" i="113"/>
  <c r="M427" i="113"/>
  <c r="M426" i="113"/>
  <c r="M425" i="113"/>
  <c r="M424" i="113"/>
  <c r="M423" i="113"/>
  <c r="M422" i="113"/>
  <c r="M421" i="113"/>
  <c r="M420" i="113"/>
  <c r="M419" i="113"/>
  <c r="M418" i="113"/>
  <c r="M417" i="113"/>
  <c r="M416" i="113"/>
  <c r="M415" i="113"/>
  <c r="M414" i="113"/>
  <c r="M413" i="113"/>
  <c r="M412" i="113"/>
  <c r="M411" i="113"/>
  <c r="M410" i="113"/>
  <c r="M409" i="113"/>
  <c r="M408" i="113"/>
  <c r="M407" i="113"/>
  <c r="M406" i="113"/>
  <c r="M405" i="113"/>
  <c r="M404" i="113"/>
  <c r="M403" i="113"/>
  <c r="M402" i="113"/>
  <c r="M401" i="113"/>
  <c r="M400" i="113"/>
  <c r="M399" i="113"/>
  <c r="M398" i="113"/>
  <c r="M397" i="113"/>
  <c r="M396" i="113"/>
  <c r="M395" i="113"/>
  <c r="M394" i="113"/>
  <c r="M393" i="113"/>
  <c r="M392" i="113"/>
  <c r="M391" i="113"/>
  <c r="M390" i="113"/>
  <c r="M389" i="113"/>
  <c r="M388" i="113"/>
  <c r="M387" i="113"/>
  <c r="M386" i="113"/>
  <c r="M385" i="113"/>
  <c r="M384" i="113"/>
  <c r="M383" i="113"/>
  <c r="M382" i="113"/>
  <c r="M381" i="113"/>
  <c r="M380" i="113"/>
  <c r="M379" i="113"/>
  <c r="M378" i="113"/>
  <c r="M377" i="113"/>
  <c r="M376" i="113"/>
  <c r="M375" i="113"/>
  <c r="M374" i="113"/>
  <c r="M373" i="113"/>
  <c r="M372" i="113"/>
  <c r="M371" i="113"/>
  <c r="M370" i="113"/>
  <c r="M369" i="113"/>
  <c r="M368" i="113"/>
  <c r="M367" i="113"/>
  <c r="M366" i="113"/>
  <c r="M365" i="113"/>
  <c r="M364" i="113"/>
  <c r="M363" i="113"/>
  <c r="M362" i="113"/>
  <c r="M361" i="113"/>
  <c r="M360" i="113"/>
  <c r="M359" i="113"/>
  <c r="M358" i="113"/>
  <c r="M357" i="113"/>
  <c r="M356" i="113"/>
  <c r="M355" i="113"/>
  <c r="M354" i="113"/>
  <c r="M353" i="113"/>
  <c r="M352" i="113"/>
  <c r="M351" i="113"/>
  <c r="M350" i="113"/>
  <c r="M349" i="113"/>
  <c r="M348" i="113"/>
  <c r="M347" i="113"/>
  <c r="M346" i="113"/>
  <c r="M345" i="113"/>
  <c r="M344" i="113"/>
  <c r="M343" i="113"/>
  <c r="M342" i="113"/>
  <c r="M341" i="113"/>
  <c r="M340" i="113"/>
  <c r="M339" i="113"/>
  <c r="M338" i="113"/>
  <c r="M337" i="113"/>
  <c r="M336" i="113"/>
  <c r="M335" i="113"/>
  <c r="M334" i="113"/>
  <c r="M333" i="113"/>
  <c r="M332" i="113"/>
  <c r="M331" i="113"/>
  <c r="M330" i="113"/>
  <c r="M329" i="113"/>
  <c r="M328" i="113"/>
  <c r="M327" i="113"/>
  <c r="M326" i="113"/>
  <c r="M325" i="113"/>
  <c r="M324" i="113"/>
  <c r="M323" i="113"/>
  <c r="M322" i="113"/>
  <c r="M321" i="113"/>
  <c r="M320" i="113"/>
  <c r="M319" i="113"/>
  <c r="M318" i="113"/>
  <c r="M317" i="113"/>
  <c r="M316" i="113"/>
  <c r="M315" i="113"/>
  <c r="M314" i="113"/>
  <c r="M313" i="113"/>
  <c r="M312" i="113"/>
  <c r="M311" i="113"/>
  <c r="M310" i="113"/>
  <c r="M309" i="113"/>
  <c r="M308" i="113"/>
  <c r="M307" i="113"/>
  <c r="M306" i="113"/>
  <c r="M305" i="113"/>
  <c r="M304" i="113"/>
  <c r="M303" i="113"/>
  <c r="M302" i="113"/>
  <c r="M301" i="113"/>
  <c r="M300" i="113"/>
  <c r="M299" i="113"/>
  <c r="M298" i="113"/>
  <c r="M297" i="113"/>
  <c r="M296" i="113"/>
  <c r="M295" i="113"/>
  <c r="M294" i="113"/>
  <c r="M293" i="113"/>
  <c r="M292" i="113"/>
  <c r="M291" i="113"/>
  <c r="M290" i="113"/>
  <c r="M289" i="113"/>
  <c r="M288" i="113"/>
  <c r="M287" i="113"/>
  <c r="M286" i="113"/>
  <c r="M285" i="113"/>
  <c r="M284" i="113"/>
  <c r="M283" i="113"/>
  <c r="M282" i="113"/>
  <c r="M281" i="113"/>
  <c r="M280" i="113"/>
  <c r="M279" i="113"/>
  <c r="M278" i="113"/>
  <c r="M277" i="113"/>
  <c r="M276" i="113"/>
  <c r="M275" i="113"/>
  <c r="M274" i="113"/>
  <c r="M273" i="113"/>
  <c r="M272" i="113"/>
  <c r="M271" i="113"/>
  <c r="M270" i="113"/>
  <c r="M269" i="113"/>
  <c r="M268" i="113"/>
  <c r="M267" i="113"/>
  <c r="M266" i="113"/>
  <c r="M265" i="113"/>
  <c r="I265" i="113"/>
  <c r="M264" i="113"/>
  <c r="M263" i="113"/>
  <c r="M262" i="113"/>
  <c r="M261" i="113"/>
  <c r="M260" i="113"/>
  <c r="M259" i="113"/>
  <c r="M258" i="113"/>
  <c r="M257" i="113"/>
  <c r="M256" i="113"/>
  <c r="M255" i="113"/>
  <c r="M254" i="113"/>
  <c r="M253" i="113"/>
  <c r="M252" i="113"/>
  <c r="M251" i="113"/>
  <c r="M250" i="113"/>
  <c r="M249" i="113"/>
  <c r="M248" i="113"/>
  <c r="M247" i="113"/>
  <c r="M246" i="113"/>
  <c r="M245" i="113"/>
  <c r="M244" i="113"/>
  <c r="M243" i="113"/>
  <c r="M242" i="113"/>
  <c r="M241" i="113"/>
  <c r="M240" i="113"/>
  <c r="M239" i="113"/>
  <c r="M238" i="113"/>
  <c r="M237" i="113"/>
  <c r="M236" i="113"/>
  <c r="M235" i="113"/>
  <c r="M234" i="113"/>
  <c r="M233" i="113"/>
  <c r="M232" i="113"/>
  <c r="M231" i="113"/>
  <c r="M230" i="113"/>
  <c r="M229" i="113"/>
  <c r="M228" i="113"/>
  <c r="M227" i="113"/>
  <c r="M226" i="113"/>
  <c r="M225" i="113"/>
  <c r="M224" i="113"/>
  <c r="M223" i="113"/>
  <c r="M222" i="113"/>
  <c r="M221" i="113"/>
  <c r="M220" i="113"/>
  <c r="M219" i="113"/>
  <c r="M218" i="113"/>
  <c r="M217" i="113"/>
  <c r="M216" i="113"/>
  <c r="M215" i="113"/>
  <c r="M214" i="113"/>
  <c r="M213" i="113"/>
  <c r="M212" i="113"/>
  <c r="M211" i="113"/>
  <c r="M210" i="113"/>
  <c r="M209" i="113"/>
  <c r="M208" i="113"/>
  <c r="M207" i="113"/>
  <c r="M206" i="113"/>
  <c r="M205" i="113"/>
  <c r="M204" i="113"/>
  <c r="M203" i="113"/>
  <c r="M202" i="113"/>
  <c r="M201" i="113"/>
  <c r="M200" i="113"/>
  <c r="M199" i="113"/>
  <c r="M198" i="113"/>
  <c r="M197" i="113"/>
  <c r="M196" i="113"/>
  <c r="M195" i="113"/>
  <c r="M194" i="113"/>
  <c r="M193" i="113"/>
  <c r="M192" i="113"/>
  <c r="M191" i="113"/>
  <c r="M190" i="113"/>
  <c r="M189" i="113"/>
  <c r="M188" i="113"/>
  <c r="M187" i="113"/>
  <c r="M186" i="113"/>
  <c r="M185" i="113"/>
  <c r="M184" i="113"/>
  <c r="M183" i="113"/>
  <c r="M182" i="113"/>
  <c r="M181" i="113"/>
  <c r="M180" i="113"/>
  <c r="M179" i="113"/>
  <c r="M178" i="113"/>
  <c r="M177" i="113"/>
  <c r="M176" i="113"/>
  <c r="M175" i="113"/>
  <c r="M174" i="113"/>
  <c r="M173" i="113"/>
  <c r="M172" i="113"/>
  <c r="M171" i="113"/>
  <c r="M170" i="113"/>
  <c r="M169" i="113"/>
  <c r="M168" i="113"/>
  <c r="M167" i="113"/>
  <c r="M166" i="113"/>
  <c r="M165" i="113"/>
  <c r="M164" i="113"/>
  <c r="M163" i="113"/>
  <c r="M162" i="113"/>
  <c r="M161" i="113"/>
  <c r="M160" i="113"/>
  <c r="M159" i="113"/>
  <c r="M158" i="113"/>
  <c r="M157" i="113"/>
  <c r="M156" i="113"/>
  <c r="M155" i="113"/>
  <c r="M154" i="113"/>
  <c r="M153" i="113"/>
  <c r="M152" i="113"/>
  <c r="M151" i="113"/>
  <c r="M150" i="113"/>
  <c r="M149" i="113"/>
  <c r="M148" i="113"/>
  <c r="M147" i="113"/>
  <c r="M146" i="113"/>
  <c r="M145" i="113"/>
  <c r="M144" i="113"/>
  <c r="M143" i="113"/>
  <c r="M142" i="113"/>
  <c r="M141" i="113"/>
  <c r="M140" i="113"/>
  <c r="M139" i="113"/>
  <c r="M138" i="113"/>
  <c r="M137" i="113"/>
  <c r="M136" i="113"/>
  <c r="M135" i="113"/>
  <c r="M134" i="113"/>
  <c r="M133" i="113"/>
  <c r="M132" i="113"/>
  <c r="M131" i="113"/>
  <c r="M130" i="113"/>
  <c r="M129" i="113"/>
  <c r="M128" i="113"/>
  <c r="M127" i="113"/>
  <c r="Q35" i="263"/>
  <c r="Q34" i="263"/>
  <c r="Q23" i="263"/>
  <c r="Q26" i="263"/>
  <c r="Q19" i="263"/>
  <c r="Q28" i="263" s="1"/>
  <c r="V32" i="263"/>
  <c r="R35" i="263"/>
  <c r="R34" i="263"/>
  <c r="Q72" i="263"/>
  <c r="N96" i="263"/>
  <c r="M96" i="263"/>
  <c r="L96" i="263"/>
  <c r="K96" i="263"/>
  <c r="J96" i="263"/>
  <c r="I96" i="263"/>
  <c r="H96" i="263"/>
  <c r="H97" i="263" s="1"/>
  <c r="G96" i="263"/>
  <c r="F96" i="263"/>
  <c r="D96" i="263"/>
  <c r="C96" i="263"/>
  <c r="C97" i="263" s="1"/>
  <c r="U94" i="263"/>
  <c r="R94" i="263"/>
  <c r="P94" i="263"/>
  <c r="O94" i="263"/>
  <c r="U93" i="263"/>
  <c r="R93" i="263"/>
  <c r="O93" i="263"/>
  <c r="P93" i="263" s="1"/>
  <c r="U92" i="263"/>
  <c r="R92" i="263"/>
  <c r="O92" i="263"/>
  <c r="P92" i="263" s="1"/>
  <c r="U91" i="263"/>
  <c r="R91" i="263"/>
  <c r="O91" i="263"/>
  <c r="P91" i="263" s="1"/>
  <c r="U90" i="263"/>
  <c r="R90" i="263"/>
  <c r="O90" i="263"/>
  <c r="P90" i="263" s="1"/>
  <c r="U89" i="263"/>
  <c r="R89" i="263"/>
  <c r="O89" i="263"/>
  <c r="P89" i="263" s="1"/>
  <c r="U88" i="263"/>
  <c r="R88" i="263"/>
  <c r="P88" i="263"/>
  <c r="O88" i="263"/>
  <c r="U87" i="263"/>
  <c r="R87" i="263"/>
  <c r="O87" i="263"/>
  <c r="P87" i="263" s="1"/>
  <c r="U86" i="263"/>
  <c r="R86" i="263"/>
  <c r="O86" i="263"/>
  <c r="P86" i="263" s="1"/>
  <c r="U85" i="263"/>
  <c r="R85" i="263"/>
  <c r="O85" i="263"/>
  <c r="P85" i="263" s="1"/>
  <c r="U84" i="263"/>
  <c r="R84" i="263"/>
  <c r="O84" i="263"/>
  <c r="P84" i="263" s="1"/>
  <c r="U83" i="263"/>
  <c r="R83" i="263"/>
  <c r="O83" i="263"/>
  <c r="P83" i="263" s="1"/>
  <c r="U82" i="263"/>
  <c r="R82" i="263"/>
  <c r="P82" i="263"/>
  <c r="O82" i="263"/>
  <c r="U81" i="263"/>
  <c r="R81" i="263"/>
  <c r="O81" i="263"/>
  <c r="P81" i="263" s="1"/>
  <c r="U80" i="263"/>
  <c r="R80" i="263"/>
  <c r="P80" i="263"/>
  <c r="O80" i="263"/>
  <c r="U79" i="263"/>
  <c r="R79" i="263"/>
  <c r="O79" i="263"/>
  <c r="P79" i="263" s="1"/>
  <c r="U78" i="263"/>
  <c r="R78" i="263"/>
  <c r="O78" i="263"/>
  <c r="P78" i="263" s="1"/>
  <c r="U77" i="263"/>
  <c r="R77" i="263"/>
  <c r="O77" i="263"/>
  <c r="P77" i="263" s="1"/>
  <c r="U76" i="263"/>
  <c r="R76" i="263"/>
  <c r="O76" i="263"/>
  <c r="P76" i="263" s="1"/>
  <c r="U75" i="263"/>
  <c r="R75" i="263"/>
  <c r="O75" i="263"/>
  <c r="P75" i="263" s="1"/>
  <c r="U74" i="263"/>
  <c r="R74" i="263"/>
  <c r="O74" i="263"/>
  <c r="P74" i="263" s="1"/>
  <c r="U73" i="263"/>
  <c r="R73" i="263"/>
  <c r="O73" i="263"/>
  <c r="P73" i="263" s="1"/>
  <c r="U72" i="263"/>
  <c r="R72" i="263"/>
  <c r="P72" i="263"/>
  <c r="O72" i="263"/>
  <c r="U71" i="263"/>
  <c r="R71" i="263"/>
  <c r="P71" i="263"/>
  <c r="O71" i="263"/>
  <c r="U70" i="263"/>
  <c r="R70" i="263"/>
  <c r="P70" i="263"/>
  <c r="O70" i="263"/>
  <c r="U69" i="263"/>
  <c r="R69" i="263"/>
  <c r="P69" i="263"/>
  <c r="O69" i="263"/>
  <c r="U68" i="263"/>
  <c r="R68" i="263"/>
  <c r="P68" i="263"/>
  <c r="O68" i="263"/>
  <c r="U67" i="263"/>
  <c r="R67" i="263"/>
  <c r="P67" i="263"/>
  <c r="O67" i="263"/>
  <c r="U66" i="263"/>
  <c r="R66" i="263"/>
  <c r="P66" i="263"/>
  <c r="O66" i="263"/>
  <c r="U65" i="263"/>
  <c r="R65" i="263"/>
  <c r="P65" i="263"/>
  <c r="O65" i="263"/>
  <c r="U64" i="263"/>
  <c r="R64" i="263"/>
  <c r="P64" i="263"/>
  <c r="O64" i="263"/>
  <c r="U63" i="263"/>
  <c r="R63" i="263"/>
  <c r="P63" i="263"/>
  <c r="O63" i="263"/>
  <c r="U62" i="263"/>
  <c r="R62" i="263"/>
  <c r="P62" i="263"/>
  <c r="O62" i="263"/>
  <c r="U61" i="263"/>
  <c r="R61" i="263"/>
  <c r="P61" i="263"/>
  <c r="O61" i="263"/>
  <c r="U60" i="263"/>
  <c r="R60" i="263"/>
  <c r="P60" i="263"/>
  <c r="O60" i="263"/>
  <c r="U59" i="263"/>
  <c r="R59" i="263"/>
  <c r="P59" i="263"/>
  <c r="O59" i="263"/>
  <c r="U58" i="263"/>
  <c r="R58" i="263"/>
  <c r="P58" i="263"/>
  <c r="O58" i="263"/>
  <c r="U57" i="263"/>
  <c r="R57" i="263"/>
  <c r="P57" i="263"/>
  <c r="O57" i="263"/>
  <c r="U56" i="263"/>
  <c r="R56" i="263"/>
  <c r="P56" i="263"/>
  <c r="O56" i="263"/>
  <c r="U55" i="263"/>
  <c r="R55" i="263"/>
  <c r="O55" i="263"/>
  <c r="P55" i="263" s="1"/>
  <c r="U54" i="263"/>
  <c r="R54" i="263"/>
  <c r="P54" i="263"/>
  <c r="O54" i="263"/>
  <c r="U53" i="263"/>
  <c r="R53" i="263"/>
  <c r="O53" i="263"/>
  <c r="P53" i="263" s="1"/>
  <c r="U52" i="263"/>
  <c r="R52" i="263"/>
  <c r="P52" i="263"/>
  <c r="O52" i="263"/>
  <c r="U51" i="263"/>
  <c r="R51" i="263"/>
  <c r="P51" i="263"/>
  <c r="O51" i="263"/>
  <c r="U50" i="263"/>
  <c r="R50" i="263"/>
  <c r="P50" i="263"/>
  <c r="O50" i="263"/>
  <c r="U49" i="263"/>
  <c r="R49" i="263"/>
  <c r="O49" i="263"/>
  <c r="P49" i="263" s="1"/>
  <c r="U48" i="263"/>
  <c r="R48" i="263"/>
  <c r="P48" i="263"/>
  <c r="O48" i="263"/>
  <c r="U47" i="263"/>
  <c r="R47" i="263"/>
  <c r="O47" i="263"/>
  <c r="P47" i="263" s="1"/>
  <c r="U46" i="263"/>
  <c r="R46" i="263"/>
  <c r="P46" i="263"/>
  <c r="O46" i="263"/>
  <c r="U45" i="263"/>
  <c r="R45" i="263"/>
  <c r="O45" i="263"/>
  <c r="P45" i="263" s="1"/>
  <c r="U44" i="263"/>
  <c r="R44" i="263"/>
  <c r="P44" i="263"/>
  <c r="O44" i="263"/>
  <c r="U43" i="263"/>
  <c r="Q43" i="263"/>
  <c r="R43" i="263" s="1"/>
  <c r="P43" i="263"/>
  <c r="E43" i="263"/>
  <c r="E96" i="263" s="1"/>
  <c r="U42" i="263"/>
  <c r="R42" i="263"/>
  <c r="O42" i="263"/>
  <c r="P42" i="263" s="1"/>
  <c r="U41" i="263"/>
  <c r="R41" i="263"/>
  <c r="O41" i="263"/>
  <c r="P41" i="263" s="1"/>
  <c r="U40" i="263"/>
  <c r="R40" i="263"/>
  <c r="O40" i="263"/>
  <c r="P40" i="263" s="1"/>
  <c r="U39" i="263"/>
  <c r="R39" i="263"/>
  <c r="P39" i="263"/>
  <c r="O39" i="263"/>
  <c r="U38" i="263"/>
  <c r="R38" i="263"/>
  <c r="O38" i="263"/>
  <c r="P38" i="263" s="1"/>
  <c r="U37" i="263"/>
  <c r="R37" i="263"/>
  <c r="P37" i="263"/>
  <c r="O37" i="263"/>
  <c r="U36" i="263"/>
  <c r="R36" i="263"/>
  <c r="O36" i="263"/>
  <c r="P36" i="263" s="1"/>
  <c r="U35" i="263"/>
  <c r="O35" i="263"/>
  <c r="P35" i="263" s="1"/>
  <c r="U34" i="263"/>
  <c r="O34" i="263"/>
  <c r="Q29" i="263"/>
  <c r="J28" i="263"/>
  <c r="J97" i="263" s="1"/>
  <c r="I28" i="263"/>
  <c r="I97" i="263" s="1"/>
  <c r="G28" i="263"/>
  <c r="G97" i="263" s="1"/>
  <c r="F28" i="263"/>
  <c r="F29" i="263" s="1"/>
  <c r="E28" i="263"/>
  <c r="E29" i="263" s="1"/>
  <c r="D28" i="263"/>
  <c r="D97" i="263" s="1"/>
  <c r="C28" i="263"/>
  <c r="O26" i="263"/>
  <c r="O28" i="263" s="1"/>
  <c r="R25" i="263"/>
  <c r="R24" i="263"/>
  <c r="R23" i="263"/>
  <c r="R22" i="263"/>
  <c r="R21" i="263"/>
  <c r="R20" i="263"/>
  <c r="K28" i="263"/>
  <c r="R18" i="263"/>
  <c r="R17" i="263"/>
  <c r="R16" i="263"/>
  <c r="R15" i="263"/>
  <c r="R14" i="263"/>
  <c r="R13" i="263"/>
  <c r="R12" i="263"/>
  <c r="R11" i="263"/>
  <c r="R10" i="263"/>
  <c r="R9" i="263"/>
  <c r="R8" i="263"/>
  <c r="N14" i="264" l="1"/>
  <c r="N19" i="264"/>
  <c r="M19" i="264"/>
  <c r="M26" i="264"/>
  <c r="P26" i="264"/>
  <c r="P40" i="264"/>
  <c r="N47" i="264"/>
  <c r="M60" i="264"/>
  <c r="P60" i="264"/>
  <c r="O67" i="264"/>
  <c r="M67" i="264" s="1"/>
  <c r="M72" i="264"/>
  <c r="P72" i="264"/>
  <c r="O106" i="264"/>
  <c r="M106" i="264" s="1"/>
  <c r="O165" i="264"/>
  <c r="M165" i="264" s="1"/>
  <c r="M16" i="264"/>
  <c r="P16" i="264"/>
  <c r="P42" i="264"/>
  <c r="O79" i="264"/>
  <c r="M79" i="264" s="1"/>
  <c r="M84" i="264"/>
  <c r="P84" i="264"/>
  <c r="O94" i="264"/>
  <c r="M94" i="264" s="1"/>
  <c r="P94" i="264"/>
  <c r="O126" i="264"/>
  <c r="M126" i="264" s="1"/>
  <c r="P172" i="264"/>
  <c r="M189" i="264"/>
  <c r="P189" i="264"/>
  <c r="M8" i="264"/>
  <c r="P8" i="264"/>
  <c r="N29" i="264"/>
  <c r="M29" i="264"/>
  <c r="O47" i="264"/>
  <c r="M47" i="264" s="1"/>
  <c r="O86" i="264"/>
  <c r="M86" i="264" s="1"/>
  <c r="N10" i="264"/>
  <c r="P27" i="264"/>
  <c r="N33" i="264"/>
  <c r="M33" i="264"/>
  <c r="P35" i="264"/>
  <c r="M64" i="264"/>
  <c r="P64" i="264"/>
  <c r="O71" i="264"/>
  <c r="M71" i="264" s="1"/>
  <c r="M76" i="264"/>
  <c r="P76" i="264"/>
  <c r="O102" i="264"/>
  <c r="M102" i="264" s="1"/>
  <c r="P102" i="264"/>
  <c r="P161" i="264"/>
  <c r="O161" i="264"/>
  <c r="M161" i="264" s="1"/>
  <c r="O179" i="264"/>
  <c r="M179" i="264" s="1"/>
  <c r="O14" i="264"/>
  <c r="M14" i="264" s="1"/>
  <c r="O10" i="264"/>
  <c r="M10" i="264" s="1"/>
  <c r="P43" i="264"/>
  <c r="M12" i="264"/>
  <c r="P12" i="264"/>
  <c r="O18" i="264"/>
  <c r="M18" i="264" s="1"/>
  <c r="M20" i="264"/>
  <c r="P36" i="264"/>
  <c r="M45" i="264"/>
  <c r="P45" i="264"/>
  <c r="N71" i="264"/>
  <c r="O83" i="264"/>
  <c r="M83" i="264" s="1"/>
  <c r="O90" i="264"/>
  <c r="M90" i="264" s="1"/>
  <c r="P90" i="264"/>
  <c r="O122" i="264"/>
  <c r="M122" i="264" s="1"/>
  <c r="O174" i="264"/>
  <c r="M174" i="264" s="1"/>
  <c r="N179" i="264"/>
  <c r="O188" i="264"/>
  <c r="M188" i="264" s="1"/>
  <c r="N37" i="264"/>
  <c r="M37" i="264"/>
  <c r="I210" i="264"/>
  <c r="O6" i="264"/>
  <c r="O23" i="264"/>
  <c r="M23" i="264" s="1"/>
  <c r="P46" i="264"/>
  <c r="M68" i="264"/>
  <c r="P68" i="264"/>
  <c r="O110" i="264"/>
  <c r="P110" i="264" s="1"/>
  <c r="O169" i="264"/>
  <c r="M169" i="264" s="1"/>
  <c r="N188" i="264"/>
  <c r="O118" i="264"/>
  <c r="M118" i="264" s="1"/>
  <c r="P17" i="264"/>
  <c r="P21" i="264"/>
  <c r="N79" i="264"/>
  <c r="O114" i="264"/>
  <c r="M114" i="264" s="1"/>
  <c r="N23" i="264"/>
  <c r="P51" i="264"/>
  <c r="O75" i="264"/>
  <c r="M75" i="264" s="1"/>
  <c r="M80" i="264"/>
  <c r="P80" i="264"/>
  <c r="O98" i="264"/>
  <c r="M98" i="264" s="1"/>
  <c r="P98" i="264"/>
  <c r="O130" i="264"/>
  <c r="M130" i="264" s="1"/>
  <c r="O157" i="264"/>
  <c r="M157" i="264" s="1"/>
  <c r="L210" i="264"/>
  <c r="N86" i="264"/>
  <c r="N90" i="264"/>
  <c r="N94" i="264"/>
  <c r="N98" i="264"/>
  <c r="N102" i="264"/>
  <c r="N106" i="264"/>
  <c r="N110" i="264"/>
  <c r="N114" i="264"/>
  <c r="N118" i="264"/>
  <c r="N122" i="264"/>
  <c r="N126" i="264"/>
  <c r="N130" i="264"/>
  <c r="O133" i="264"/>
  <c r="M133" i="264" s="1"/>
  <c r="P137" i="264"/>
  <c r="O137" i="264"/>
  <c r="M137" i="264" s="1"/>
  <c r="N157" i="264"/>
  <c r="N161" i="264"/>
  <c r="N165" i="264"/>
  <c r="N169" i="264"/>
  <c r="O192" i="264"/>
  <c r="M192" i="264" s="1"/>
  <c r="P196" i="264"/>
  <c r="O196" i="264"/>
  <c r="M196" i="264" s="1"/>
  <c r="O200" i="264"/>
  <c r="M200" i="264" s="1"/>
  <c r="O204" i="264"/>
  <c r="M204" i="264" s="1"/>
  <c r="O208" i="264"/>
  <c r="M208" i="264" s="1"/>
  <c r="P30" i="264"/>
  <c r="P34" i="264"/>
  <c r="P38" i="264"/>
  <c r="M52" i="264"/>
  <c r="P55" i="264"/>
  <c r="M63" i="264"/>
  <c r="O111" i="264"/>
  <c r="M111" i="264" s="1"/>
  <c r="P115" i="264"/>
  <c r="O115" i="264"/>
  <c r="M115" i="264" s="1"/>
  <c r="O119" i="264"/>
  <c r="M119" i="264" s="1"/>
  <c r="O123" i="264"/>
  <c r="M123" i="264" s="1"/>
  <c r="O127" i="264"/>
  <c r="M127" i="264" s="1"/>
  <c r="P131" i="264"/>
  <c r="O131" i="264"/>
  <c r="M131" i="264" s="1"/>
  <c r="N133" i="264"/>
  <c r="N137" i="264"/>
  <c r="O158" i="264"/>
  <c r="M158" i="264" s="1"/>
  <c r="O162" i="264"/>
  <c r="M162" i="264" s="1"/>
  <c r="P166" i="264"/>
  <c r="O166" i="264"/>
  <c r="M166" i="264" s="1"/>
  <c r="O170" i="264"/>
  <c r="M170" i="264" s="1"/>
  <c r="N173" i="264"/>
  <c r="O183" i="264"/>
  <c r="M183" i="264" s="1"/>
  <c r="N192" i="264"/>
  <c r="N196" i="264"/>
  <c r="N200" i="264"/>
  <c r="N204" i="264"/>
  <c r="N208" i="264"/>
  <c r="N6" i="264"/>
  <c r="O103" i="264"/>
  <c r="M103" i="264" s="1"/>
  <c r="P138" i="264"/>
  <c r="O138" i="264"/>
  <c r="M138" i="264" s="1"/>
  <c r="R25" i="264"/>
  <c r="O43" i="264"/>
  <c r="M43" i="264" s="1"/>
  <c r="N49" i="264"/>
  <c r="N56" i="264"/>
  <c r="P61" i="264"/>
  <c r="P65" i="264"/>
  <c r="N87" i="264"/>
  <c r="N91" i="264"/>
  <c r="N95" i="264"/>
  <c r="N99" i="264"/>
  <c r="N103" i="264"/>
  <c r="N107" i="264"/>
  <c r="M142" i="264"/>
  <c r="O144" i="264"/>
  <c r="M144" i="264" s="1"/>
  <c r="N144" i="264"/>
  <c r="M146" i="264"/>
  <c r="O148" i="264"/>
  <c r="M148" i="264" s="1"/>
  <c r="N148" i="264"/>
  <c r="M150" i="264"/>
  <c r="M154" i="264"/>
  <c r="P180" i="264"/>
  <c r="P193" i="264"/>
  <c r="P197" i="264"/>
  <c r="P201" i="264"/>
  <c r="P205" i="264"/>
  <c r="H210" i="264"/>
  <c r="O87" i="264"/>
  <c r="M87" i="264" s="1"/>
  <c r="P173" i="264"/>
  <c r="O28" i="264"/>
  <c r="M28" i="264" s="1"/>
  <c r="O32" i="264"/>
  <c r="M32" i="264" s="1"/>
  <c r="O36" i="264"/>
  <c r="M36" i="264" s="1"/>
  <c r="O40" i="264"/>
  <c r="M40" i="264" s="1"/>
  <c r="O49" i="264"/>
  <c r="M49" i="264" s="1"/>
  <c r="N51" i="264"/>
  <c r="P52" i="264"/>
  <c r="P56" i="264"/>
  <c r="O62" i="264"/>
  <c r="M62" i="264" s="1"/>
  <c r="P66" i="264"/>
  <c r="O66" i="264"/>
  <c r="M66" i="264" s="1"/>
  <c r="P69" i="264"/>
  <c r="P73" i="264"/>
  <c r="P77" i="264"/>
  <c r="P81" i="264"/>
  <c r="N140" i="264"/>
  <c r="N152" i="264"/>
  <c r="N156" i="264"/>
  <c r="P177" i="264"/>
  <c r="P184" i="264"/>
  <c r="P186" i="264"/>
  <c r="P190" i="264"/>
  <c r="P194" i="264"/>
  <c r="P198" i="264"/>
  <c r="P202" i="264"/>
  <c r="P206" i="264"/>
  <c r="O91" i="264"/>
  <c r="M91" i="264" s="1"/>
  <c r="O99" i="264"/>
  <c r="M99" i="264" s="1"/>
  <c r="O107" i="264"/>
  <c r="M107" i="264" s="1"/>
  <c r="P134" i="264"/>
  <c r="O134" i="264"/>
  <c r="M134" i="264" s="1"/>
  <c r="O9" i="264"/>
  <c r="M9" i="264" s="1"/>
  <c r="O13" i="264"/>
  <c r="M13" i="264" s="1"/>
  <c r="O17" i="264"/>
  <c r="M17" i="264" s="1"/>
  <c r="O22" i="264"/>
  <c r="M22" i="264" s="1"/>
  <c r="N27" i="264"/>
  <c r="N31" i="264"/>
  <c r="N35" i="264"/>
  <c r="N39" i="264"/>
  <c r="O46" i="264"/>
  <c r="M46" i="264" s="1"/>
  <c r="O53" i="264"/>
  <c r="M53" i="264" s="1"/>
  <c r="O57" i="264"/>
  <c r="M57" i="264" s="1"/>
  <c r="O70" i="264"/>
  <c r="M70" i="264" s="1"/>
  <c r="P74" i="264"/>
  <c r="O74" i="264"/>
  <c r="M74" i="264" s="1"/>
  <c r="O78" i="264"/>
  <c r="M78" i="264" s="1"/>
  <c r="O82" i="264"/>
  <c r="M82" i="264" s="1"/>
  <c r="P140" i="264"/>
  <c r="P144" i="264"/>
  <c r="P148" i="264"/>
  <c r="P152" i="264"/>
  <c r="P156" i="264"/>
  <c r="N172" i="264"/>
  <c r="N174" i="264"/>
  <c r="O178" i="264"/>
  <c r="M178" i="264" s="1"/>
  <c r="P187" i="264"/>
  <c r="O187" i="264"/>
  <c r="M187" i="264" s="1"/>
  <c r="O95" i="264"/>
  <c r="M95" i="264" s="1"/>
  <c r="N53" i="264"/>
  <c r="N57" i="264"/>
  <c r="N70" i="264"/>
  <c r="N74" i="264"/>
  <c r="N78" i="264"/>
  <c r="N82" i="264"/>
  <c r="P85" i="264"/>
  <c r="P89" i="264"/>
  <c r="P93" i="264"/>
  <c r="P97" i="264"/>
  <c r="P101" i="264"/>
  <c r="P105" i="264"/>
  <c r="P109" i="264"/>
  <c r="P113" i="264"/>
  <c r="P117" i="264"/>
  <c r="P121" i="264"/>
  <c r="P125" i="264"/>
  <c r="P129" i="264"/>
  <c r="O141" i="264"/>
  <c r="M141" i="264" s="1"/>
  <c r="P145" i="264"/>
  <c r="O145" i="264"/>
  <c r="M145" i="264" s="1"/>
  <c r="O149" i="264"/>
  <c r="M149" i="264" s="1"/>
  <c r="O153" i="264"/>
  <c r="M153" i="264" s="1"/>
  <c r="P160" i="264"/>
  <c r="P164" i="264"/>
  <c r="P168" i="264"/>
  <c r="P175" i="264"/>
  <c r="O175" i="264"/>
  <c r="M175" i="264" s="1"/>
  <c r="N178" i="264"/>
  <c r="N187" i="264"/>
  <c r="N191" i="264"/>
  <c r="N195" i="264"/>
  <c r="N199" i="264"/>
  <c r="N203" i="264"/>
  <c r="N207" i="264"/>
  <c r="O96" i="263"/>
  <c r="U26" i="263"/>
  <c r="W28" i="263"/>
  <c r="Y26" i="263"/>
  <c r="R96" i="263"/>
  <c r="E97" i="263"/>
  <c r="G29" i="263"/>
  <c r="R19" i="263"/>
  <c r="P34" i="263"/>
  <c r="P96" i="263" s="1"/>
  <c r="F97" i="263"/>
  <c r="Q96" i="263"/>
  <c r="Q99" i="263" s="1"/>
  <c r="Q103" i="263" s="1"/>
  <c r="P111" i="264" l="1"/>
  <c r="P157" i="264"/>
  <c r="P75" i="264"/>
  <c r="P122" i="264"/>
  <c r="P82" i="264"/>
  <c r="P123" i="264"/>
  <c r="P153" i="264"/>
  <c r="P204" i="264"/>
  <c r="P23" i="264"/>
  <c r="P188" i="264"/>
  <c r="P14" i="264"/>
  <c r="P67" i="264"/>
  <c r="P70" i="264"/>
  <c r="P62" i="264"/>
  <c r="P28" i="264"/>
  <c r="P47" i="264"/>
  <c r="P130" i="264"/>
  <c r="P53" i="264"/>
  <c r="P170" i="264"/>
  <c r="P119" i="264"/>
  <c r="P49" i="264"/>
  <c r="P114" i="264"/>
  <c r="P169" i="264"/>
  <c r="P13" i="264"/>
  <c r="P83" i="264"/>
  <c r="P18" i="264"/>
  <c r="P22" i="264"/>
  <c r="P162" i="264"/>
  <c r="P79" i="264"/>
  <c r="P32" i="264"/>
  <c r="P141" i="264"/>
  <c r="P178" i="264"/>
  <c r="P192" i="264"/>
  <c r="P133" i="264"/>
  <c r="P118" i="264"/>
  <c r="P57" i="264"/>
  <c r="P99" i="264"/>
  <c r="P87" i="264"/>
  <c r="P78" i="264"/>
  <c r="P149" i="264"/>
  <c r="P95" i="264"/>
  <c r="P91" i="264"/>
  <c r="P200" i="264"/>
  <c r="O210" i="264"/>
  <c r="M6" i="264"/>
  <c r="M210" i="264" s="1"/>
  <c r="P179" i="264"/>
  <c r="P71" i="264"/>
  <c r="P165" i="264"/>
  <c r="P127" i="264"/>
  <c r="P107" i="264"/>
  <c r="P103" i="264"/>
  <c r="P183" i="264"/>
  <c r="P208" i="264"/>
  <c r="P10" i="264"/>
  <c r="P158" i="264"/>
  <c r="P126" i="264"/>
  <c r="P6" i="264"/>
  <c r="P174" i="264"/>
  <c r="P86" i="264"/>
  <c r="P106" i="264"/>
  <c r="P9" i="264"/>
  <c r="E346" i="135"/>
  <c r="P210" i="264" l="1"/>
  <c r="I4" i="113"/>
  <c r="I5" i="113"/>
  <c r="I6" i="113"/>
  <c r="I7" i="113"/>
  <c r="I8" i="113"/>
  <c r="I9" i="113"/>
  <c r="I10" i="113"/>
  <c r="I11" i="113"/>
  <c r="I12" i="113"/>
  <c r="I13" i="113"/>
  <c r="I14" i="113"/>
  <c r="I15" i="113"/>
  <c r="I16" i="113"/>
  <c r="I17" i="113"/>
  <c r="I18" i="113"/>
  <c r="I19" i="113"/>
  <c r="I20" i="113"/>
  <c r="I21" i="113"/>
  <c r="I22" i="113"/>
  <c r="I23" i="113"/>
  <c r="I24" i="113"/>
  <c r="I25" i="113"/>
  <c r="I26" i="113"/>
  <c r="I27" i="113"/>
  <c r="I28" i="113"/>
  <c r="I29" i="113"/>
  <c r="I30" i="113"/>
  <c r="I31" i="113"/>
  <c r="I32" i="113"/>
  <c r="I33" i="113"/>
  <c r="I34" i="113"/>
  <c r="I35" i="113"/>
  <c r="I36" i="113"/>
  <c r="I37" i="113"/>
  <c r="I38" i="113"/>
  <c r="I39" i="113"/>
  <c r="I40" i="113"/>
  <c r="I41" i="113"/>
  <c r="I42" i="113"/>
  <c r="I43" i="113"/>
  <c r="I44" i="113"/>
  <c r="I45" i="113"/>
  <c r="I46" i="113"/>
  <c r="I47" i="113"/>
  <c r="I48" i="113"/>
  <c r="I49" i="113"/>
  <c r="I50" i="113"/>
  <c r="I51" i="113"/>
  <c r="I52" i="113"/>
  <c r="I53" i="113"/>
  <c r="I54" i="113"/>
  <c r="I55" i="113"/>
  <c r="I56" i="113"/>
  <c r="I57" i="113"/>
  <c r="I58" i="113"/>
  <c r="I59" i="113"/>
  <c r="I60" i="113"/>
  <c r="I61" i="113"/>
  <c r="I62" i="113"/>
  <c r="I63" i="113"/>
  <c r="I64" i="113"/>
  <c r="I65" i="113"/>
  <c r="I66" i="113"/>
  <c r="I67" i="113"/>
  <c r="I68" i="113"/>
  <c r="I69" i="113"/>
  <c r="I70" i="113"/>
  <c r="I71" i="113"/>
  <c r="I72" i="113"/>
  <c r="I73" i="113"/>
  <c r="I74" i="113"/>
  <c r="I75" i="113"/>
  <c r="I76" i="113"/>
  <c r="I77" i="113"/>
  <c r="I78" i="113"/>
  <c r="I79" i="113"/>
  <c r="I80" i="113"/>
  <c r="I81" i="113"/>
  <c r="I82" i="113"/>
  <c r="I83" i="113"/>
  <c r="I84" i="113"/>
  <c r="I85" i="113"/>
  <c r="I86" i="113"/>
  <c r="I87" i="113"/>
  <c r="I88" i="113"/>
  <c r="I89" i="113"/>
  <c r="I90" i="113"/>
  <c r="I91" i="113"/>
  <c r="I92" i="113"/>
  <c r="I93" i="113"/>
  <c r="I94" i="113"/>
  <c r="I95" i="113"/>
  <c r="I96" i="113"/>
  <c r="I97" i="113"/>
  <c r="I98" i="113"/>
  <c r="I99" i="113"/>
  <c r="I100" i="113"/>
  <c r="I101" i="113"/>
  <c r="I102" i="113"/>
  <c r="I103" i="113"/>
  <c r="I104" i="113"/>
  <c r="I105" i="113"/>
  <c r="I106" i="113"/>
  <c r="I3" i="113"/>
  <c r="I111" i="113" l="1"/>
  <c r="A4000" i="113" l="1"/>
  <c r="A4001" i="113"/>
  <c r="A4002" i="113"/>
  <c r="A4003" i="113"/>
  <c r="A4004" i="113"/>
  <c r="A4005" i="113"/>
  <c r="A4006" i="113"/>
  <c r="A4007" i="113"/>
  <c r="A4008" i="113"/>
  <c r="A4009" i="113"/>
  <c r="A4010" i="113"/>
  <c r="A4011" i="113"/>
  <c r="A4012" i="113"/>
  <c r="A4013" i="113"/>
  <c r="A4014" i="113"/>
  <c r="A4015" i="113"/>
  <c r="A4016" i="113"/>
  <c r="A4017" i="113"/>
  <c r="A4018" i="113"/>
  <c r="A4019" i="113"/>
  <c r="A4020" i="113"/>
  <c r="A4021" i="113"/>
  <c r="A4022" i="113"/>
  <c r="A4023" i="113"/>
  <c r="A4024" i="113"/>
  <c r="A4025" i="113"/>
  <c r="A4026" i="113"/>
  <c r="A4027" i="113"/>
  <c r="A4028" i="113"/>
  <c r="A4029" i="113"/>
  <c r="A4030" i="113"/>
  <c r="A4031" i="113"/>
  <c r="A4032" i="113"/>
  <c r="A4033" i="113"/>
  <c r="A4034" i="113"/>
  <c r="A4035" i="113"/>
  <c r="A4036" i="113"/>
  <c r="A4037" i="113"/>
  <c r="A4038" i="113"/>
  <c r="A4039" i="113"/>
  <c r="A4040" i="113"/>
  <c r="A4041" i="113"/>
  <c r="A4042" i="113"/>
  <c r="A4043" i="113"/>
  <c r="A4044" i="113"/>
  <c r="A4045" i="113"/>
  <c r="A4046" i="113"/>
  <c r="A4047" i="113"/>
  <c r="A4048" i="113"/>
  <c r="A4049" i="113"/>
  <c r="A4050" i="113"/>
  <c r="A4051" i="113"/>
  <c r="A4052" i="113"/>
  <c r="A4053" i="113"/>
  <c r="A4054" i="113"/>
  <c r="A4055" i="113"/>
  <c r="A4056" i="113"/>
  <c r="A4057" i="113"/>
  <c r="A4058" i="113"/>
  <c r="A4059" i="113"/>
  <c r="A4060" i="113"/>
  <c r="A4061" i="113"/>
  <c r="A4062" i="113"/>
  <c r="A4063" i="113"/>
  <c r="A4064" i="113"/>
  <c r="A4065" i="113"/>
  <c r="A4066" i="113"/>
  <c r="A4067" i="113"/>
  <c r="A4068" i="113"/>
  <c r="A4069" i="113"/>
  <c r="A4070" i="113"/>
  <c r="A4071" i="113"/>
  <c r="A4072" i="113"/>
  <c r="A4073" i="113"/>
  <c r="A4074" i="113"/>
  <c r="A4075" i="113"/>
  <c r="A4076" i="113"/>
  <c r="A4077" i="113"/>
  <c r="B4000" i="113"/>
  <c r="B4001" i="113"/>
  <c r="B4002" i="113"/>
  <c r="B4003" i="113"/>
  <c r="B4004" i="113"/>
  <c r="B4005" i="113"/>
  <c r="B4006" i="113"/>
  <c r="B4007" i="113"/>
  <c r="B4008" i="113"/>
  <c r="B4009" i="113"/>
  <c r="B4010" i="113"/>
  <c r="B4011" i="113"/>
  <c r="B4012" i="113"/>
  <c r="B4013" i="113"/>
  <c r="B4014" i="113"/>
  <c r="B4015" i="113"/>
  <c r="B4016" i="113"/>
  <c r="B4017" i="113"/>
  <c r="B4018" i="113"/>
  <c r="B4019" i="113"/>
  <c r="B4020" i="113"/>
  <c r="B4021" i="113"/>
  <c r="B4022" i="113"/>
  <c r="B4023" i="113"/>
  <c r="B4024" i="113"/>
  <c r="B4025" i="113"/>
  <c r="B4026" i="113"/>
  <c r="B4027" i="113"/>
  <c r="B4028" i="113"/>
  <c r="B4029" i="113"/>
  <c r="B4030" i="113"/>
  <c r="B4031" i="113"/>
  <c r="B4032" i="113"/>
  <c r="B4033" i="113"/>
  <c r="B4034" i="113"/>
  <c r="B4035" i="113"/>
  <c r="B4036" i="113"/>
  <c r="B4037" i="113"/>
  <c r="B4038" i="113"/>
  <c r="B4039" i="113"/>
  <c r="B4040" i="113"/>
  <c r="B4041" i="113"/>
  <c r="B4042" i="113"/>
  <c r="B4043" i="113"/>
  <c r="B4044" i="113"/>
  <c r="B4045" i="113"/>
  <c r="B4046" i="113"/>
  <c r="B4047" i="113"/>
  <c r="B4048" i="113"/>
  <c r="B4049" i="113"/>
  <c r="B4050" i="113"/>
  <c r="B4051" i="113"/>
  <c r="B4052" i="113"/>
  <c r="B4053" i="113"/>
  <c r="B4054" i="113"/>
  <c r="B4055" i="113"/>
  <c r="B4056" i="113"/>
  <c r="B4057" i="113"/>
  <c r="B4058" i="113"/>
  <c r="B4059" i="113"/>
  <c r="B4060" i="113"/>
  <c r="B4061" i="113"/>
  <c r="B4062" i="113"/>
  <c r="B4063" i="113"/>
  <c r="B4064" i="113"/>
  <c r="B4065" i="113"/>
  <c r="B4066" i="113"/>
  <c r="B4067" i="113"/>
  <c r="B4068" i="113"/>
  <c r="B4069" i="113"/>
  <c r="B4070" i="113"/>
  <c r="B4071" i="113"/>
  <c r="B4072" i="113"/>
  <c r="B4073" i="113"/>
  <c r="B4074" i="113"/>
  <c r="B4075" i="113"/>
  <c r="B4076" i="113"/>
  <c r="B4077" i="113"/>
  <c r="O4077" i="113"/>
  <c r="O4076" i="113"/>
  <c r="O4075" i="113"/>
  <c r="O4074" i="113"/>
  <c r="O4073" i="113"/>
  <c r="O4072" i="113"/>
  <c r="O4071" i="113"/>
  <c r="O4070" i="113"/>
  <c r="O4069" i="113"/>
  <c r="O4068" i="113"/>
  <c r="O4067" i="113"/>
  <c r="O4066" i="113"/>
  <c r="O4065" i="113"/>
  <c r="O4064" i="113"/>
  <c r="O4063" i="113"/>
  <c r="O4062" i="113"/>
  <c r="O4061" i="113"/>
  <c r="O4060" i="113"/>
  <c r="O4059" i="113"/>
  <c r="O4058" i="113"/>
  <c r="O4057" i="113"/>
  <c r="O4056" i="113"/>
  <c r="O4055" i="113"/>
  <c r="O4054" i="113"/>
  <c r="O4053" i="113"/>
  <c r="O4052" i="113"/>
  <c r="O4051" i="113"/>
  <c r="O4050" i="113"/>
  <c r="O4049" i="113"/>
  <c r="O4048" i="113"/>
  <c r="O4047" i="113"/>
  <c r="O4046" i="113"/>
  <c r="O4045" i="113"/>
  <c r="O4044" i="113"/>
  <c r="O4043" i="113"/>
  <c r="O4042" i="113"/>
  <c r="O4041" i="113"/>
  <c r="O4040" i="113"/>
  <c r="O4039" i="113"/>
  <c r="O4038" i="113"/>
  <c r="O4037" i="113"/>
  <c r="O4036" i="113"/>
  <c r="O4035" i="113"/>
  <c r="O4034" i="113"/>
  <c r="O4033" i="113"/>
  <c r="O4032" i="113"/>
  <c r="O4031" i="113"/>
  <c r="O4030" i="113"/>
  <c r="O4029" i="113"/>
  <c r="O4028" i="113"/>
  <c r="O4027" i="113"/>
  <c r="O4026" i="113"/>
  <c r="O4025" i="113"/>
  <c r="O4024" i="113"/>
  <c r="O4023" i="113"/>
  <c r="O4022" i="113"/>
  <c r="O4021" i="113"/>
  <c r="O4020" i="113"/>
  <c r="O4019" i="113"/>
  <c r="O4018" i="113"/>
  <c r="O4017" i="113"/>
  <c r="O4016" i="113"/>
  <c r="O4015" i="113"/>
  <c r="O4014" i="113"/>
  <c r="O4013" i="113"/>
  <c r="O4012" i="113"/>
  <c r="O4011" i="113"/>
  <c r="O4010" i="113"/>
  <c r="O4009" i="113"/>
  <c r="O4008" i="113"/>
  <c r="O4007" i="113"/>
  <c r="O4006" i="113"/>
  <c r="O4005" i="113"/>
  <c r="O4004" i="113"/>
  <c r="O4003" i="113"/>
  <c r="O4002" i="113"/>
  <c r="O4001" i="113"/>
  <c r="O4000" i="113"/>
  <c r="L41" i="113" l="1"/>
  <c r="O3999" i="113" l="1"/>
  <c r="O3998" i="113"/>
  <c r="O3997" i="113"/>
  <c r="O3996" i="113"/>
  <c r="O3995" i="113"/>
  <c r="O3994" i="113"/>
  <c r="O3993" i="113"/>
  <c r="O3992" i="113"/>
  <c r="O3991" i="113"/>
  <c r="O3990" i="113"/>
  <c r="O3989" i="113"/>
  <c r="O3988" i="113"/>
  <c r="O3987" i="113"/>
  <c r="O3986" i="113"/>
  <c r="O3985" i="113"/>
  <c r="O3984" i="113"/>
  <c r="O3983" i="113"/>
  <c r="O3982" i="113"/>
  <c r="O3981" i="113"/>
  <c r="O3980" i="113"/>
  <c r="O3979" i="113"/>
  <c r="O3978" i="113"/>
  <c r="O3977" i="113"/>
  <c r="O3976" i="113"/>
  <c r="O3975" i="113"/>
  <c r="O3974" i="113"/>
  <c r="O3973" i="113"/>
  <c r="O3972" i="113"/>
  <c r="O3971" i="113"/>
  <c r="O3970" i="113"/>
  <c r="O3969" i="113"/>
  <c r="O3968" i="113"/>
  <c r="O3967" i="113"/>
  <c r="O3966" i="113"/>
  <c r="O3965" i="113"/>
  <c r="O3964" i="113"/>
  <c r="O3963" i="113"/>
  <c r="O3962" i="113"/>
  <c r="O3961" i="113"/>
  <c r="O3960" i="113"/>
  <c r="O3959" i="113"/>
  <c r="O3958" i="113"/>
  <c r="O3957" i="113"/>
  <c r="O3956" i="113"/>
  <c r="O3955" i="113"/>
  <c r="O3954" i="113"/>
  <c r="O3953" i="113"/>
  <c r="O3952" i="113"/>
  <c r="O3951" i="113"/>
  <c r="O3950" i="113"/>
  <c r="O3949" i="113"/>
  <c r="O3948" i="113"/>
  <c r="O3947" i="113"/>
  <c r="O3946" i="113"/>
  <c r="O3945" i="113"/>
  <c r="O3944" i="113"/>
  <c r="O3943" i="113"/>
  <c r="O3942" i="113"/>
  <c r="O3941" i="113"/>
  <c r="O3940" i="113"/>
  <c r="O3939" i="113"/>
  <c r="O3938" i="113"/>
  <c r="O3937" i="113"/>
  <c r="O3936" i="113"/>
  <c r="O3935" i="113"/>
  <c r="O3934" i="113"/>
  <c r="O3933" i="113"/>
  <c r="O3932" i="113"/>
  <c r="O3931" i="113"/>
  <c r="O3930" i="113"/>
  <c r="O3929" i="113"/>
  <c r="O3928" i="113"/>
  <c r="O3927" i="113"/>
  <c r="O3926" i="113"/>
  <c r="O3925" i="113"/>
  <c r="O3924" i="113"/>
  <c r="O3923" i="113"/>
  <c r="O3922" i="113"/>
  <c r="O3921" i="113"/>
  <c r="O3920" i="113"/>
  <c r="O3919" i="113"/>
  <c r="O3918" i="113"/>
  <c r="O3917" i="113"/>
  <c r="O3916" i="113"/>
  <c r="O3915" i="113"/>
  <c r="O3914" i="113"/>
  <c r="O3913" i="113"/>
  <c r="O3912" i="113"/>
  <c r="O3911" i="113"/>
  <c r="O3910" i="113"/>
  <c r="O3909" i="113"/>
  <c r="O3908" i="113"/>
  <c r="O3907" i="113"/>
  <c r="O3906" i="113"/>
  <c r="O3905" i="113"/>
  <c r="O3904" i="113"/>
  <c r="O3903" i="113"/>
  <c r="O3902" i="113"/>
  <c r="O3901" i="113"/>
  <c r="O3900" i="113"/>
  <c r="O3899" i="113"/>
  <c r="O3898" i="113"/>
  <c r="O3897" i="113"/>
  <c r="O3896" i="113"/>
  <c r="O3895" i="113"/>
  <c r="O3894" i="113"/>
  <c r="O3893" i="113"/>
  <c r="O3892" i="113"/>
  <c r="O3891" i="113"/>
  <c r="O3890" i="113"/>
  <c r="O3889" i="113"/>
  <c r="O3888" i="113"/>
  <c r="O3887" i="113"/>
  <c r="O3886" i="113"/>
  <c r="O3885" i="113"/>
  <c r="O3884" i="113"/>
  <c r="O3883" i="113"/>
  <c r="O3882" i="113"/>
  <c r="O3881" i="113"/>
  <c r="O3880" i="113"/>
  <c r="O3879" i="113"/>
  <c r="O3878" i="113"/>
  <c r="O3877" i="113"/>
  <c r="O3876" i="113"/>
  <c r="O3875" i="113"/>
  <c r="O3874" i="113"/>
  <c r="O3873" i="113"/>
  <c r="O3872" i="113"/>
  <c r="O3871" i="113"/>
  <c r="O3870" i="113"/>
  <c r="O3869" i="113"/>
  <c r="O3868" i="113"/>
  <c r="O3867" i="113"/>
  <c r="O3866" i="113"/>
  <c r="O3865" i="113"/>
  <c r="O3864" i="113"/>
  <c r="O3863" i="113"/>
  <c r="O3862" i="113"/>
  <c r="O3861" i="113"/>
  <c r="O3860" i="113"/>
  <c r="O3859" i="113"/>
  <c r="O3858" i="113"/>
  <c r="O3857" i="113"/>
  <c r="O3856" i="113"/>
  <c r="O3855" i="113"/>
  <c r="O3854" i="113"/>
  <c r="O3853" i="113"/>
  <c r="O3852" i="113"/>
  <c r="O3851" i="113"/>
  <c r="O3850" i="113"/>
  <c r="O3849" i="113"/>
  <c r="O3848" i="113"/>
  <c r="O3847" i="113"/>
  <c r="O3846" i="113"/>
  <c r="O3845" i="113"/>
  <c r="O3844" i="113"/>
  <c r="O3843" i="113"/>
  <c r="O3842" i="113"/>
  <c r="O3841" i="113"/>
  <c r="O3840" i="113"/>
  <c r="O3839" i="113"/>
  <c r="O3838" i="113"/>
  <c r="O3837" i="113"/>
  <c r="O3836" i="113"/>
  <c r="O3835" i="113"/>
  <c r="O3834" i="113"/>
  <c r="O3833" i="113"/>
  <c r="O3832" i="113"/>
  <c r="O3831" i="113"/>
  <c r="O3830" i="113"/>
  <c r="O3829" i="113"/>
  <c r="O3828" i="113"/>
  <c r="O3827" i="113"/>
  <c r="O3826" i="113"/>
  <c r="O3825" i="113"/>
  <c r="O3824" i="113"/>
  <c r="O3823" i="113"/>
  <c r="O3822" i="113"/>
  <c r="O3821" i="113"/>
  <c r="O3820" i="113"/>
  <c r="O3819" i="113"/>
  <c r="O3818" i="113"/>
  <c r="O3817" i="113"/>
  <c r="O3816" i="113"/>
  <c r="O3815" i="113"/>
  <c r="O3814" i="113"/>
  <c r="O3813" i="113"/>
  <c r="O3812" i="113"/>
  <c r="O3811" i="113"/>
  <c r="O3810" i="113"/>
  <c r="O3809" i="113"/>
  <c r="O3808" i="113"/>
  <c r="O3807" i="113"/>
  <c r="O3806" i="113"/>
  <c r="O3805" i="113"/>
  <c r="O3804" i="113"/>
  <c r="O3803" i="113"/>
  <c r="O3802" i="113"/>
  <c r="O3801" i="113"/>
  <c r="O3800" i="113"/>
  <c r="O3799" i="113"/>
  <c r="O3798" i="113"/>
  <c r="O3797" i="113"/>
  <c r="O3796" i="113"/>
  <c r="O3795" i="113"/>
  <c r="O3794" i="113"/>
  <c r="O3793" i="113"/>
  <c r="O3792" i="113"/>
  <c r="O3791" i="113"/>
  <c r="O3790" i="113"/>
  <c r="O3789" i="113"/>
  <c r="O3788" i="113"/>
  <c r="O3787" i="113"/>
  <c r="O3786" i="113"/>
  <c r="O3785" i="113"/>
  <c r="O3784" i="113"/>
  <c r="O3783" i="113"/>
  <c r="O3782" i="113"/>
  <c r="O3781" i="113"/>
  <c r="O3780" i="113"/>
  <c r="O3779" i="113"/>
  <c r="O3778" i="113"/>
  <c r="O3777" i="113"/>
  <c r="O3776" i="113"/>
  <c r="O3775" i="113"/>
  <c r="O3774" i="113"/>
  <c r="O3773" i="113"/>
  <c r="O3772" i="113"/>
  <c r="O3771" i="113"/>
  <c r="O3770" i="113"/>
  <c r="O3769" i="113"/>
  <c r="O3768" i="113"/>
  <c r="O3767" i="113"/>
  <c r="O3766" i="113"/>
  <c r="O3765" i="113"/>
  <c r="O3764" i="113"/>
  <c r="O3763" i="113"/>
  <c r="O3762" i="113"/>
  <c r="O3761" i="113"/>
  <c r="O3760" i="113"/>
  <c r="O3759" i="113"/>
  <c r="O3758" i="113"/>
  <c r="O3757" i="113"/>
  <c r="O3756" i="113"/>
  <c r="O3755" i="113"/>
  <c r="O3754" i="113"/>
  <c r="O3753" i="113"/>
  <c r="O3752" i="113"/>
  <c r="O3751" i="113"/>
  <c r="O3750" i="113"/>
  <c r="O3749" i="113"/>
  <c r="O3748" i="113"/>
  <c r="O3747" i="113"/>
  <c r="O3746" i="113"/>
  <c r="O3745" i="113"/>
  <c r="O3744" i="113"/>
  <c r="O3743" i="113"/>
  <c r="O3742" i="113"/>
  <c r="O3741" i="113"/>
  <c r="O3740" i="113"/>
  <c r="O3739" i="113"/>
  <c r="O3738" i="113"/>
  <c r="O3737" i="113"/>
  <c r="O3736" i="113"/>
  <c r="O3735" i="113"/>
  <c r="O3734" i="113"/>
  <c r="O3733" i="113"/>
  <c r="O3732" i="113"/>
  <c r="O3731" i="113"/>
  <c r="O3730" i="113"/>
  <c r="O3729" i="113"/>
  <c r="O3728" i="113"/>
  <c r="O3727" i="113"/>
  <c r="O3726" i="113"/>
  <c r="O3725" i="113"/>
  <c r="O3724" i="113"/>
  <c r="O3723" i="113"/>
  <c r="O3722" i="113"/>
  <c r="O3721" i="113"/>
  <c r="O3720" i="113"/>
  <c r="O3719" i="113"/>
  <c r="O3718" i="113"/>
  <c r="O3717" i="113"/>
  <c r="O3716" i="113"/>
  <c r="O3715" i="113"/>
  <c r="O3714" i="113"/>
  <c r="O3713" i="113"/>
  <c r="O3712" i="113"/>
  <c r="O3711" i="113"/>
  <c r="O3710" i="113"/>
  <c r="O3709" i="113"/>
  <c r="O3708" i="113"/>
  <c r="O3707" i="113"/>
  <c r="O3706" i="113"/>
  <c r="O3705" i="113"/>
  <c r="O3704" i="113"/>
  <c r="O3703" i="113"/>
  <c r="O3702" i="113"/>
  <c r="O3701" i="113"/>
  <c r="O3700" i="113"/>
  <c r="O3699" i="113"/>
  <c r="O3698" i="113"/>
  <c r="O3697" i="113"/>
  <c r="O3696" i="113"/>
  <c r="O3695" i="113"/>
  <c r="O3694" i="113"/>
  <c r="O3693" i="113"/>
  <c r="O3692" i="113"/>
  <c r="O3691" i="113"/>
  <c r="O3690" i="113"/>
  <c r="O3689" i="113"/>
  <c r="O3688" i="113"/>
  <c r="O3687" i="113"/>
  <c r="O3686" i="113"/>
  <c r="O3685" i="113"/>
  <c r="O3684" i="113"/>
  <c r="O3683" i="113"/>
  <c r="O3682" i="113"/>
  <c r="O3681" i="113"/>
  <c r="O3680" i="113"/>
  <c r="O3679" i="113"/>
  <c r="O3678" i="113"/>
  <c r="O3677" i="113"/>
  <c r="O3676" i="113"/>
  <c r="O3675" i="113"/>
  <c r="O3674" i="113"/>
  <c r="O3673" i="113"/>
  <c r="O3672" i="113"/>
  <c r="O3671" i="113"/>
  <c r="O3670" i="113"/>
  <c r="O3669" i="113"/>
  <c r="O3668" i="113"/>
  <c r="O3667" i="113"/>
  <c r="O3666" i="113"/>
  <c r="O3665" i="113"/>
  <c r="O3664" i="113"/>
  <c r="O3663" i="113"/>
  <c r="O3662" i="113"/>
  <c r="O3661" i="113"/>
  <c r="O3660" i="113"/>
  <c r="O3659" i="113"/>
  <c r="O3658" i="113"/>
  <c r="O3657" i="113"/>
  <c r="O3656" i="113"/>
  <c r="O3655" i="113"/>
  <c r="O3654" i="113"/>
  <c r="O3653" i="113"/>
  <c r="O3652" i="113"/>
  <c r="O3651" i="113"/>
  <c r="O3650" i="113"/>
  <c r="O3649" i="113"/>
  <c r="O3648" i="113"/>
  <c r="O3647" i="113"/>
  <c r="O3646" i="113"/>
  <c r="O3645" i="113"/>
  <c r="O3644" i="113"/>
  <c r="O3643" i="113"/>
  <c r="O3642" i="113"/>
  <c r="O3641" i="113"/>
  <c r="O3640" i="113"/>
  <c r="O3639" i="113"/>
  <c r="O3638" i="113"/>
  <c r="O3637" i="113"/>
  <c r="O3636" i="113"/>
  <c r="O3635" i="113"/>
  <c r="O3634" i="113"/>
  <c r="O3633" i="113"/>
  <c r="O3632" i="113"/>
  <c r="O3631" i="113"/>
  <c r="O3630" i="113"/>
  <c r="O3629" i="113"/>
  <c r="O3628" i="113"/>
  <c r="O3627" i="113"/>
  <c r="O3626" i="113"/>
  <c r="O3625" i="113"/>
  <c r="O3624" i="113"/>
  <c r="O3623" i="113"/>
  <c r="O3622" i="113"/>
  <c r="O3621" i="113"/>
  <c r="O3620" i="113"/>
  <c r="O3619" i="113"/>
  <c r="O3618" i="113"/>
  <c r="O3617" i="113"/>
  <c r="O3616" i="113"/>
  <c r="O3615" i="113"/>
  <c r="O3614" i="113"/>
  <c r="O3613" i="113"/>
  <c r="O3612" i="113"/>
  <c r="O3611" i="113"/>
  <c r="O3610" i="113"/>
  <c r="O3609" i="113"/>
  <c r="O3608" i="113"/>
  <c r="O3607" i="113"/>
  <c r="O3606" i="113"/>
  <c r="O3605" i="113"/>
  <c r="O3604" i="113"/>
  <c r="O3603" i="113"/>
  <c r="O3602" i="113"/>
  <c r="O3601" i="113"/>
  <c r="O3600" i="113"/>
  <c r="O3599" i="113"/>
  <c r="O3598" i="113"/>
  <c r="O3597" i="113"/>
  <c r="O3596" i="113"/>
  <c r="O3595" i="113"/>
  <c r="O3594" i="113"/>
  <c r="O3593" i="113"/>
  <c r="O3592" i="113"/>
  <c r="O3591" i="113"/>
  <c r="O3590" i="113"/>
  <c r="O3589" i="113"/>
  <c r="O3588" i="113"/>
  <c r="O3587" i="113"/>
  <c r="O3586" i="113"/>
  <c r="O3585" i="113"/>
  <c r="O3584" i="113"/>
  <c r="O3583" i="113"/>
  <c r="O3582" i="113"/>
  <c r="O3581" i="113"/>
  <c r="O3580" i="113"/>
  <c r="O3579" i="113"/>
  <c r="O3578" i="113"/>
  <c r="O3577" i="113"/>
  <c r="O3576" i="113"/>
  <c r="O3575" i="113"/>
  <c r="O3574" i="113"/>
  <c r="O3573" i="113"/>
  <c r="O3572" i="113"/>
  <c r="O3571" i="113"/>
  <c r="O3570" i="113"/>
  <c r="O3569" i="113"/>
  <c r="O3568" i="113"/>
  <c r="O3567" i="113"/>
  <c r="O3566" i="113"/>
  <c r="O3565" i="113"/>
  <c r="O3564" i="113"/>
  <c r="O3563" i="113"/>
  <c r="O3562" i="113"/>
  <c r="O3561" i="113"/>
  <c r="O3560" i="113"/>
  <c r="O3559" i="113"/>
  <c r="O3558" i="113"/>
  <c r="O3557" i="113"/>
  <c r="O3556" i="113"/>
  <c r="O3555" i="113"/>
  <c r="O3554" i="113"/>
  <c r="O3553" i="113"/>
  <c r="O3552" i="113"/>
  <c r="O3551" i="113"/>
  <c r="O3550" i="113"/>
  <c r="O3549" i="113"/>
  <c r="O3548" i="113"/>
  <c r="O3547" i="113"/>
  <c r="O3546" i="113"/>
  <c r="O3545" i="113"/>
  <c r="O3544" i="113"/>
  <c r="O3543" i="113"/>
  <c r="O3542" i="113"/>
  <c r="O3541" i="113"/>
  <c r="O3540" i="113"/>
  <c r="O3539" i="113"/>
  <c r="O3538" i="113"/>
  <c r="O3537" i="113"/>
  <c r="O3536" i="113"/>
  <c r="O3535" i="113"/>
  <c r="O3534" i="113"/>
  <c r="O3533" i="113"/>
  <c r="O3532" i="113"/>
  <c r="O3531" i="113"/>
  <c r="O3530" i="113"/>
  <c r="O3529" i="113"/>
  <c r="O3528" i="113"/>
  <c r="O3527" i="113"/>
  <c r="O3526" i="113"/>
  <c r="O3525" i="113"/>
  <c r="O3524" i="113"/>
  <c r="O3523" i="113"/>
  <c r="O3522" i="113"/>
  <c r="O3521" i="113"/>
  <c r="O3520" i="113"/>
  <c r="O3519" i="113"/>
  <c r="O3518" i="113"/>
  <c r="O3517" i="113"/>
  <c r="O3516" i="113"/>
  <c r="O3515" i="113"/>
  <c r="O3514" i="113"/>
  <c r="O3513" i="113"/>
  <c r="O3512" i="113"/>
  <c r="O3511" i="113"/>
  <c r="O3510" i="113"/>
  <c r="O3509" i="113"/>
  <c r="O3508" i="113"/>
  <c r="O3507" i="113"/>
  <c r="O3506" i="113"/>
  <c r="O3505" i="113"/>
  <c r="O3504" i="113"/>
  <c r="O3503" i="113"/>
  <c r="O3502" i="113"/>
  <c r="O3501" i="113"/>
  <c r="O3500" i="113"/>
  <c r="O3499" i="113"/>
  <c r="O3498" i="113"/>
  <c r="O3497" i="113"/>
  <c r="O3496" i="113"/>
  <c r="O3495" i="113"/>
  <c r="O3494" i="113"/>
  <c r="O3493" i="113"/>
  <c r="O3492" i="113"/>
  <c r="O3491" i="113"/>
  <c r="O3490" i="113"/>
  <c r="O3489" i="113"/>
  <c r="O3488" i="113"/>
  <c r="O3487" i="113"/>
  <c r="O3486" i="113"/>
  <c r="O3485" i="113"/>
  <c r="O3484" i="113"/>
  <c r="O3483" i="113"/>
  <c r="O3482" i="113"/>
  <c r="O3481" i="113"/>
  <c r="O3480" i="113"/>
  <c r="O3479" i="113"/>
  <c r="O3478" i="113"/>
  <c r="O3477" i="113"/>
  <c r="O3476" i="113"/>
  <c r="O3475" i="113"/>
  <c r="O3474" i="113"/>
  <c r="O3473" i="113"/>
  <c r="O3472" i="113"/>
  <c r="O3471" i="113"/>
  <c r="O3470" i="113"/>
  <c r="O3469" i="113"/>
  <c r="O3468" i="113"/>
  <c r="O3467" i="113"/>
  <c r="O3466" i="113"/>
  <c r="O3465" i="113"/>
  <c r="O3464" i="113"/>
  <c r="O3463" i="113"/>
  <c r="O3462" i="113"/>
  <c r="O3461" i="113"/>
  <c r="O3460" i="113"/>
  <c r="O3459" i="113"/>
  <c r="O3458" i="113"/>
  <c r="O3457" i="113"/>
  <c r="O3456" i="113"/>
  <c r="O3455" i="113"/>
  <c r="O3454" i="113"/>
  <c r="O3453" i="113"/>
  <c r="O3452" i="113"/>
  <c r="O3451" i="113"/>
  <c r="O3450" i="113"/>
  <c r="O3449" i="113"/>
  <c r="O3448" i="113"/>
  <c r="O3447" i="113"/>
  <c r="O3446" i="113"/>
  <c r="O3445" i="113"/>
  <c r="O3444" i="113"/>
  <c r="O3443" i="113"/>
  <c r="O3442" i="113"/>
  <c r="O3441" i="113"/>
  <c r="O3440" i="113"/>
  <c r="O3439" i="113"/>
  <c r="O3438" i="113"/>
  <c r="O3437" i="113"/>
  <c r="O3436" i="113"/>
  <c r="O3435" i="113"/>
  <c r="O3434" i="113"/>
  <c r="O3433" i="113"/>
  <c r="O3432" i="113"/>
  <c r="O3431" i="113"/>
  <c r="O3430" i="113"/>
  <c r="O3429" i="113"/>
  <c r="O3428" i="113"/>
  <c r="O3427" i="113"/>
  <c r="O3426" i="113"/>
  <c r="O3425" i="113"/>
  <c r="O3424" i="113"/>
  <c r="O3423" i="113"/>
  <c r="O3422" i="113"/>
  <c r="O3421" i="113"/>
  <c r="O3420" i="113"/>
  <c r="O3419" i="113"/>
  <c r="O3418" i="113"/>
  <c r="O3417" i="113"/>
  <c r="O3416" i="113"/>
  <c r="O3415" i="113"/>
  <c r="O3414" i="113"/>
  <c r="O3413" i="113"/>
  <c r="O3412" i="113"/>
  <c r="O3411" i="113"/>
  <c r="O3410" i="113"/>
  <c r="O3409" i="113"/>
  <c r="O3408" i="113"/>
  <c r="O3407" i="113"/>
  <c r="O3406" i="113"/>
  <c r="O3405" i="113"/>
  <c r="O3404" i="113"/>
  <c r="O3403" i="113"/>
  <c r="O3402" i="113"/>
  <c r="O3401" i="113"/>
  <c r="O3400" i="113"/>
  <c r="O3399" i="113"/>
  <c r="O3398" i="113"/>
  <c r="O3397" i="113"/>
  <c r="O3396" i="113"/>
  <c r="O3395" i="113"/>
  <c r="O3394" i="113"/>
  <c r="O3393" i="113"/>
  <c r="O3392" i="113"/>
  <c r="O3391" i="113"/>
  <c r="O3390" i="113"/>
  <c r="O3389" i="113"/>
  <c r="O3388" i="113"/>
  <c r="O3387" i="113"/>
  <c r="O3386" i="113"/>
  <c r="O3385" i="113"/>
  <c r="O3384" i="113"/>
  <c r="O3383" i="113"/>
  <c r="O3382" i="113"/>
  <c r="O3381" i="113"/>
  <c r="O3380" i="113"/>
  <c r="O3379" i="113"/>
  <c r="O3378" i="113"/>
  <c r="O3377" i="113"/>
  <c r="O3376" i="113"/>
  <c r="O3375" i="113"/>
  <c r="O3374" i="113"/>
  <c r="O3373" i="113"/>
  <c r="O3372" i="113"/>
  <c r="O3371" i="113"/>
  <c r="O3370" i="113"/>
  <c r="O3369" i="113"/>
  <c r="O3368" i="113"/>
  <c r="O3367" i="113"/>
  <c r="O3366" i="113"/>
  <c r="O3365" i="113"/>
  <c r="O3364" i="113"/>
  <c r="O3363" i="113"/>
  <c r="O3362" i="113"/>
  <c r="O3361" i="113"/>
  <c r="O3360" i="113"/>
  <c r="O3359" i="113"/>
  <c r="O3358" i="113"/>
  <c r="O3357" i="113"/>
  <c r="O3356" i="113"/>
  <c r="O3355" i="113"/>
  <c r="O3354" i="113"/>
  <c r="O3353" i="113"/>
  <c r="O3352" i="113"/>
  <c r="O3351" i="113"/>
  <c r="O3350" i="113"/>
  <c r="O3349" i="113"/>
  <c r="O3348" i="113"/>
  <c r="O3347" i="113"/>
  <c r="O3346" i="113"/>
  <c r="O3345" i="113"/>
  <c r="O3344" i="113"/>
  <c r="O3343" i="113"/>
  <c r="O3342" i="113"/>
  <c r="O3341" i="113"/>
  <c r="O3340" i="113"/>
  <c r="O3339" i="113"/>
  <c r="O3338" i="113"/>
  <c r="O3337" i="113"/>
  <c r="O3336" i="113"/>
  <c r="O3335" i="113"/>
  <c r="O3334" i="113"/>
  <c r="O3333" i="113"/>
  <c r="O3332" i="113"/>
  <c r="O3331" i="113"/>
  <c r="O3330" i="113"/>
  <c r="O3329" i="113"/>
  <c r="O3328" i="113"/>
  <c r="O3327" i="113"/>
  <c r="O3326" i="113"/>
  <c r="O3325" i="113"/>
  <c r="O3324" i="113"/>
  <c r="O3323" i="113"/>
  <c r="O3322" i="113"/>
  <c r="O3321" i="113"/>
  <c r="O3320" i="113"/>
  <c r="O3319" i="113"/>
  <c r="O3318" i="113"/>
  <c r="O3317" i="113"/>
  <c r="O3316" i="113"/>
  <c r="O3315" i="113"/>
  <c r="O3314" i="113"/>
  <c r="O3313" i="113"/>
  <c r="O3312" i="113"/>
  <c r="O3311" i="113"/>
  <c r="O3310" i="113"/>
  <c r="O3309" i="113"/>
  <c r="O3308" i="113"/>
  <c r="O3307" i="113"/>
  <c r="O3306" i="113"/>
  <c r="O3305" i="113"/>
  <c r="O3304" i="113"/>
  <c r="O3303" i="113"/>
  <c r="O3302" i="113"/>
  <c r="O3301" i="113"/>
  <c r="O3300" i="113"/>
  <c r="O3299" i="113"/>
  <c r="O3298" i="113"/>
  <c r="O3297" i="113"/>
  <c r="O3296" i="113"/>
  <c r="O3295" i="113"/>
  <c r="O3294" i="113"/>
  <c r="O3293" i="113"/>
  <c r="O3292" i="113"/>
  <c r="O3291" i="113"/>
  <c r="O3290" i="113"/>
  <c r="O3289" i="113"/>
  <c r="O3288" i="113"/>
  <c r="O3287" i="113"/>
  <c r="O3286" i="113"/>
  <c r="O3285" i="113"/>
  <c r="O3284" i="113"/>
  <c r="O3283" i="113"/>
  <c r="O3282" i="113"/>
  <c r="O3281" i="113"/>
  <c r="O3280" i="113"/>
  <c r="O3279" i="113"/>
  <c r="O3278" i="113"/>
  <c r="O3277" i="113"/>
  <c r="O3276" i="113"/>
  <c r="O3275" i="113"/>
  <c r="O3274" i="113"/>
  <c r="O3273" i="113"/>
  <c r="O3272" i="113"/>
  <c r="O3271" i="113"/>
  <c r="O3270" i="113"/>
  <c r="O3269" i="113"/>
  <c r="O3268" i="113"/>
  <c r="O3267" i="113"/>
  <c r="O3266" i="113"/>
  <c r="O3265" i="113"/>
  <c r="O3264" i="113"/>
  <c r="O3263" i="113"/>
  <c r="O3262" i="113"/>
  <c r="O3261" i="113"/>
  <c r="O3260" i="113"/>
  <c r="O3259" i="113"/>
  <c r="O3258" i="113"/>
  <c r="O3257" i="113"/>
  <c r="O3256" i="113"/>
  <c r="O3255" i="113"/>
  <c r="O3254" i="113"/>
  <c r="O3253" i="113"/>
  <c r="O3252" i="113"/>
  <c r="O3251" i="113"/>
  <c r="O3250" i="113"/>
  <c r="O3249" i="113"/>
  <c r="O3248" i="113"/>
  <c r="O3247" i="113"/>
  <c r="O3246" i="113"/>
  <c r="O3245" i="113"/>
  <c r="O3244" i="113"/>
  <c r="O3243" i="113"/>
  <c r="O3242" i="113"/>
  <c r="O3241" i="113"/>
  <c r="O3240" i="113"/>
  <c r="O3239" i="113"/>
  <c r="O3238" i="113"/>
  <c r="O3237" i="113"/>
  <c r="O3236" i="113"/>
  <c r="O3235" i="113"/>
  <c r="O3234" i="113"/>
  <c r="O3233" i="113"/>
  <c r="O3232" i="113"/>
  <c r="O3231" i="113"/>
  <c r="O3230" i="113"/>
  <c r="O3229" i="113"/>
  <c r="O3228" i="113"/>
  <c r="O3227" i="113"/>
  <c r="O3226" i="113"/>
  <c r="O3225" i="113"/>
  <c r="O3224" i="113"/>
  <c r="O3223" i="113"/>
  <c r="O3222" i="113"/>
  <c r="O3221" i="113"/>
  <c r="O3220" i="113"/>
  <c r="O3219" i="113"/>
  <c r="O3218" i="113"/>
  <c r="O3217" i="113"/>
  <c r="O3216" i="113"/>
  <c r="O3215" i="113"/>
  <c r="O3214" i="113"/>
  <c r="O3213" i="113"/>
  <c r="O3212" i="113"/>
  <c r="O3211" i="113"/>
  <c r="O3210" i="113"/>
  <c r="O3209" i="113"/>
  <c r="O3208" i="113"/>
  <c r="O3207" i="113"/>
  <c r="O3206" i="113"/>
  <c r="O3205" i="113"/>
  <c r="O3204" i="113"/>
  <c r="O3203" i="113"/>
  <c r="O3202" i="113"/>
  <c r="O3201" i="113"/>
  <c r="O3200" i="113"/>
  <c r="O3199" i="113"/>
  <c r="O3198" i="113"/>
  <c r="O3197" i="113"/>
  <c r="O3196" i="113"/>
  <c r="O3195" i="113"/>
  <c r="O3194" i="113"/>
  <c r="O3193" i="113"/>
  <c r="O3192" i="113"/>
  <c r="O3191" i="113"/>
  <c r="O3190" i="113"/>
  <c r="O3189" i="113"/>
  <c r="O3188" i="113"/>
  <c r="O3187" i="113"/>
  <c r="O3186" i="113"/>
  <c r="O3185" i="113"/>
  <c r="O3184" i="113"/>
  <c r="O3183" i="113"/>
  <c r="O3182" i="113"/>
  <c r="O3181" i="113"/>
  <c r="O3180" i="113"/>
  <c r="O3179" i="113"/>
  <c r="O3178" i="113"/>
  <c r="O3177" i="113"/>
  <c r="O3176" i="113"/>
  <c r="O3175" i="113"/>
  <c r="O3174" i="113"/>
  <c r="O3173" i="113"/>
  <c r="O3172" i="113"/>
  <c r="O3171" i="113"/>
  <c r="O3170" i="113"/>
  <c r="O3169" i="113"/>
  <c r="O3168" i="113"/>
  <c r="O3167" i="113"/>
  <c r="O3166" i="113"/>
  <c r="O3165" i="113"/>
  <c r="O3164" i="113"/>
  <c r="O3163" i="113"/>
  <c r="O3162" i="113"/>
  <c r="O3161" i="113"/>
  <c r="O3160" i="113"/>
  <c r="O3159" i="113"/>
  <c r="O3158" i="113"/>
  <c r="O3157" i="113"/>
  <c r="O3156" i="113"/>
  <c r="O3155" i="113"/>
  <c r="O3154" i="113"/>
  <c r="O3153" i="113"/>
  <c r="O3152" i="113"/>
  <c r="O3151" i="113"/>
  <c r="O3150" i="113"/>
  <c r="O3149" i="113"/>
  <c r="O3148" i="113"/>
  <c r="O3147" i="113"/>
  <c r="O3146" i="113"/>
  <c r="O3145" i="113"/>
  <c r="O3144" i="113"/>
  <c r="O3143" i="113"/>
  <c r="O3142" i="113"/>
  <c r="O3141" i="113"/>
  <c r="O3140" i="113"/>
  <c r="O3139" i="113"/>
  <c r="O3138" i="113"/>
  <c r="O3137" i="113"/>
  <c r="O3136" i="113"/>
  <c r="O3135" i="113"/>
  <c r="O3134" i="113"/>
  <c r="O3133" i="113"/>
  <c r="O3132" i="113"/>
  <c r="O3131" i="113"/>
  <c r="O3130" i="113"/>
  <c r="O3129" i="113"/>
  <c r="O3128" i="113"/>
  <c r="O3127" i="113"/>
  <c r="O3126" i="113"/>
  <c r="O3125" i="113"/>
  <c r="O3124" i="113"/>
  <c r="O3123" i="113"/>
  <c r="O3122" i="113"/>
  <c r="O3121" i="113"/>
  <c r="O3120" i="113"/>
  <c r="O3119" i="113"/>
  <c r="O3118" i="113"/>
  <c r="O3117" i="113"/>
  <c r="O3116" i="113"/>
  <c r="O3115" i="113"/>
  <c r="O3114" i="113"/>
  <c r="O3113" i="113"/>
  <c r="O3112" i="113"/>
  <c r="O3111" i="113"/>
  <c r="O3110" i="113"/>
  <c r="O3109" i="113"/>
  <c r="O3108" i="113"/>
  <c r="O3107" i="113"/>
  <c r="O3106" i="113"/>
  <c r="O3105" i="113"/>
  <c r="O3104" i="113"/>
  <c r="O3103" i="113"/>
  <c r="O3102" i="113"/>
  <c r="O3101" i="113"/>
  <c r="O3100" i="113"/>
  <c r="O3099" i="113"/>
  <c r="O3098" i="113"/>
  <c r="O3097" i="113"/>
  <c r="O3096" i="113"/>
  <c r="O3095" i="113"/>
  <c r="O3094" i="113"/>
  <c r="O3093" i="113"/>
  <c r="O3092" i="113"/>
  <c r="O3091" i="113"/>
  <c r="O3090" i="113"/>
  <c r="O3089" i="113"/>
  <c r="O3088" i="113"/>
  <c r="O3087" i="113"/>
  <c r="O3086" i="113"/>
  <c r="O3085" i="113"/>
  <c r="O3084" i="113"/>
  <c r="O3083" i="113"/>
  <c r="O3082" i="113"/>
  <c r="O3081" i="113"/>
  <c r="O3080" i="113"/>
  <c r="O3079" i="113"/>
  <c r="O3078" i="113"/>
  <c r="O3077" i="113"/>
  <c r="O3076" i="113"/>
  <c r="O3075" i="113"/>
  <c r="O3074" i="113"/>
  <c r="O3073" i="113"/>
  <c r="O3072" i="113"/>
  <c r="O3071" i="113"/>
  <c r="O3070" i="113"/>
  <c r="O3069" i="113"/>
  <c r="O3068" i="113"/>
  <c r="O3067" i="113"/>
  <c r="O3066" i="113"/>
  <c r="O3065" i="113"/>
  <c r="O3064" i="113"/>
  <c r="O3063" i="113"/>
  <c r="O3062" i="113"/>
  <c r="O3061" i="113"/>
  <c r="O3060" i="113"/>
  <c r="O3059" i="113"/>
  <c r="O3058" i="113"/>
  <c r="O3057" i="113"/>
  <c r="O3056" i="113"/>
  <c r="O3055" i="113"/>
  <c r="O3054" i="113"/>
  <c r="O3053" i="113"/>
  <c r="O3052" i="113"/>
  <c r="O3051" i="113"/>
  <c r="O3050" i="113"/>
  <c r="O3049" i="113"/>
  <c r="O3048" i="113"/>
  <c r="O3047" i="113"/>
  <c r="O3046" i="113"/>
  <c r="O3045" i="113"/>
  <c r="O3044" i="113"/>
  <c r="O3043" i="113"/>
  <c r="O3042" i="113"/>
  <c r="O3041" i="113"/>
  <c r="O3040" i="113"/>
  <c r="O3039" i="113"/>
  <c r="O3038" i="113"/>
  <c r="O3037" i="113"/>
  <c r="O3036" i="113"/>
  <c r="O3035" i="113"/>
  <c r="O3034" i="113"/>
  <c r="O3033" i="113"/>
  <c r="O3032" i="113"/>
  <c r="O3031" i="113"/>
  <c r="O3030" i="113"/>
  <c r="O3029" i="113"/>
  <c r="O3028" i="113"/>
  <c r="O3027" i="113"/>
  <c r="O3026" i="113"/>
  <c r="O3025" i="113"/>
  <c r="O3024" i="113"/>
  <c r="O3023" i="113"/>
  <c r="O3022" i="113"/>
  <c r="O3021" i="113"/>
  <c r="O3020" i="113"/>
  <c r="O3019" i="113"/>
  <c r="O3018" i="113"/>
  <c r="O3017" i="113"/>
  <c r="O3016" i="113"/>
  <c r="O3015" i="113"/>
  <c r="O3014" i="113"/>
  <c r="O3013" i="113"/>
  <c r="O3012" i="113"/>
  <c r="O3011" i="113"/>
  <c r="O3010" i="113"/>
  <c r="O3009" i="113"/>
  <c r="O3008" i="113"/>
  <c r="O3007" i="113"/>
  <c r="O3006" i="113"/>
  <c r="O3005" i="113"/>
  <c r="O3004" i="113"/>
  <c r="O3003" i="113"/>
  <c r="O3002" i="113"/>
  <c r="O3001" i="113"/>
  <c r="O3000" i="113"/>
  <c r="O2999" i="113"/>
  <c r="O2998" i="113"/>
  <c r="O2997" i="113"/>
  <c r="O2996" i="113"/>
  <c r="O2995" i="113"/>
  <c r="O2994" i="113"/>
  <c r="O2993" i="113"/>
  <c r="O2992" i="113"/>
  <c r="O2991" i="113"/>
  <c r="O2990" i="113"/>
  <c r="O2989" i="113"/>
  <c r="O2988" i="113"/>
  <c r="O2987" i="113"/>
  <c r="O2986" i="113"/>
  <c r="O2985" i="113"/>
  <c r="O2984" i="113"/>
  <c r="O2983" i="113"/>
  <c r="O2982" i="113"/>
  <c r="O2981" i="113"/>
  <c r="O2980" i="113"/>
  <c r="O2979" i="113"/>
  <c r="O2978" i="113"/>
  <c r="O2977" i="113"/>
  <c r="O2976" i="113"/>
  <c r="O2975" i="113"/>
  <c r="O2974" i="113"/>
  <c r="O2973" i="113"/>
  <c r="O2972" i="113"/>
  <c r="O2971" i="113"/>
  <c r="O2970" i="113"/>
  <c r="O2969" i="113"/>
  <c r="O2968" i="113"/>
  <c r="O2967" i="113"/>
  <c r="O2966" i="113"/>
  <c r="O2965" i="113"/>
  <c r="O2964" i="113"/>
  <c r="O2963" i="113"/>
  <c r="O2962" i="113"/>
  <c r="O2961" i="113"/>
  <c r="O2960" i="113"/>
  <c r="O2959" i="113"/>
  <c r="O2958" i="113"/>
  <c r="O2957" i="113"/>
  <c r="O2956" i="113"/>
  <c r="O2955" i="113"/>
  <c r="O2954" i="113"/>
  <c r="O2953" i="113"/>
  <c r="O2952" i="113"/>
  <c r="O2951" i="113"/>
  <c r="O2950" i="113"/>
  <c r="O2949" i="113"/>
  <c r="O2948" i="113"/>
  <c r="O2947" i="113"/>
  <c r="O2946" i="113"/>
  <c r="O2945" i="113"/>
  <c r="O2944" i="113"/>
  <c r="O2943" i="113"/>
  <c r="O2942" i="113"/>
  <c r="O2941" i="113"/>
  <c r="O2940" i="113"/>
  <c r="O2939" i="113"/>
  <c r="O2938" i="113"/>
  <c r="O2937" i="113"/>
  <c r="O2936" i="113"/>
  <c r="O2935" i="113"/>
  <c r="O2934" i="113"/>
  <c r="O2933" i="113"/>
  <c r="O2932" i="113"/>
  <c r="O2931" i="113"/>
  <c r="O2930" i="113"/>
  <c r="O2929" i="113"/>
  <c r="O2928" i="113"/>
  <c r="O2927" i="113"/>
  <c r="O2926" i="113"/>
  <c r="O2925" i="113"/>
  <c r="O2924" i="113"/>
  <c r="O2923" i="113"/>
  <c r="O2922" i="113"/>
  <c r="O2921" i="113"/>
  <c r="O2920" i="113"/>
  <c r="O2919" i="113"/>
  <c r="O2918" i="113"/>
  <c r="O2917" i="113"/>
  <c r="O2916" i="113"/>
  <c r="O2915" i="113"/>
  <c r="O2914" i="113"/>
  <c r="O2913" i="113"/>
  <c r="O2912" i="113"/>
  <c r="O2911" i="113"/>
  <c r="O2910" i="113"/>
  <c r="O2909" i="113"/>
  <c r="O2908" i="113"/>
  <c r="O2907" i="113"/>
  <c r="O2906" i="113"/>
  <c r="O2905" i="113"/>
  <c r="O2904" i="113"/>
  <c r="O2903" i="113"/>
  <c r="O2902" i="113"/>
  <c r="O2901" i="113"/>
  <c r="O2900" i="113"/>
  <c r="O2899" i="113"/>
  <c r="O2898" i="113"/>
  <c r="O2897" i="113"/>
  <c r="O2896" i="113"/>
  <c r="O2895" i="113"/>
  <c r="O2894" i="113"/>
  <c r="O2893" i="113"/>
  <c r="O2892" i="113"/>
  <c r="O2891" i="113"/>
  <c r="O2890" i="113"/>
  <c r="O2889" i="113"/>
  <c r="O2888" i="113"/>
  <c r="O2887" i="113"/>
  <c r="O2886" i="113"/>
  <c r="O2885" i="113"/>
  <c r="O2884" i="113"/>
  <c r="O2883" i="113"/>
  <c r="O2882" i="113"/>
  <c r="O2881" i="113"/>
  <c r="O2880" i="113"/>
  <c r="O2879" i="113"/>
  <c r="O2878" i="113"/>
  <c r="O2877" i="113"/>
  <c r="O2876" i="113"/>
  <c r="O2875" i="113"/>
  <c r="O2874" i="113"/>
  <c r="O2873" i="113"/>
  <c r="O2872" i="113"/>
  <c r="O2871" i="113"/>
  <c r="O2870" i="113"/>
  <c r="O2869" i="113"/>
  <c r="O2868" i="113"/>
  <c r="O2867" i="113"/>
  <c r="O2866" i="113"/>
  <c r="O2865" i="113"/>
  <c r="O2864" i="113"/>
  <c r="O2863" i="113"/>
  <c r="O2862" i="113"/>
  <c r="O2861" i="113"/>
  <c r="O2860" i="113"/>
  <c r="O2859" i="113"/>
  <c r="O2858" i="113"/>
  <c r="O2857" i="113"/>
  <c r="O2856" i="113"/>
  <c r="O2855" i="113"/>
  <c r="O2854" i="113"/>
  <c r="O2853" i="113"/>
  <c r="O2852" i="113"/>
  <c r="O2851" i="113"/>
  <c r="O2850" i="113"/>
  <c r="O2849" i="113"/>
  <c r="O2848" i="113"/>
  <c r="O2847" i="113"/>
  <c r="O2846" i="113"/>
  <c r="O2845" i="113"/>
  <c r="O2844" i="113"/>
  <c r="O2843" i="113"/>
  <c r="O2842" i="113"/>
  <c r="O2841" i="113"/>
  <c r="O2840" i="113"/>
  <c r="O2839" i="113"/>
  <c r="O2838" i="113"/>
  <c r="O2837" i="113"/>
  <c r="O2836" i="113"/>
  <c r="O2835" i="113"/>
  <c r="O2834" i="113"/>
  <c r="O2833" i="113"/>
  <c r="O2832" i="113"/>
  <c r="O2831" i="113"/>
  <c r="O2830" i="113"/>
  <c r="O2829" i="113"/>
  <c r="O2828" i="113"/>
  <c r="O2827" i="113"/>
  <c r="O2826" i="113"/>
  <c r="O2825" i="113"/>
  <c r="O2824" i="113"/>
  <c r="O2823" i="113"/>
  <c r="O2822" i="113"/>
  <c r="O2821" i="113"/>
  <c r="O2820" i="113"/>
  <c r="O2819" i="113"/>
  <c r="O2818" i="113"/>
  <c r="O2817" i="113"/>
  <c r="O2816" i="113"/>
  <c r="O2815" i="113"/>
  <c r="O2814" i="113"/>
  <c r="O2813" i="113"/>
  <c r="O2812" i="113"/>
  <c r="O2811" i="113"/>
  <c r="O2810" i="113"/>
  <c r="O2809" i="113"/>
  <c r="O2808" i="113"/>
  <c r="O2807" i="113"/>
  <c r="O2806" i="113"/>
  <c r="O2805" i="113"/>
  <c r="O2804" i="113"/>
  <c r="O2803" i="113"/>
  <c r="O2802" i="113"/>
  <c r="O2801" i="113"/>
  <c r="O2800" i="113"/>
  <c r="O2799" i="113"/>
  <c r="O2798" i="113"/>
  <c r="O2797" i="113"/>
  <c r="O2796" i="113"/>
  <c r="O2795" i="113"/>
  <c r="O2794" i="113"/>
  <c r="O2793" i="113"/>
  <c r="O2792" i="113"/>
  <c r="O2791" i="113"/>
  <c r="O2790" i="113"/>
  <c r="O2789" i="113"/>
  <c r="O2788" i="113"/>
  <c r="O2787" i="113"/>
  <c r="O2786" i="113"/>
  <c r="O2785" i="113"/>
  <c r="O2784" i="113"/>
  <c r="O2783" i="113"/>
  <c r="O2782" i="113"/>
  <c r="O2781" i="113"/>
  <c r="O2780" i="113"/>
  <c r="O2779" i="113"/>
  <c r="O2778" i="113"/>
  <c r="O2777" i="113"/>
  <c r="O2776" i="113"/>
  <c r="O2775" i="113"/>
  <c r="O2774" i="113"/>
  <c r="O2773" i="113"/>
  <c r="O2772" i="113"/>
  <c r="O2771" i="113"/>
  <c r="O2770" i="113"/>
  <c r="O2769" i="113"/>
  <c r="O2768" i="113"/>
  <c r="O2767" i="113"/>
  <c r="O2766" i="113"/>
  <c r="O2765" i="113"/>
  <c r="O2764" i="113"/>
  <c r="O2763" i="113"/>
  <c r="O2762" i="113"/>
  <c r="O2761" i="113"/>
  <c r="O2760" i="113"/>
  <c r="O2759" i="113"/>
  <c r="O2758" i="113"/>
  <c r="O2757" i="113"/>
  <c r="O2756" i="113"/>
  <c r="O2755" i="113"/>
  <c r="O2754" i="113"/>
  <c r="O2753" i="113"/>
  <c r="O2752" i="113"/>
  <c r="O2751" i="113"/>
  <c r="O2750" i="113"/>
  <c r="O2749" i="113"/>
  <c r="O2748" i="113"/>
  <c r="O2747" i="113"/>
  <c r="O2746" i="113"/>
  <c r="O2745" i="113"/>
  <c r="O2744" i="113"/>
  <c r="O2743" i="113"/>
  <c r="O2742" i="113"/>
  <c r="O2741" i="113"/>
  <c r="O2740" i="113"/>
  <c r="O2739" i="113"/>
  <c r="O2738" i="113"/>
  <c r="O2737" i="113"/>
  <c r="O2736" i="113"/>
  <c r="O2735" i="113"/>
  <c r="O2734" i="113"/>
  <c r="O2733" i="113"/>
  <c r="O2732" i="113"/>
  <c r="O2731" i="113"/>
  <c r="O2730" i="113"/>
  <c r="O2729" i="113"/>
  <c r="O2728" i="113"/>
  <c r="O2727" i="113"/>
  <c r="O2726" i="113"/>
  <c r="O2725" i="113"/>
  <c r="O2724" i="113"/>
  <c r="O2723" i="113"/>
  <c r="O2722" i="113"/>
  <c r="O2721" i="113"/>
  <c r="O2720" i="113"/>
  <c r="O2719" i="113"/>
  <c r="O2718" i="113"/>
  <c r="O2717" i="113"/>
  <c r="O2716" i="113"/>
  <c r="O2715" i="113"/>
  <c r="O2714" i="113"/>
  <c r="O2713" i="113"/>
  <c r="O2712" i="113"/>
  <c r="O2711" i="113"/>
  <c r="O2710" i="113"/>
  <c r="O2709" i="113"/>
  <c r="O2708" i="113"/>
  <c r="O2707" i="113"/>
  <c r="O2706" i="113"/>
  <c r="O2705" i="113"/>
  <c r="O2704" i="113"/>
  <c r="O2703" i="113"/>
  <c r="O2702" i="113"/>
  <c r="O2701" i="113"/>
  <c r="O2700" i="113"/>
  <c r="O2699" i="113"/>
  <c r="O2698" i="113"/>
  <c r="O2697" i="113"/>
  <c r="O2696" i="113"/>
  <c r="O2695" i="113"/>
  <c r="O2694" i="113"/>
  <c r="O2693" i="113"/>
  <c r="O2692" i="113"/>
  <c r="O2691" i="113"/>
  <c r="O2690" i="113"/>
  <c r="O2689" i="113"/>
  <c r="O2688" i="113"/>
  <c r="O2687" i="113"/>
  <c r="O2686" i="113"/>
  <c r="O2685" i="113"/>
  <c r="O2684" i="113"/>
  <c r="O2683" i="113"/>
  <c r="O2682" i="113"/>
  <c r="O2681" i="113"/>
  <c r="O2680" i="113"/>
  <c r="O2679" i="113"/>
  <c r="O2678" i="113"/>
  <c r="O2677" i="113"/>
  <c r="O2676" i="113"/>
  <c r="O2675" i="113"/>
  <c r="O2674" i="113"/>
  <c r="O2673" i="113"/>
  <c r="O2672" i="113"/>
  <c r="O2671" i="113"/>
  <c r="O2670" i="113"/>
  <c r="O2669" i="113"/>
  <c r="O2668" i="113"/>
  <c r="O2667" i="113"/>
  <c r="O2666" i="113"/>
  <c r="O2665" i="113"/>
  <c r="O2664" i="113"/>
  <c r="O2663" i="113"/>
  <c r="O2662" i="113"/>
  <c r="O2661" i="113"/>
  <c r="O2660" i="113"/>
  <c r="O2659" i="113"/>
  <c r="O2658" i="113"/>
  <c r="O2657" i="113"/>
  <c r="O2656" i="113"/>
  <c r="O2655" i="113"/>
  <c r="O2654" i="113"/>
  <c r="O2653" i="113"/>
  <c r="O2652" i="113"/>
  <c r="O2651" i="113"/>
  <c r="O2650" i="113"/>
  <c r="O2649" i="113"/>
  <c r="O2648" i="113"/>
  <c r="O2647" i="113"/>
  <c r="O2646" i="113"/>
  <c r="O2645" i="113"/>
  <c r="O2644" i="113"/>
  <c r="O2643" i="113"/>
  <c r="O2642" i="113"/>
  <c r="O2641" i="113"/>
  <c r="O2640" i="113"/>
  <c r="O2639" i="113"/>
  <c r="O2638" i="113"/>
  <c r="O2637" i="113"/>
  <c r="O2636" i="113"/>
  <c r="O2635" i="113"/>
  <c r="O2634" i="113"/>
  <c r="O2633" i="113"/>
  <c r="O2632" i="113"/>
  <c r="O2631" i="113"/>
  <c r="O2630" i="113"/>
  <c r="O2629" i="113"/>
  <c r="O2628" i="113"/>
  <c r="O2627" i="113"/>
  <c r="O2626" i="113"/>
  <c r="O2625" i="113"/>
  <c r="O2624" i="113"/>
  <c r="O2623" i="113"/>
  <c r="O2622" i="113"/>
  <c r="O2621" i="113"/>
  <c r="O2620" i="113"/>
  <c r="O2619" i="113"/>
  <c r="O2618" i="113"/>
  <c r="O2617" i="113"/>
  <c r="O2616" i="113"/>
  <c r="O2615" i="113"/>
  <c r="O2614" i="113"/>
  <c r="O2613" i="113"/>
  <c r="O2612" i="113"/>
  <c r="O2611" i="113"/>
  <c r="O2610" i="113"/>
  <c r="O2609" i="113"/>
  <c r="O2608" i="113"/>
  <c r="O2607" i="113"/>
  <c r="O2606" i="113"/>
  <c r="O2605" i="113"/>
  <c r="O2604" i="113"/>
  <c r="O2603" i="113"/>
  <c r="O2602" i="113"/>
  <c r="O2601" i="113"/>
  <c r="O2600" i="113"/>
  <c r="O2599" i="113"/>
  <c r="O2598" i="113"/>
  <c r="O2597" i="113"/>
  <c r="O2596" i="113"/>
  <c r="O2595" i="113"/>
  <c r="O2594" i="113"/>
  <c r="O2593" i="113"/>
  <c r="O2592" i="113"/>
  <c r="O2591" i="113"/>
  <c r="O2590" i="113"/>
  <c r="O2589" i="113"/>
  <c r="O2588" i="113"/>
  <c r="O2587" i="113"/>
  <c r="O2586" i="113"/>
  <c r="O2585" i="113"/>
  <c r="O2584" i="113"/>
  <c r="O2583" i="113"/>
  <c r="O2582" i="113"/>
  <c r="O2581" i="113"/>
  <c r="O2580" i="113"/>
  <c r="O2579" i="113"/>
  <c r="O2578" i="113"/>
  <c r="O2577" i="113"/>
  <c r="O2576" i="113"/>
  <c r="O2575" i="113"/>
  <c r="O2574" i="113"/>
  <c r="O2573" i="113"/>
  <c r="O2572" i="113"/>
  <c r="O2571" i="113"/>
  <c r="O2570" i="113"/>
  <c r="O2569" i="113"/>
  <c r="O2568" i="113"/>
  <c r="O2567" i="113"/>
  <c r="O2566" i="113"/>
  <c r="O2565" i="113"/>
  <c r="O2564" i="113"/>
  <c r="O2563" i="113"/>
  <c r="O2562" i="113"/>
  <c r="O2561" i="113"/>
  <c r="O2560" i="113"/>
  <c r="O2559" i="113"/>
  <c r="O2558" i="113"/>
  <c r="O2557" i="113"/>
  <c r="O2556" i="113"/>
  <c r="O2555" i="113"/>
  <c r="O2554" i="113"/>
  <c r="O2553" i="113"/>
  <c r="O2552" i="113"/>
  <c r="O2551" i="113"/>
  <c r="O2550" i="113"/>
  <c r="O2549" i="113"/>
  <c r="O2548" i="113"/>
  <c r="O2547" i="113"/>
  <c r="O2546" i="113"/>
  <c r="O2545" i="113"/>
  <c r="O2544" i="113"/>
  <c r="O2543" i="113"/>
  <c r="O2542" i="113"/>
  <c r="O2541" i="113"/>
  <c r="O2540" i="113"/>
  <c r="O2539" i="113"/>
  <c r="O2538" i="113"/>
  <c r="O2537" i="113"/>
  <c r="O2536" i="113"/>
  <c r="O2535" i="113"/>
  <c r="O2534" i="113"/>
  <c r="O2533" i="113"/>
  <c r="O2532" i="113"/>
  <c r="O2531" i="113"/>
  <c r="O2530" i="113"/>
  <c r="O2529" i="113"/>
  <c r="O2528" i="113"/>
  <c r="O2527" i="113"/>
  <c r="O2526" i="113"/>
  <c r="O2525" i="113"/>
  <c r="O2524" i="113"/>
  <c r="O2523" i="113"/>
  <c r="O2522" i="113"/>
  <c r="O2521" i="113"/>
  <c r="O2520" i="113"/>
  <c r="O2519" i="113"/>
  <c r="O2518" i="113"/>
  <c r="O2517" i="113"/>
  <c r="O2516" i="113"/>
  <c r="O2515" i="113"/>
  <c r="O2514" i="113"/>
  <c r="O2513" i="113"/>
  <c r="O2512" i="113"/>
  <c r="O2511" i="113"/>
  <c r="O2510" i="113"/>
  <c r="O2509" i="113"/>
  <c r="O2508" i="113"/>
  <c r="O2507" i="113"/>
  <c r="O2506" i="113"/>
  <c r="O2505" i="113"/>
  <c r="O2504" i="113"/>
  <c r="O2503" i="113"/>
  <c r="O2502" i="113"/>
  <c r="O2501" i="113"/>
  <c r="O2500" i="113"/>
  <c r="O2499" i="113"/>
  <c r="O2498" i="113"/>
  <c r="O2497" i="113"/>
  <c r="O2496" i="113"/>
  <c r="O2495" i="113"/>
  <c r="O2494" i="113"/>
  <c r="O2493" i="113"/>
  <c r="O2492" i="113"/>
  <c r="O2491" i="113"/>
  <c r="O2490" i="113"/>
  <c r="O2489" i="113"/>
  <c r="O2488" i="113"/>
  <c r="O2487" i="113"/>
  <c r="O2486" i="113"/>
  <c r="O2485" i="113"/>
  <c r="O2484" i="113"/>
  <c r="O2483" i="113"/>
  <c r="O2482" i="113"/>
  <c r="O2481" i="113"/>
  <c r="O2480" i="113"/>
  <c r="O2479" i="113"/>
  <c r="O2478" i="113"/>
  <c r="O2477" i="113"/>
  <c r="O2476" i="113"/>
  <c r="O2475" i="113"/>
  <c r="O2474" i="113"/>
  <c r="O2473" i="113"/>
  <c r="O2472" i="113"/>
  <c r="O2471" i="113"/>
  <c r="O2470" i="113"/>
  <c r="O2469" i="113"/>
  <c r="O2468" i="113"/>
  <c r="O2467" i="113"/>
  <c r="O2466" i="113"/>
  <c r="O2465" i="113"/>
  <c r="O2464" i="113"/>
  <c r="O2463" i="113"/>
  <c r="O2462" i="113"/>
  <c r="O2461" i="113"/>
  <c r="O2460" i="113"/>
  <c r="O2459" i="113"/>
  <c r="O2458" i="113"/>
  <c r="O2457" i="113"/>
  <c r="O2456" i="113"/>
  <c r="O2455" i="113"/>
  <c r="O2454" i="113"/>
  <c r="O2453" i="113"/>
  <c r="O2452" i="113"/>
  <c r="O2451" i="113"/>
  <c r="O2450" i="113"/>
  <c r="O2449" i="113"/>
  <c r="O2448" i="113"/>
  <c r="O2447" i="113"/>
  <c r="O2446" i="113"/>
  <c r="O2445" i="113"/>
  <c r="O2444" i="113"/>
  <c r="O2443" i="113"/>
  <c r="O2442" i="113"/>
  <c r="O2441" i="113"/>
  <c r="O2440" i="113"/>
  <c r="O2439" i="113"/>
  <c r="O2438" i="113"/>
  <c r="O2437" i="113"/>
  <c r="O2436" i="113"/>
  <c r="O2435" i="113"/>
  <c r="O2434" i="113"/>
  <c r="O2433" i="113"/>
  <c r="O2432" i="113"/>
  <c r="O2431" i="113"/>
  <c r="O2430" i="113"/>
  <c r="O2429" i="113"/>
  <c r="O2428" i="113"/>
  <c r="O2427" i="113"/>
  <c r="O2426" i="113"/>
  <c r="O2425" i="113"/>
  <c r="O2424" i="113"/>
  <c r="O2423" i="113"/>
  <c r="O2422" i="113"/>
  <c r="O2421" i="113"/>
  <c r="O2420" i="113"/>
  <c r="O2419" i="113"/>
  <c r="O2418" i="113"/>
  <c r="O2417" i="113"/>
  <c r="O2416" i="113"/>
  <c r="O2415" i="113"/>
  <c r="O2414" i="113"/>
  <c r="O2413" i="113"/>
  <c r="O2412" i="113"/>
  <c r="O2411" i="113"/>
  <c r="O2410" i="113"/>
  <c r="O2409" i="113"/>
  <c r="O2408" i="113"/>
  <c r="O2407" i="113"/>
  <c r="O2406" i="113"/>
  <c r="O2405" i="113"/>
  <c r="O2404" i="113"/>
  <c r="O2403" i="113"/>
  <c r="O2402" i="113"/>
  <c r="O2401" i="113"/>
  <c r="O2400" i="113"/>
  <c r="O2399" i="113"/>
  <c r="O2398" i="113"/>
  <c r="O2397" i="113"/>
  <c r="O2396" i="113"/>
  <c r="O2395" i="113"/>
  <c r="O2394" i="113"/>
  <c r="O2393" i="113"/>
  <c r="O2392" i="113"/>
  <c r="O2391" i="113"/>
  <c r="O2390" i="113"/>
  <c r="O2389" i="113"/>
  <c r="O2388" i="113"/>
  <c r="O2387" i="113"/>
  <c r="O2386" i="113"/>
  <c r="O2385" i="113"/>
  <c r="O2384" i="113"/>
  <c r="O2383" i="113"/>
  <c r="O2382" i="113"/>
  <c r="O2381" i="113"/>
  <c r="O2380" i="113"/>
  <c r="O2379" i="113"/>
  <c r="O2378" i="113"/>
  <c r="O2377" i="113"/>
  <c r="O2376" i="113"/>
  <c r="O2375" i="113"/>
  <c r="O2374" i="113"/>
  <c r="O2373" i="113"/>
  <c r="O2372" i="113"/>
  <c r="O2371" i="113"/>
  <c r="O2370" i="113"/>
  <c r="O2369" i="113"/>
  <c r="O2368" i="113"/>
  <c r="O2367" i="113"/>
  <c r="O2366" i="113"/>
  <c r="O2365" i="113"/>
  <c r="O2364" i="113"/>
  <c r="O2363" i="113"/>
  <c r="O2362" i="113"/>
  <c r="O2361" i="113"/>
  <c r="O2360" i="113"/>
  <c r="O2359" i="113"/>
  <c r="O2358" i="113"/>
  <c r="O2357" i="113"/>
  <c r="O2356" i="113"/>
  <c r="O2355" i="113"/>
  <c r="O2354" i="113"/>
  <c r="O2353" i="113"/>
  <c r="O2352" i="113"/>
  <c r="O2351" i="113"/>
  <c r="O2350" i="113"/>
  <c r="O2349" i="113"/>
  <c r="O2348" i="113"/>
  <c r="O2347" i="113"/>
  <c r="O2346" i="113"/>
  <c r="O2345" i="113"/>
  <c r="O2344" i="113"/>
  <c r="O2343" i="113"/>
  <c r="O2342" i="113"/>
  <c r="O2341" i="113"/>
  <c r="O2340" i="113"/>
  <c r="O2339" i="113"/>
  <c r="O2338" i="113"/>
  <c r="O2337" i="113"/>
  <c r="O2336" i="113"/>
  <c r="O2335" i="113"/>
  <c r="O2334" i="113"/>
  <c r="O2333" i="113"/>
  <c r="O2332" i="113"/>
  <c r="O2331" i="113"/>
  <c r="O2330" i="113"/>
  <c r="O2329" i="113"/>
  <c r="O2328" i="113"/>
  <c r="O2327" i="113"/>
  <c r="O2326" i="113"/>
  <c r="O2325" i="113"/>
  <c r="O2324" i="113"/>
  <c r="O2323" i="113"/>
  <c r="O2322" i="113"/>
  <c r="O2321" i="113"/>
  <c r="O2320" i="113"/>
  <c r="O2319" i="113"/>
  <c r="O2318" i="113"/>
  <c r="O2317" i="113"/>
  <c r="O2316" i="113"/>
  <c r="O2315" i="113"/>
  <c r="O2314" i="113"/>
  <c r="O2313" i="113"/>
  <c r="O2312" i="113"/>
  <c r="O2311" i="113"/>
  <c r="O2310" i="113"/>
  <c r="O2309" i="113"/>
  <c r="O2308" i="113"/>
  <c r="O2307" i="113"/>
  <c r="O2306" i="113"/>
  <c r="O2305" i="113"/>
  <c r="O2304" i="113"/>
  <c r="O2303" i="113"/>
  <c r="O2302" i="113"/>
  <c r="O2301" i="113"/>
  <c r="O2300" i="113"/>
  <c r="O2299" i="113"/>
  <c r="O2298" i="113"/>
  <c r="O2297" i="113"/>
  <c r="O2296" i="113"/>
  <c r="O2295" i="113"/>
  <c r="O2294" i="113"/>
  <c r="O2293" i="113"/>
  <c r="O2292" i="113"/>
  <c r="O2291" i="113"/>
  <c r="O2290" i="113"/>
  <c r="O2289" i="113"/>
  <c r="O2288" i="113"/>
  <c r="O2287" i="113"/>
  <c r="O2286" i="113"/>
  <c r="O2285" i="113"/>
  <c r="O2284" i="113"/>
  <c r="O2283" i="113"/>
  <c r="O2282" i="113"/>
  <c r="O2281" i="113"/>
  <c r="O2280" i="113"/>
  <c r="O2279" i="113"/>
  <c r="O2278" i="113"/>
  <c r="O2277" i="113"/>
  <c r="O2276" i="113"/>
  <c r="O2275" i="113"/>
  <c r="O2274" i="113"/>
  <c r="O2273" i="113"/>
  <c r="O2272" i="113"/>
  <c r="O2271" i="113"/>
  <c r="O2270" i="113"/>
  <c r="O2269" i="113"/>
  <c r="O2268" i="113"/>
  <c r="O2267" i="113"/>
  <c r="O2266" i="113"/>
  <c r="O2265" i="113"/>
  <c r="O2264" i="113"/>
  <c r="O2263" i="113"/>
  <c r="O2262" i="113"/>
  <c r="O2261" i="113"/>
  <c r="O2260" i="113"/>
  <c r="O2259" i="113"/>
  <c r="O2258" i="113"/>
  <c r="O2257" i="113"/>
  <c r="O2256" i="113"/>
  <c r="O2255" i="113"/>
  <c r="O2254" i="113"/>
  <c r="O2253" i="113"/>
  <c r="O2252" i="113"/>
  <c r="O2251" i="113"/>
  <c r="O2250" i="113"/>
  <c r="O2249" i="113"/>
  <c r="O2248" i="113"/>
  <c r="O2247" i="113"/>
  <c r="O2246" i="113"/>
  <c r="O2245" i="113"/>
  <c r="O2244" i="113"/>
  <c r="O2243" i="113"/>
  <c r="O2242" i="113"/>
  <c r="O2241" i="113"/>
  <c r="O2240" i="113"/>
  <c r="O2239" i="113"/>
  <c r="O2238" i="113"/>
  <c r="O2237" i="113"/>
  <c r="O2236" i="113"/>
  <c r="O2235" i="113"/>
  <c r="O2234" i="113"/>
  <c r="O2233" i="113"/>
  <c r="O2232" i="113"/>
  <c r="O2231" i="113"/>
  <c r="O2230" i="113"/>
  <c r="O2229" i="113"/>
  <c r="O2228" i="113"/>
  <c r="O2227" i="113"/>
  <c r="O2226" i="113"/>
  <c r="O2225" i="113"/>
  <c r="O2224" i="113"/>
  <c r="O2223" i="113"/>
  <c r="O2222" i="113"/>
  <c r="O2221" i="113"/>
  <c r="O2220" i="113"/>
  <c r="O2219" i="113"/>
  <c r="O2218" i="113"/>
  <c r="O2217" i="113"/>
  <c r="O2216" i="113"/>
  <c r="O2215" i="113"/>
  <c r="O2214" i="113"/>
  <c r="O2213" i="113"/>
  <c r="O2212" i="113"/>
  <c r="O2211" i="113"/>
  <c r="O2210" i="113"/>
  <c r="O2209" i="113"/>
  <c r="O2208" i="113"/>
  <c r="O2207" i="113"/>
  <c r="O2206" i="113"/>
  <c r="O2205" i="113"/>
  <c r="O2204" i="113"/>
  <c r="O2203" i="113"/>
  <c r="O2202" i="113"/>
  <c r="O2201" i="113"/>
  <c r="O2200" i="113"/>
  <c r="O2199" i="113"/>
  <c r="O2198" i="113"/>
  <c r="O2197" i="113"/>
  <c r="O2196" i="113"/>
  <c r="O2195" i="113"/>
  <c r="O2194" i="113"/>
  <c r="O2193" i="113"/>
  <c r="O2192" i="113"/>
  <c r="O2191" i="113"/>
  <c r="O2190" i="113"/>
  <c r="O2189" i="113"/>
  <c r="O2188" i="113"/>
  <c r="O2187" i="113"/>
  <c r="O2186" i="113"/>
  <c r="O2185" i="113"/>
  <c r="O2184" i="113"/>
  <c r="O2183" i="113"/>
  <c r="O2182" i="113"/>
  <c r="O2181" i="113"/>
  <c r="O2180" i="113"/>
  <c r="O2179" i="113"/>
  <c r="O2178" i="113"/>
  <c r="O2177" i="113"/>
  <c r="O2176" i="113"/>
  <c r="O2175" i="113"/>
  <c r="O2174" i="113"/>
  <c r="O2173" i="113"/>
  <c r="O2172" i="113"/>
  <c r="O2171" i="113"/>
  <c r="O2170" i="113"/>
  <c r="O2169" i="113"/>
  <c r="O2168" i="113"/>
  <c r="O2167" i="113"/>
  <c r="O2166" i="113"/>
  <c r="O2165" i="113"/>
  <c r="O2164" i="113"/>
  <c r="O2163" i="113"/>
  <c r="O2162" i="113"/>
  <c r="O2161" i="113"/>
  <c r="O2160" i="113"/>
  <c r="O2159" i="113"/>
  <c r="O2158" i="113"/>
  <c r="O2157" i="113"/>
  <c r="O2156" i="113"/>
  <c r="O2155" i="113"/>
  <c r="O2154" i="113"/>
  <c r="O2153" i="113"/>
  <c r="O2152" i="113"/>
  <c r="O2151" i="113"/>
  <c r="O2150" i="113"/>
  <c r="O2149" i="113"/>
  <c r="O2148" i="113"/>
  <c r="O2147" i="113"/>
  <c r="O2146" i="113"/>
  <c r="O2145" i="113"/>
  <c r="O2144" i="113"/>
  <c r="O2143" i="113"/>
  <c r="O2142" i="113"/>
  <c r="O2141" i="113"/>
  <c r="O2140" i="113"/>
  <c r="O2139" i="113"/>
  <c r="O2138" i="113"/>
  <c r="O2137" i="113"/>
  <c r="O2136" i="113"/>
  <c r="O2135" i="113"/>
  <c r="O2134" i="113"/>
  <c r="O2133" i="113"/>
  <c r="O2132" i="113"/>
  <c r="O2131" i="113"/>
  <c r="O2130" i="113"/>
  <c r="O2129" i="113"/>
  <c r="O2128" i="113"/>
  <c r="O2127" i="113"/>
  <c r="O2126" i="113"/>
  <c r="O2125" i="113"/>
  <c r="O2124" i="113"/>
  <c r="O2123" i="113"/>
  <c r="O2122" i="113"/>
  <c r="O2121" i="113"/>
  <c r="O2120" i="113"/>
  <c r="O2119" i="113"/>
  <c r="O2118" i="113"/>
  <c r="O2117" i="113"/>
  <c r="O2116" i="113"/>
  <c r="O2115" i="113"/>
  <c r="O2114" i="113"/>
  <c r="O2113" i="113"/>
  <c r="O2112" i="113"/>
  <c r="O2111" i="113"/>
  <c r="O2110" i="113"/>
  <c r="O2109" i="113"/>
  <c r="O2108" i="113"/>
  <c r="O2107" i="113"/>
  <c r="O2106" i="113"/>
  <c r="O2105" i="113"/>
  <c r="O2104" i="113"/>
  <c r="O2103" i="113"/>
  <c r="O2102" i="113"/>
  <c r="O2101" i="113"/>
  <c r="O2100" i="113"/>
  <c r="O2099" i="113"/>
  <c r="O2098" i="113"/>
  <c r="O2097" i="113"/>
  <c r="O2096" i="113"/>
  <c r="O2095" i="113"/>
  <c r="O2094" i="113"/>
  <c r="O2093" i="113"/>
  <c r="O2092" i="113"/>
  <c r="O2091" i="113"/>
  <c r="O2090" i="113"/>
  <c r="O2089" i="113"/>
  <c r="O2088" i="113"/>
  <c r="O2087" i="113"/>
  <c r="O2086" i="113"/>
  <c r="O2085" i="113"/>
  <c r="O2084" i="113"/>
  <c r="O2083" i="113"/>
  <c r="O2082" i="113"/>
  <c r="O2081" i="113"/>
  <c r="O2080" i="113"/>
  <c r="O2079" i="113"/>
  <c r="O2078" i="113"/>
  <c r="O2077" i="113"/>
  <c r="O2076" i="113"/>
  <c r="O2075" i="113"/>
  <c r="O2074" i="113"/>
  <c r="O2073" i="113"/>
  <c r="O2072" i="113"/>
  <c r="O2071" i="113"/>
  <c r="O2070" i="113"/>
  <c r="O2069" i="113"/>
  <c r="O2068" i="113"/>
  <c r="O2067" i="113"/>
  <c r="O2066" i="113"/>
  <c r="O2065" i="113"/>
  <c r="O2064" i="113"/>
  <c r="O2063" i="113"/>
  <c r="O2062" i="113"/>
  <c r="O2061" i="113"/>
  <c r="O2060" i="113"/>
  <c r="O2059" i="113"/>
  <c r="O2058" i="113"/>
  <c r="O2057" i="113"/>
  <c r="O2056" i="113"/>
  <c r="O2055" i="113"/>
  <c r="O2054" i="113"/>
  <c r="O2053" i="113"/>
  <c r="O2052" i="113"/>
  <c r="O2051" i="113"/>
  <c r="O2050" i="113"/>
  <c r="O2049" i="113"/>
  <c r="O2048" i="113"/>
  <c r="O2047" i="113"/>
  <c r="O2046" i="113"/>
  <c r="O2045" i="113"/>
  <c r="O2044" i="113"/>
  <c r="O2043" i="113"/>
  <c r="O2042" i="113"/>
  <c r="O2041" i="113"/>
  <c r="O2040" i="113"/>
  <c r="O2039" i="113"/>
  <c r="O2038" i="113"/>
  <c r="O2037" i="113"/>
  <c r="O2036" i="113"/>
  <c r="O2035" i="113"/>
  <c r="O2034" i="113"/>
  <c r="O2033" i="113"/>
  <c r="O2032" i="113"/>
  <c r="O2031" i="113"/>
  <c r="O2030" i="113"/>
  <c r="O2029" i="113"/>
  <c r="O2028" i="113"/>
  <c r="O2027" i="113"/>
  <c r="O2026" i="113"/>
  <c r="O2025" i="113"/>
  <c r="O2024" i="113"/>
  <c r="O2023" i="113"/>
  <c r="O2022" i="113"/>
  <c r="O2021" i="113"/>
  <c r="O2020" i="113"/>
  <c r="O2019" i="113"/>
  <c r="O2018" i="113"/>
  <c r="O2017" i="113"/>
  <c r="O2016" i="113"/>
  <c r="O2015" i="113"/>
  <c r="O2014" i="113"/>
  <c r="O2013" i="113"/>
  <c r="O2012" i="113"/>
  <c r="O2011" i="113"/>
  <c r="O2010" i="113"/>
  <c r="O2009" i="113"/>
  <c r="O2008" i="113"/>
  <c r="O2007" i="113"/>
  <c r="O2006" i="113"/>
  <c r="O2005" i="113"/>
  <c r="O2004" i="113"/>
  <c r="O2003" i="113"/>
  <c r="O2002" i="113"/>
  <c r="O2001" i="113"/>
  <c r="O2000" i="113"/>
  <c r="O1999" i="113"/>
  <c r="O1998" i="113"/>
  <c r="O1997" i="113"/>
  <c r="O1996" i="113"/>
  <c r="O1995" i="113"/>
  <c r="O1994" i="113"/>
  <c r="O1993" i="113"/>
  <c r="O1992" i="113"/>
  <c r="O1991" i="113"/>
  <c r="O1990" i="113"/>
  <c r="O1989" i="113"/>
  <c r="O1988" i="113"/>
  <c r="O1987" i="113"/>
  <c r="O1986" i="113"/>
  <c r="O1985" i="113"/>
  <c r="O1984" i="113"/>
  <c r="O1983" i="113"/>
  <c r="O1982" i="113"/>
  <c r="O1981" i="113"/>
  <c r="O1980" i="113"/>
  <c r="O1979" i="113"/>
  <c r="O1978" i="113"/>
  <c r="O1977" i="113"/>
  <c r="O1976" i="113"/>
  <c r="O1975" i="113"/>
  <c r="O1974" i="113"/>
  <c r="O1973" i="113"/>
  <c r="O1972" i="113"/>
  <c r="O1971" i="113"/>
  <c r="O1970" i="113"/>
  <c r="O1969" i="113"/>
  <c r="O1968" i="113"/>
  <c r="O1967" i="113"/>
  <c r="O1966" i="113"/>
  <c r="O1965" i="113"/>
  <c r="O1964" i="113"/>
  <c r="O1963" i="113"/>
  <c r="O1962" i="113"/>
  <c r="O1961" i="113"/>
  <c r="O1960" i="113"/>
  <c r="O1959" i="113"/>
  <c r="O1958" i="113"/>
  <c r="O1957" i="113"/>
  <c r="O1956" i="113"/>
  <c r="O1955" i="113"/>
  <c r="O1954" i="113"/>
  <c r="O1953" i="113"/>
  <c r="O1952" i="113"/>
  <c r="O1951" i="113"/>
  <c r="O1950" i="113"/>
  <c r="O1949" i="113"/>
  <c r="O1948" i="113"/>
  <c r="O1947" i="113"/>
  <c r="O1946" i="113"/>
  <c r="O1945" i="113"/>
  <c r="O1944" i="113"/>
  <c r="O1943" i="113"/>
  <c r="O1942" i="113"/>
  <c r="O1941" i="113"/>
  <c r="O1940" i="113"/>
  <c r="O1939" i="113"/>
  <c r="O1938" i="113"/>
  <c r="O1937" i="113"/>
  <c r="O1936" i="113"/>
  <c r="O1935" i="113"/>
  <c r="O1934" i="113"/>
  <c r="O1933" i="113"/>
  <c r="O1932" i="113"/>
  <c r="O1931" i="113"/>
  <c r="O1930" i="113"/>
  <c r="O1929" i="113"/>
  <c r="O1928" i="113"/>
  <c r="O1927" i="113"/>
  <c r="O1926" i="113"/>
  <c r="O1925" i="113"/>
  <c r="O1924" i="113"/>
  <c r="O1923" i="113"/>
  <c r="O1922" i="113"/>
  <c r="O1921" i="113"/>
  <c r="O1920" i="113"/>
  <c r="O1919" i="113"/>
  <c r="O1918" i="113"/>
  <c r="O1917" i="113"/>
  <c r="O1916" i="113"/>
  <c r="O1915" i="113"/>
  <c r="O1914" i="113"/>
  <c r="O1913" i="113"/>
  <c r="O1912" i="113"/>
  <c r="O1911" i="113"/>
  <c r="O1910" i="113"/>
  <c r="O1909" i="113"/>
  <c r="O1908" i="113"/>
  <c r="O1907" i="113"/>
  <c r="O1906" i="113"/>
  <c r="O1905" i="113"/>
  <c r="O1904" i="113"/>
  <c r="O1903" i="113"/>
  <c r="O1902" i="113"/>
  <c r="O1901" i="113"/>
  <c r="O1900" i="113"/>
  <c r="O1899" i="113"/>
  <c r="O1898" i="113"/>
  <c r="O1897" i="113"/>
  <c r="O1896" i="113"/>
  <c r="O1895" i="113"/>
  <c r="O1894" i="113"/>
  <c r="O1893" i="113"/>
  <c r="O1892" i="113"/>
  <c r="O1891" i="113"/>
  <c r="O1890" i="113"/>
  <c r="O1889" i="113"/>
  <c r="O1888" i="113"/>
  <c r="O1887" i="113"/>
  <c r="O1886" i="113"/>
  <c r="O1885" i="113"/>
  <c r="O1884" i="113"/>
  <c r="O1883" i="113"/>
  <c r="O1882" i="113"/>
  <c r="O1881" i="113"/>
  <c r="O1880" i="113"/>
  <c r="O1879" i="113"/>
  <c r="O1878" i="113"/>
  <c r="O1877" i="113"/>
  <c r="O1876" i="113"/>
  <c r="O1875" i="113"/>
  <c r="O1874" i="113"/>
  <c r="O1873" i="113"/>
  <c r="O1872" i="113"/>
  <c r="O1871" i="113"/>
  <c r="O1870" i="113"/>
  <c r="O1869" i="113"/>
  <c r="O1868" i="113"/>
  <c r="O1867" i="113"/>
  <c r="O1866" i="113"/>
  <c r="O1865" i="113"/>
  <c r="O1864" i="113"/>
  <c r="O1863" i="113"/>
  <c r="O1862" i="113"/>
  <c r="O1861" i="113"/>
  <c r="O1860" i="113"/>
  <c r="O1859" i="113"/>
  <c r="O1858" i="113"/>
  <c r="O1857" i="113"/>
  <c r="O1856" i="113"/>
  <c r="O1855" i="113"/>
  <c r="O1854" i="113"/>
  <c r="O1853" i="113"/>
  <c r="O1852" i="113"/>
  <c r="O1851" i="113"/>
  <c r="O1850" i="113"/>
  <c r="O1849" i="113"/>
  <c r="O1848" i="113"/>
  <c r="O1847" i="113"/>
  <c r="O1846" i="113"/>
  <c r="O1845" i="113"/>
  <c r="O1844" i="113"/>
  <c r="O1843" i="113"/>
  <c r="O1842" i="113"/>
  <c r="O1841" i="113"/>
  <c r="O1840" i="113"/>
  <c r="O1839" i="113"/>
  <c r="O1838" i="113"/>
  <c r="O1837" i="113"/>
  <c r="O1836" i="113"/>
  <c r="O1835" i="113"/>
  <c r="O1834" i="113"/>
  <c r="O1833" i="113"/>
  <c r="O1832" i="113"/>
  <c r="O1831" i="113"/>
  <c r="O1830" i="113"/>
  <c r="O1829" i="113"/>
  <c r="O1828" i="113"/>
  <c r="O1827" i="113"/>
  <c r="O1826" i="113"/>
  <c r="O1825" i="113"/>
  <c r="O1824" i="113"/>
  <c r="O1823" i="113"/>
  <c r="O1822" i="113"/>
  <c r="O1821" i="113"/>
  <c r="O1820" i="113"/>
  <c r="O1819" i="113"/>
  <c r="O1818" i="113"/>
  <c r="O1817" i="113"/>
  <c r="O1816" i="113"/>
  <c r="O1815" i="113"/>
  <c r="O1814" i="113"/>
  <c r="O1813" i="113"/>
  <c r="O1812" i="113"/>
  <c r="O1811" i="113"/>
  <c r="O1810" i="113"/>
  <c r="O1809" i="113"/>
  <c r="O1808" i="113"/>
  <c r="O1807" i="113"/>
  <c r="O1806" i="113"/>
  <c r="O1805" i="113"/>
  <c r="O1804" i="113"/>
  <c r="O1803" i="113"/>
  <c r="O1802" i="113"/>
  <c r="O1801" i="113"/>
  <c r="O1800" i="113"/>
  <c r="O1799" i="113"/>
  <c r="O1798" i="113"/>
  <c r="O1797" i="113"/>
  <c r="O1796" i="113"/>
  <c r="O1795" i="113"/>
  <c r="O1794" i="113"/>
  <c r="O1793" i="113"/>
  <c r="O1792" i="113"/>
  <c r="O1791" i="113"/>
  <c r="O1790" i="113"/>
  <c r="O1789" i="113"/>
  <c r="O1788" i="113"/>
  <c r="O1787" i="113"/>
  <c r="O1786" i="113"/>
  <c r="O1785" i="113"/>
  <c r="O1784" i="113"/>
  <c r="O1783" i="113"/>
  <c r="O1782" i="113"/>
  <c r="O1781" i="113"/>
  <c r="O1780" i="113"/>
  <c r="O1779" i="113"/>
  <c r="O1778" i="113"/>
  <c r="O1777" i="113"/>
  <c r="O1776" i="113"/>
  <c r="O1775" i="113"/>
  <c r="O1774" i="113"/>
  <c r="O1773" i="113"/>
  <c r="O1772" i="113"/>
  <c r="O1771" i="113"/>
  <c r="O1770" i="113"/>
  <c r="O1769" i="113"/>
  <c r="O1768" i="113"/>
  <c r="O1767" i="113"/>
  <c r="O1766" i="113"/>
  <c r="O1765" i="113"/>
  <c r="O1764" i="113"/>
  <c r="O1763" i="113"/>
  <c r="O1762" i="113"/>
  <c r="O1761" i="113"/>
  <c r="O1760" i="113"/>
  <c r="O1759" i="113"/>
  <c r="O1758" i="113"/>
  <c r="O1757" i="113"/>
  <c r="O1756" i="113"/>
  <c r="O1755" i="113"/>
  <c r="O1754" i="113"/>
  <c r="O1753" i="113"/>
  <c r="O1752" i="113"/>
  <c r="O1751" i="113"/>
  <c r="O1750" i="113"/>
  <c r="O1749" i="113"/>
  <c r="O1748" i="113"/>
  <c r="O1747" i="113"/>
  <c r="O1746" i="113"/>
  <c r="O1745" i="113"/>
  <c r="O1744" i="113"/>
  <c r="O1743" i="113"/>
  <c r="O1742" i="113"/>
  <c r="O1741" i="113"/>
  <c r="O1740" i="113"/>
  <c r="O1739" i="113"/>
  <c r="O1738" i="113"/>
  <c r="O1737" i="113"/>
  <c r="O1736" i="113"/>
  <c r="O1735" i="113"/>
  <c r="O1734" i="113"/>
  <c r="O1733" i="113"/>
  <c r="O1732" i="113"/>
  <c r="O1731" i="113"/>
  <c r="O1730" i="113"/>
  <c r="O1729" i="113"/>
  <c r="O1728" i="113"/>
  <c r="O1727" i="113"/>
  <c r="O1726" i="113"/>
  <c r="O1725" i="113"/>
  <c r="O1724" i="113"/>
  <c r="O1723" i="113"/>
  <c r="O1722" i="113"/>
  <c r="O1721" i="113"/>
  <c r="O1720" i="113"/>
  <c r="O1719" i="113"/>
  <c r="O1718" i="113"/>
  <c r="O1717" i="113"/>
  <c r="O1716" i="113"/>
  <c r="O1715" i="113"/>
  <c r="O1714" i="113"/>
  <c r="O1713" i="113"/>
  <c r="O1712" i="113"/>
  <c r="O1711" i="113"/>
  <c r="O1710" i="113"/>
  <c r="O1709" i="113"/>
  <c r="O1708" i="113"/>
  <c r="O1707" i="113"/>
  <c r="O1706" i="113"/>
  <c r="O1705" i="113"/>
  <c r="O1704" i="113"/>
  <c r="O1703" i="113"/>
  <c r="O1702" i="113"/>
  <c r="O1701" i="113"/>
  <c r="O1700" i="113"/>
  <c r="O1699" i="113"/>
  <c r="O1698" i="113"/>
  <c r="O1697" i="113"/>
  <c r="O1696" i="113"/>
  <c r="O1695" i="113"/>
  <c r="O1694" i="113"/>
  <c r="O1693" i="113"/>
  <c r="O1692" i="113"/>
  <c r="O1691" i="113"/>
  <c r="O1690" i="113"/>
  <c r="O1689" i="113"/>
  <c r="O1688" i="113"/>
  <c r="O1687" i="113"/>
  <c r="O1686" i="113"/>
  <c r="O1685" i="113"/>
  <c r="O1684" i="113"/>
  <c r="O1683" i="113"/>
  <c r="O1682" i="113"/>
  <c r="O1681" i="113"/>
  <c r="O1680" i="113"/>
  <c r="O1679" i="113"/>
  <c r="O1678" i="113"/>
  <c r="O1677" i="113"/>
  <c r="O1676" i="113"/>
  <c r="O1675" i="113"/>
  <c r="O1674" i="113"/>
  <c r="O1673" i="113"/>
  <c r="O1672" i="113"/>
  <c r="O1671" i="113"/>
  <c r="O1670" i="113"/>
  <c r="O1669" i="113"/>
  <c r="O1668" i="113"/>
  <c r="O1667" i="113"/>
  <c r="O1666" i="113"/>
  <c r="O1665" i="113"/>
  <c r="O1664" i="113"/>
  <c r="O1663" i="113"/>
  <c r="O1662" i="113"/>
  <c r="O1661" i="113"/>
  <c r="O1660" i="113"/>
  <c r="O1659" i="113"/>
  <c r="O1658" i="113"/>
  <c r="O1657" i="113"/>
  <c r="O1656" i="113"/>
  <c r="O1655" i="113"/>
  <c r="O1654" i="113"/>
  <c r="O1653" i="113"/>
  <c r="O1652" i="113"/>
  <c r="O1651" i="113"/>
  <c r="O1650" i="113"/>
  <c r="O1649" i="113"/>
  <c r="O1648" i="113"/>
  <c r="O1647" i="113"/>
  <c r="O1646" i="113"/>
  <c r="O1645" i="113"/>
  <c r="O1644" i="113"/>
  <c r="O1643" i="113"/>
  <c r="O1642" i="113"/>
  <c r="O1641" i="113"/>
  <c r="O1640" i="113"/>
  <c r="O1639" i="113"/>
  <c r="O1638" i="113"/>
  <c r="O1637" i="113"/>
  <c r="O1636" i="113"/>
  <c r="O1635" i="113"/>
  <c r="O1634" i="113"/>
  <c r="O1633" i="113"/>
  <c r="O1632" i="113"/>
  <c r="O1631" i="113"/>
  <c r="O1630" i="113"/>
  <c r="O1629" i="113"/>
  <c r="O1628" i="113"/>
  <c r="O1627" i="113"/>
  <c r="O1626" i="113"/>
  <c r="O1625" i="113"/>
  <c r="O1624" i="113"/>
  <c r="O1623" i="113"/>
  <c r="O1622" i="113"/>
  <c r="O1621" i="113"/>
  <c r="O1620" i="113"/>
  <c r="O1619" i="113"/>
  <c r="O1618" i="113"/>
  <c r="O1617" i="113"/>
  <c r="O1616" i="113"/>
  <c r="O1615" i="113"/>
  <c r="O1614" i="113"/>
  <c r="O1613" i="113"/>
  <c r="O1612" i="113"/>
  <c r="O1611" i="113"/>
  <c r="O1610" i="113"/>
  <c r="O1609" i="113"/>
  <c r="O1608" i="113"/>
  <c r="O1607" i="113"/>
  <c r="O1606" i="113"/>
  <c r="O1605" i="113"/>
  <c r="O1604" i="113"/>
  <c r="O1603" i="113"/>
  <c r="O1602" i="113"/>
  <c r="O1601" i="113"/>
  <c r="O1600" i="113"/>
  <c r="O1599" i="113"/>
  <c r="O1598" i="113"/>
  <c r="O1597" i="113"/>
  <c r="O1596" i="113"/>
  <c r="O1595" i="113"/>
  <c r="O1594" i="113"/>
  <c r="O1593" i="113"/>
  <c r="O1592" i="113"/>
  <c r="O1591" i="113"/>
  <c r="O1590" i="113"/>
  <c r="O1589" i="113"/>
  <c r="O1588" i="113"/>
  <c r="O1587" i="113"/>
  <c r="O1586" i="113"/>
  <c r="O1585" i="113"/>
  <c r="O1584" i="113"/>
  <c r="O1583" i="113"/>
  <c r="O1582" i="113"/>
  <c r="O1581" i="113"/>
  <c r="O1580" i="113"/>
  <c r="O1579" i="113"/>
  <c r="O1578" i="113"/>
  <c r="O1577" i="113"/>
  <c r="O1576" i="113"/>
  <c r="O1575" i="113"/>
  <c r="O1574" i="113"/>
  <c r="O1573" i="113"/>
  <c r="O1572" i="113"/>
  <c r="O1571" i="113"/>
  <c r="O1570" i="113"/>
  <c r="O1569" i="113"/>
  <c r="O1568" i="113"/>
  <c r="O1567" i="113"/>
  <c r="O1566" i="113"/>
  <c r="O1565" i="113"/>
  <c r="O1564" i="113"/>
  <c r="O1563" i="113"/>
  <c r="O1562" i="113"/>
  <c r="O1561" i="113"/>
  <c r="O1560" i="113"/>
  <c r="O1559" i="113"/>
  <c r="O1558" i="113"/>
  <c r="O1557" i="113"/>
  <c r="O1556" i="113"/>
  <c r="O1555" i="113"/>
  <c r="O1554" i="113"/>
  <c r="O1553" i="113"/>
  <c r="O1552" i="113"/>
  <c r="O1551" i="113"/>
  <c r="O1550" i="113"/>
  <c r="O1549" i="113"/>
  <c r="O1548" i="113"/>
  <c r="O1547" i="113"/>
  <c r="O1546" i="113"/>
  <c r="O1545" i="113"/>
  <c r="O1544" i="113"/>
  <c r="O1543" i="113"/>
  <c r="O1542" i="113"/>
  <c r="O1541" i="113"/>
  <c r="O1540" i="113"/>
  <c r="O1539" i="113"/>
  <c r="O1538" i="113"/>
  <c r="O1537" i="113"/>
  <c r="O1536" i="113"/>
  <c r="O1535" i="113"/>
  <c r="O1534" i="113"/>
  <c r="O1533" i="113"/>
  <c r="O1532" i="113"/>
  <c r="O1531" i="113"/>
  <c r="O1530" i="113"/>
  <c r="O1529" i="113"/>
  <c r="O1528" i="113"/>
  <c r="O1527" i="113"/>
  <c r="O1526" i="113"/>
  <c r="O1525" i="113"/>
  <c r="O1524" i="113"/>
  <c r="O1523" i="113"/>
  <c r="O1522" i="113"/>
  <c r="O1521" i="113"/>
  <c r="O1520" i="113"/>
  <c r="O1519" i="113"/>
  <c r="O1518" i="113"/>
  <c r="O1517" i="113"/>
  <c r="O1516" i="113"/>
  <c r="O1515" i="113"/>
  <c r="O1514" i="113"/>
  <c r="O1513" i="113"/>
  <c r="O1512" i="113"/>
  <c r="O1511" i="113"/>
  <c r="O1510" i="113"/>
  <c r="O1509" i="113"/>
  <c r="O1508" i="113"/>
  <c r="O1507" i="113"/>
  <c r="O1506" i="113"/>
  <c r="O1505" i="113"/>
  <c r="O1504" i="113"/>
  <c r="O1503" i="113"/>
  <c r="O1502" i="113"/>
  <c r="O1501" i="113"/>
  <c r="O1500" i="113"/>
  <c r="O1499" i="113"/>
  <c r="O1498" i="113"/>
  <c r="O1497" i="113"/>
  <c r="O1496" i="113"/>
  <c r="O1495" i="113"/>
  <c r="O1494" i="113"/>
  <c r="O1493" i="113"/>
  <c r="O1492" i="113"/>
  <c r="O1491" i="113"/>
  <c r="O1490" i="113"/>
  <c r="O1489" i="113"/>
  <c r="O1488" i="113"/>
  <c r="O1487" i="113"/>
  <c r="O1486" i="113"/>
  <c r="O1485" i="113"/>
  <c r="O1484" i="113"/>
  <c r="O1483" i="113"/>
  <c r="O1482" i="113"/>
  <c r="O1481" i="113"/>
  <c r="O1480" i="113"/>
  <c r="O1479" i="113"/>
  <c r="O1478" i="113"/>
  <c r="O1477" i="113"/>
  <c r="O1476" i="113"/>
  <c r="O1475" i="113"/>
  <c r="O1474" i="113"/>
  <c r="O1473" i="113"/>
  <c r="O1472" i="113"/>
  <c r="O1471" i="113"/>
  <c r="O1470" i="113"/>
  <c r="O1469" i="113"/>
  <c r="O1468" i="113"/>
  <c r="O1467" i="113"/>
  <c r="O1466" i="113"/>
  <c r="O1465" i="113"/>
  <c r="O1464" i="113"/>
  <c r="O1463" i="113"/>
  <c r="O1462" i="113"/>
  <c r="O1461" i="113"/>
  <c r="O1460" i="113"/>
  <c r="O1459" i="113"/>
  <c r="O1458" i="113"/>
  <c r="O1457" i="113"/>
  <c r="O1456" i="113"/>
  <c r="O1455" i="113"/>
  <c r="O1454" i="113"/>
  <c r="O1453" i="113"/>
  <c r="O1452" i="113"/>
  <c r="O1451" i="113"/>
  <c r="O1450" i="113"/>
  <c r="O1449" i="113"/>
  <c r="O1448" i="113"/>
  <c r="O1447" i="113"/>
  <c r="O1446" i="113"/>
  <c r="O1445" i="113"/>
  <c r="O1444" i="113"/>
  <c r="O1443" i="113"/>
  <c r="O1442" i="113"/>
  <c r="O1441" i="113"/>
  <c r="O1440" i="113"/>
  <c r="O1439" i="113"/>
  <c r="O1438" i="113"/>
  <c r="O1437" i="113"/>
  <c r="O1436" i="113"/>
  <c r="O1435" i="113"/>
  <c r="O1434" i="113"/>
  <c r="O1433" i="113"/>
  <c r="O1432" i="113"/>
  <c r="O1431" i="113"/>
  <c r="O1430" i="113"/>
  <c r="O1429" i="113"/>
  <c r="O1428" i="113"/>
  <c r="O1427" i="113"/>
  <c r="O1426" i="113"/>
  <c r="O1425" i="113"/>
  <c r="O1424" i="113"/>
  <c r="O1423" i="113"/>
  <c r="O1422" i="113"/>
  <c r="O1421" i="113"/>
  <c r="O1420" i="113"/>
  <c r="O1419" i="113"/>
  <c r="O1418" i="113"/>
  <c r="O1417" i="113"/>
  <c r="O1416" i="113"/>
  <c r="O1415" i="113"/>
  <c r="O1414" i="113"/>
  <c r="O1413" i="113"/>
  <c r="O1412" i="113"/>
  <c r="O1411" i="113"/>
  <c r="O1410" i="113"/>
  <c r="O1409" i="113"/>
  <c r="O1408" i="113"/>
  <c r="O1407" i="113"/>
  <c r="O1406" i="113"/>
  <c r="O1405" i="113"/>
  <c r="O1404" i="113"/>
  <c r="O1403" i="113"/>
  <c r="O1402" i="113"/>
  <c r="O1401" i="113"/>
  <c r="O1400" i="113"/>
  <c r="O1399" i="113"/>
  <c r="O1398" i="113"/>
  <c r="O1397" i="113"/>
  <c r="O1396" i="113"/>
  <c r="O1395" i="113"/>
  <c r="O1394" i="113"/>
  <c r="O1393" i="113"/>
  <c r="O1392" i="113"/>
  <c r="O1391" i="113"/>
  <c r="O1390" i="113"/>
  <c r="O1389" i="113"/>
  <c r="O1388" i="113"/>
  <c r="O1387" i="113"/>
  <c r="O1386" i="113"/>
  <c r="O1385" i="113"/>
  <c r="O1384" i="113"/>
  <c r="O1383" i="113"/>
  <c r="O1382" i="113"/>
  <c r="O1381" i="113"/>
  <c r="O1380" i="113"/>
  <c r="O1379" i="113"/>
  <c r="O1378" i="113"/>
  <c r="O1377" i="113"/>
  <c r="O1376" i="113"/>
  <c r="O1375" i="113"/>
  <c r="O1374" i="113"/>
  <c r="O1373" i="113"/>
  <c r="O1372" i="113"/>
  <c r="O1371" i="113"/>
  <c r="O1370" i="113"/>
  <c r="O1369" i="113"/>
  <c r="O1368" i="113"/>
  <c r="O1367" i="113"/>
  <c r="O1366" i="113"/>
  <c r="O1365" i="113"/>
  <c r="O1364" i="113"/>
  <c r="O1363" i="113"/>
  <c r="O1362" i="113"/>
  <c r="O1361" i="113"/>
  <c r="O1360" i="113"/>
  <c r="O1359" i="113"/>
  <c r="O1358" i="113"/>
  <c r="O1357" i="113"/>
  <c r="O1356" i="113"/>
  <c r="O1355" i="113"/>
  <c r="O1354" i="113"/>
  <c r="O1353" i="113"/>
  <c r="O1352" i="113"/>
  <c r="O1351" i="113"/>
  <c r="O1350" i="113"/>
  <c r="O1349" i="113"/>
  <c r="O1348" i="113"/>
  <c r="O1347" i="113"/>
  <c r="O1346" i="113"/>
  <c r="O1345" i="113"/>
  <c r="O1344" i="113"/>
  <c r="O1343" i="113"/>
  <c r="O1342" i="113"/>
  <c r="O1341" i="113"/>
  <c r="O1340" i="113"/>
  <c r="O1339" i="113"/>
  <c r="O1338" i="113"/>
  <c r="O1337" i="113"/>
  <c r="O1336" i="113"/>
  <c r="O1335" i="113"/>
  <c r="O1334" i="113"/>
  <c r="O1333" i="113"/>
  <c r="O1332" i="113"/>
  <c r="O1331" i="113"/>
  <c r="O1330" i="113"/>
  <c r="O1329" i="113"/>
  <c r="O1328" i="113"/>
  <c r="O1327" i="113"/>
  <c r="O1326" i="113"/>
  <c r="O1325" i="113"/>
  <c r="O1324" i="113"/>
  <c r="O1323" i="113"/>
  <c r="O1322" i="113"/>
  <c r="O1321" i="113"/>
  <c r="O1320" i="113"/>
  <c r="O1319" i="113"/>
  <c r="O1318" i="113"/>
  <c r="O1317" i="113"/>
  <c r="O1316" i="113"/>
  <c r="O1315" i="113"/>
  <c r="O1314" i="113"/>
  <c r="O1313" i="113"/>
  <c r="O1312" i="113"/>
  <c r="O1311" i="113"/>
  <c r="O1310" i="113"/>
  <c r="O1309" i="113"/>
  <c r="O1308" i="113"/>
  <c r="O1307" i="113"/>
  <c r="O1306" i="113"/>
  <c r="O1305" i="113"/>
  <c r="O1304" i="113"/>
  <c r="O1303" i="113"/>
  <c r="O1302" i="113"/>
  <c r="O1301" i="113"/>
  <c r="O1300" i="113"/>
  <c r="O1299" i="113"/>
  <c r="O1298" i="113"/>
  <c r="O1297" i="113"/>
  <c r="O1296" i="113"/>
  <c r="O1295" i="113"/>
  <c r="O1294" i="113"/>
  <c r="O1293" i="113"/>
  <c r="O1292" i="113"/>
  <c r="O1291" i="113"/>
  <c r="O1290" i="113"/>
  <c r="O1289" i="113"/>
  <c r="O1288" i="113"/>
  <c r="O1287" i="113"/>
  <c r="O1286" i="113"/>
  <c r="O1285" i="113"/>
  <c r="O1284" i="113"/>
  <c r="O1283" i="113"/>
  <c r="O1282" i="113"/>
  <c r="O1281" i="113"/>
  <c r="O1280" i="113"/>
  <c r="O1279" i="113"/>
  <c r="O1278" i="113"/>
  <c r="O1277" i="113"/>
  <c r="O1276" i="113"/>
  <c r="O1275" i="113"/>
  <c r="O1274" i="113"/>
  <c r="O1273" i="113"/>
  <c r="O1272" i="113"/>
  <c r="O1271" i="113"/>
  <c r="O1270" i="113"/>
  <c r="O1269" i="113"/>
  <c r="O1268" i="113"/>
  <c r="O1267" i="113"/>
  <c r="O1266" i="113"/>
  <c r="O1265" i="113"/>
  <c r="O1264" i="113"/>
  <c r="O1263" i="113"/>
  <c r="O1262" i="113"/>
  <c r="O1261" i="113"/>
  <c r="O1260" i="113"/>
  <c r="O1259" i="113"/>
  <c r="O1258" i="113"/>
  <c r="O1257" i="113"/>
  <c r="O1256" i="113"/>
  <c r="O1255" i="113"/>
  <c r="O1254" i="113"/>
  <c r="O1253" i="113"/>
  <c r="O1252" i="113"/>
  <c r="O1251" i="113"/>
  <c r="O1250" i="113"/>
  <c r="O1249" i="113"/>
  <c r="O1248" i="113"/>
  <c r="O1247" i="113"/>
  <c r="O1246" i="113"/>
  <c r="O1245" i="113"/>
  <c r="O1244" i="113"/>
  <c r="O1243" i="113"/>
  <c r="O1242" i="113"/>
  <c r="O1241" i="113"/>
  <c r="O1240" i="113"/>
  <c r="O1239" i="113"/>
  <c r="O1238" i="113"/>
  <c r="O1237" i="113"/>
  <c r="O1236" i="113"/>
  <c r="O1235" i="113"/>
  <c r="O1234" i="113"/>
  <c r="O1233" i="113"/>
  <c r="O1232" i="113"/>
  <c r="O1231" i="113"/>
  <c r="O1230" i="113"/>
  <c r="O1229" i="113"/>
  <c r="O1228" i="113"/>
  <c r="O1227" i="113"/>
  <c r="O1226" i="113"/>
  <c r="O1225" i="113"/>
  <c r="O1224" i="113"/>
  <c r="O1223" i="113"/>
  <c r="O1222" i="113"/>
  <c r="O1221" i="113"/>
  <c r="O1220" i="113"/>
  <c r="O1219" i="113"/>
  <c r="O1218" i="113"/>
  <c r="O1217" i="113"/>
  <c r="O1216" i="113"/>
  <c r="O1215" i="113"/>
  <c r="O1214" i="113"/>
  <c r="O1213" i="113"/>
  <c r="O1212" i="113"/>
  <c r="O1211" i="113"/>
  <c r="O1210" i="113"/>
  <c r="O1209" i="113"/>
  <c r="O1208" i="113"/>
  <c r="O1207" i="113"/>
  <c r="O1206" i="113"/>
  <c r="O1205" i="113"/>
  <c r="O1204" i="113"/>
  <c r="O1203" i="113"/>
  <c r="O1202" i="113"/>
  <c r="O1201" i="113"/>
  <c r="O1200" i="113"/>
  <c r="O1199" i="113"/>
  <c r="O1198" i="113"/>
  <c r="O1197" i="113"/>
  <c r="O1196" i="113"/>
  <c r="O1195" i="113"/>
  <c r="O1194" i="113"/>
  <c r="O1193" i="113"/>
  <c r="O1192" i="113"/>
  <c r="O1191" i="113"/>
  <c r="O1190" i="113"/>
  <c r="O1189" i="113"/>
  <c r="O1188" i="113"/>
  <c r="O1187" i="113"/>
  <c r="O1186" i="113"/>
  <c r="O1185" i="113"/>
  <c r="O1184" i="113"/>
  <c r="O1183" i="113"/>
  <c r="O1182" i="113"/>
  <c r="O1181" i="113"/>
  <c r="O1180" i="113"/>
  <c r="O1179" i="113"/>
  <c r="O1178" i="113"/>
  <c r="O1177" i="113"/>
  <c r="O1176" i="113"/>
  <c r="O1175" i="113"/>
  <c r="O1174" i="113"/>
  <c r="O1173" i="113"/>
  <c r="O1172" i="113"/>
  <c r="O1171" i="113"/>
  <c r="O1170" i="113"/>
  <c r="O1169" i="113"/>
  <c r="O1168" i="113"/>
  <c r="O1167" i="113"/>
  <c r="O1166" i="113"/>
  <c r="O1165" i="113"/>
  <c r="O1164" i="113"/>
  <c r="O1163" i="113"/>
  <c r="O1162" i="113"/>
  <c r="O1161" i="113"/>
  <c r="O1160" i="113"/>
  <c r="O1159" i="113"/>
  <c r="O1158" i="113"/>
  <c r="O1157" i="113"/>
  <c r="O1156" i="113"/>
  <c r="O1155" i="113"/>
  <c r="O1154" i="113"/>
  <c r="O1153" i="113"/>
  <c r="O1152" i="113"/>
  <c r="O1151" i="113"/>
  <c r="O1150" i="113"/>
  <c r="O1149" i="113"/>
  <c r="O1148" i="113"/>
  <c r="O1147" i="113"/>
  <c r="O1146" i="113"/>
  <c r="O1145" i="113"/>
  <c r="O1144" i="113"/>
  <c r="O1143" i="113"/>
  <c r="O1142" i="113"/>
  <c r="O1141" i="113"/>
  <c r="O1140" i="113"/>
  <c r="O1139" i="113"/>
  <c r="O1138" i="113"/>
  <c r="O1137" i="113"/>
  <c r="O1136" i="113"/>
  <c r="O1135" i="113"/>
  <c r="O1134" i="113"/>
  <c r="O1133" i="113"/>
  <c r="O1132" i="113"/>
  <c r="O1131" i="113"/>
  <c r="O1130" i="113"/>
  <c r="O1129" i="113"/>
  <c r="O1128" i="113"/>
  <c r="O1127" i="113"/>
  <c r="O1126" i="113"/>
  <c r="O1125" i="113"/>
  <c r="O1124" i="113"/>
  <c r="O1123" i="113"/>
  <c r="O1122" i="113"/>
  <c r="O1121" i="113"/>
  <c r="O1120" i="113"/>
  <c r="O1119" i="113"/>
  <c r="O1118" i="113"/>
  <c r="O1117" i="113"/>
  <c r="O1116" i="113"/>
  <c r="O1115" i="113"/>
  <c r="O1114" i="113"/>
  <c r="O1113" i="113"/>
  <c r="O1112" i="113"/>
  <c r="O1111" i="113"/>
  <c r="O1110" i="113"/>
  <c r="O1109" i="113"/>
  <c r="O1108" i="113"/>
  <c r="O1107" i="113"/>
  <c r="O1106" i="113"/>
  <c r="O1105" i="113"/>
  <c r="O1104" i="113"/>
  <c r="O1103" i="113"/>
  <c r="O1102" i="113"/>
  <c r="O1101" i="113"/>
  <c r="O1100" i="113"/>
  <c r="O1099" i="113"/>
  <c r="O1098" i="113"/>
  <c r="O1097" i="113"/>
  <c r="O1096" i="113"/>
  <c r="O1095" i="113"/>
  <c r="O1094" i="113"/>
  <c r="O1093" i="113"/>
  <c r="O1092" i="113"/>
  <c r="O1091" i="113"/>
  <c r="O1090" i="113"/>
  <c r="O1089" i="113"/>
  <c r="O1088" i="113"/>
  <c r="O1087" i="113"/>
  <c r="O1086" i="113"/>
  <c r="O1085" i="113"/>
  <c r="O1084" i="113"/>
  <c r="O1083" i="113"/>
  <c r="O1082" i="113"/>
  <c r="O1081" i="113"/>
  <c r="O1080" i="113"/>
  <c r="O1079" i="113"/>
  <c r="O1078" i="113"/>
  <c r="O1077" i="113"/>
  <c r="O1076" i="113"/>
  <c r="O1075" i="113"/>
  <c r="O1074" i="113"/>
  <c r="O1073" i="113"/>
  <c r="O1072" i="113"/>
  <c r="O1071" i="113"/>
  <c r="O1070" i="113"/>
  <c r="O1069" i="113"/>
  <c r="O1068" i="113"/>
  <c r="O1067" i="113"/>
  <c r="O1066" i="113"/>
  <c r="O1065" i="113"/>
  <c r="O1064" i="113"/>
  <c r="O1063" i="113"/>
  <c r="O1062" i="113"/>
  <c r="O1061" i="113"/>
  <c r="O1060" i="113"/>
  <c r="O1059" i="113"/>
  <c r="O1058" i="113"/>
  <c r="O1057" i="113"/>
  <c r="O1056" i="113"/>
  <c r="O1055" i="113"/>
  <c r="O1054" i="113"/>
  <c r="O1053" i="113"/>
  <c r="O1052" i="113"/>
  <c r="O1051" i="113"/>
  <c r="O1050" i="113"/>
  <c r="O1049" i="113"/>
  <c r="O1048" i="113"/>
  <c r="O1047" i="113"/>
  <c r="O1046" i="113"/>
  <c r="O1045" i="113"/>
  <c r="O1044" i="113"/>
  <c r="O1043" i="113"/>
  <c r="O1042" i="113"/>
  <c r="O1041" i="113"/>
  <c r="O1040" i="113"/>
  <c r="O1039" i="113"/>
  <c r="O1038" i="113"/>
  <c r="O1037" i="113"/>
  <c r="O1036" i="113"/>
  <c r="O1035" i="113"/>
  <c r="O1034" i="113"/>
  <c r="O1033" i="113"/>
  <c r="O1032" i="113"/>
  <c r="O1031" i="113"/>
  <c r="O1030" i="113"/>
  <c r="O1029" i="113"/>
  <c r="O1028" i="113"/>
  <c r="O1027" i="113"/>
  <c r="O1026" i="113"/>
  <c r="O1025" i="113"/>
  <c r="O1024" i="113"/>
  <c r="O1023" i="113"/>
  <c r="O1022" i="113"/>
  <c r="O1021" i="113"/>
  <c r="O1020" i="113"/>
  <c r="O1019" i="113"/>
  <c r="O1018" i="113"/>
  <c r="O1017" i="113"/>
  <c r="O1016" i="113"/>
  <c r="O1015" i="113"/>
  <c r="O1014" i="113"/>
  <c r="O1013" i="113"/>
  <c r="O1012" i="113"/>
  <c r="O1011" i="113"/>
  <c r="O1010" i="113"/>
  <c r="O1009" i="113"/>
  <c r="O1008" i="113"/>
  <c r="O1007" i="113"/>
  <c r="O1006" i="113"/>
  <c r="O1005" i="113"/>
  <c r="O1004" i="113"/>
  <c r="O1003" i="113"/>
  <c r="O1002" i="113"/>
  <c r="O1001" i="113"/>
  <c r="O1000" i="113"/>
  <c r="O999" i="113"/>
  <c r="O998" i="113"/>
  <c r="O997" i="113"/>
  <c r="O996" i="113"/>
  <c r="O995" i="113"/>
  <c r="O994" i="113"/>
  <c r="O993" i="113"/>
  <c r="O992" i="113"/>
  <c r="O991" i="113"/>
  <c r="O990" i="113"/>
  <c r="O989" i="113"/>
  <c r="O988" i="113"/>
  <c r="O987" i="113"/>
  <c r="O986" i="113"/>
  <c r="O985" i="113"/>
  <c r="O984" i="113"/>
  <c r="O983" i="113"/>
  <c r="O982" i="113"/>
  <c r="O981" i="113"/>
  <c r="O980" i="113"/>
  <c r="O979" i="113"/>
  <c r="O978" i="113"/>
  <c r="O977" i="113"/>
  <c r="O976" i="113"/>
  <c r="O975" i="113"/>
  <c r="O974" i="113"/>
  <c r="O973" i="113"/>
  <c r="O972" i="113"/>
  <c r="O971" i="113"/>
  <c r="O970" i="113"/>
  <c r="O969" i="113"/>
  <c r="O968" i="113"/>
  <c r="O967" i="113"/>
  <c r="O966" i="113"/>
  <c r="O965" i="113"/>
  <c r="O964" i="113"/>
  <c r="O963" i="113"/>
  <c r="O962" i="113"/>
  <c r="O961" i="113"/>
  <c r="O960" i="113"/>
  <c r="O959" i="113"/>
  <c r="O958" i="113"/>
  <c r="O957" i="113"/>
  <c r="O956" i="113"/>
  <c r="O955" i="113"/>
  <c r="O954" i="113"/>
  <c r="O953" i="113"/>
  <c r="O952" i="113"/>
  <c r="O951" i="113"/>
  <c r="O950" i="113"/>
  <c r="O949" i="113"/>
  <c r="O948" i="113"/>
  <c r="O947" i="113"/>
  <c r="O946" i="113"/>
  <c r="O945" i="113"/>
  <c r="O944" i="113"/>
  <c r="O943" i="113"/>
  <c r="O942" i="113"/>
  <c r="O941" i="113"/>
  <c r="O940" i="113"/>
  <c r="O939" i="113"/>
  <c r="O938" i="113"/>
  <c r="O937" i="113"/>
  <c r="O936" i="113"/>
  <c r="O935" i="113"/>
  <c r="O934" i="113"/>
  <c r="O933" i="113"/>
  <c r="O932" i="113"/>
  <c r="O931" i="113"/>
  <c r="O930" i="113"/>
  <c r="O929" i="113"/>
  <c r="O928" i="113"/>
  <c r="O927" i="113"/>
  <c r="O926" i="113"/>
  <c r="O925" i="113"/>
  <c r="O924" i="113"/>
  <c r="O923" i="113"/>
  <c r="O922" i="113"/>
  <c r="O921" i="113"/>
  <c r="O920" i="113"/>
  <c r="O919" i="113"/>
  <c r="O918" i="113"/>
  <c r="O917" i="113"/>
  <c r="O916" i="113"/>
  <c r="O915" i="113"/>
  <c r="O914" i="113"/>
  <c r="O913" i="113"/>
  <c r="O912" i="113"/>
  <c r="O911" i="113"/>
  <c r="O910" i="113"/>
  <c r="O909" i="113"/>
  <c r="O908" i="113"/>
  <c r="O907" i="113"/>
  <c r="O906" i="113"/>
  <c r="O905" i="113"/>
  <c r="O904" i="113"/>
  <c r="O903" i="113"/>
  <c r="O902" i="113"/>
  <c r="O901" i="113"/>
  <c r="O900" i="113"/>
  <c r="O899" i="113"/>
  <c r="O898" i="113"/>
  <c r="O897" i="113"/>
  <c r="O896" i="113"/>
  <c r="O895" i="113"/>
  <c r="O894" i="113"/>
  <c r="O893" i="113"/>
  <c r="O892" i="113"/>
  <c r="O891" i="113"/>
  <c r="O890" i="113"/>
  <c r="O889" i="113"/>
  <c r="O888" i="113"/>
  <c r="O887" i="113"/>
  <c r="O886" i="113"/>
  <c r="O885" i="113"/>
  <c r="O884" i="113"/>
  <c r="O883" i="113"/>
  <c r="O882" i="113"/>
  <c r="O881" i="113"/>
  <c r="O880" i="113"/>
  <c r="O879" i="113"/>
  <c r="O878" i="113"/>
  <c r="O877" i="113"/>
  <c r="O876" i="113"/>
  <c r="O875" i="113"/>
  <c r="O874" i="113"/>
  <c r="O873" i="113"/>
  <c r="O872" i="113"/>
  <c r="O871" i="113"/>
  <c r="O870" i="113"/>
  <c r="O869" i="113"/>
  <c r="O868" i="113"/>
  <c r="O867" i="113"/>
  <c r="O866" i="113"/>
  <c r="O865" i="113"/>
  <c r="O864" i="113"/>
  <c r="O863" i="113"/>
  <c r="O862" i="113"/>
  <c r="O861" i="113"/>
  <c r="O860" i="113"/>
  <c r="O859" i="113"/>
  <c r="O858" i="113"/>
  <c r="O857" i="113"/>
  <c r="O856" i="113"/>
  <c r="O855" i="113"/>
  <c r="O854" i="113"/>
  <c r="O853" i="113"/>
  <c r="O852" i="113"/>
  <c r="O851" i="113"/>
  <c r="O850" i="113"/>
  <c r="O849" i="113"/>
  <c r="O848" i="113"/>
  <c r="O847" i="113"/>
  <c r="O846" i="113"/>
  <c r="O845" i="113"/>
  <c r="O844" i="113"/>
  <c r="O843" i="113"/>
  <c r="O842" i="113"/>
  <c r="O841" i="113"/>
  <c r="O840" i="113"/>
  <c r="O839" i="113"/>
  <c r="O838" i="113"/>
  <c r="O837" i="113"/>
  <c r="O836" i="113"/>
  <c r="O835" i="113"/>
  <c r="O834" i="113"/>
  <c r="O833" i="113"/>
  <c r="O832" i="113"/>
  <c r="O831" i="113"/>
  <c r="O830" i="113"/>
  <c r="O829" i="113"/>
  <c r="O828" i="113"/>
  <c r="O827" i="113"/>
  <c r="O826" i="113"/>
  <c r="O825" i="113"/>
  <c r="O824" i="113"/>
  <c r="O823" i="113"/>
  <c r="O822" i="113"/>
  <c r="O821" i="113"/>
  <c r="O820" i="113"/>
  <c r="O819" i="113"/>
  <c r="O818" i="113"/>
  <c r="O817" i="113"/>
  <c r="O816" i="113"/>
  <c r="O815" i="113"/>
  <c r="O814" i="113"/>
  <c r="O813" i="113"/>
  <c r="O812" i="113"/>
  <c r="O811" i="113"/>
  <c r="O810" i="113"/>
  <c r="O809" i="113"/>
  <c r="O808" i="113"/>
  <c r="O807" i="113"/>
  <c r="O806" i="113"/>
  <c r="O805" i="113"/>
  <c r="O804" i="113"/>
  <c r="O803" i="113"/>
  <c r="O802" i="113"/>
  <c r="O801" i="113"/>
  <c r="O800" i="113"/>
  <c r="O799" i="113"/>
  <c r="O798" i="113"/>
  <c r="O797" i="113"/>
  <c r="O796" i="113"/>
  <c r="O795" i="113"/>
  <c r="O794" i="113"/>
  <c r="O793" i="113"/>
  <c r="O792" i="113"/>
  <c r="O791" i="113"/>
  <c r="O790" i="113"/>
  <c r="O789" i="113"/>
  <c r="O788" i="113"/>
  <c r="O787" i="113"/>
  <c r="O786" i="113"/>
  <c r="O785" i="113"/>
  <c r="O784" i="113"/>
  <c r="O783" i="113"/>
  <c r="O782" i="113"/>
  <c r="O781" i="113"/>
  <c r="O780" i="113"/>
  <c r="O779" i="113"/>
  <c r="O778" i="113"/>
  <c r="O777" i="113"/>
  <c r="O776" i="113"/>
  <c r="O775" i="113"/>
  <c r="O774" i="113"/>
  <c r="O773" i="113"/>
  <c r="O772" i="113"/>
  <c r="O771" i="113"/>
  <c r="O770" i="113"/>
  <c r="O769" i="113"/>
  <c r="O768" i="113"/>
  <c r="O767" i="113"/>
  <c r="O766" i="113"/>
  <c r="O765" i="113"/>
  <c r="O764" i="113"/>
  <c r="O763" i="113"/>
  <c r="O762" i="113"/>
  <c r="O761" i="113"/>
  <c r="O760" i="113"/>
  <c r="O759" i="113"/>
  <c r="O758" i="113"/>
  <c r="O757" i="113"/>
  <c r="O756" i="113"/>
  <c r="O755" i="113"/>
  <c r="O754" i="113"/>
  <c r="O753" i="113"/>
  <c r="O752" i="113"/>
  <c r="O751" i="113"/>
  <c r="O750" i="113"/>
  <c r="O749" i="113"/>
  <c r="O748" i="113"/>
  <c r="O747" i="113"/>
  <c r="O746" i="113"/>
  <c r="O745" i="113"/>
  <c r="O744" i="113"/>
  <c r="O743" i="113"/>
  <c r="O742" i="113"/>
  <c r="O741" i="113"/>
  <c r="O740" i="113"/>
  <c r="O739" i="113"/>
  <c r="O738" i="113"/>
  <c r="O737" i="113"/>
  <c r="O736" i="113"/>
  <c r="O735" i="113"/>
  <c r="O734" i="113"/>
  <c r="O733" i="113"/>
  <c r="O732" i="113"/>
  <c r="O731" i="113"/>
  <c r="O730" i="113"/>
  <c r="O729" i="113"/>
  <c r="O728" i="113"/>
  <c r="O727" i="113"/>
  <c r="O726" i="113"/>
  <c r="O725" i="113"/>
  <c r="O724" i="113"/>
  <c r="O723" i="113"/>
  <c r="O722" i="113"/>
  <c r="O721" i="113"/>
  <c r="O720" i="113"/>
  <c r="O719" i="113"/>
  <c r="O718" i="113"/>
  <c r="O717" i="113"/>
  <c r="O716" i="113"/>
  <c r="O715" i="113"/>
  <c r="O714" i="113"/>
  <c r="O713" i="113"/>
  <c r="O712" i="113"/>
  <c r="O711" i="113"/>
  <c r="O710" i="113"/>
  <c r="O709" i="113"/>
  <c r="O708" i="113"/>
  <c r="O707" i="113"/>
  <c r="O706" i="113"/>
  <c r="O705" i="113"/>
  <c r="O704" i="113"/>
  <c r="O703" i="113"/>
  <c r="O702" i="113"/>
  <c r="O701" i="113"/>
  <c r="O700" i="113"/>
  <c r="O699" i="113"/>
  <c r="O698" i="113"/>
  <c r="O697" i="113"/>
  <c r="O696" i="113"/>
  <c r="O695" i="113"/>
  <c r="O694" i="113"/>
  <c r="O693" i="113"/>
  <c r="O692" i="113"/>
  <c r="O691" i="113"/>
  <c r="O690" i="113"/>
  <c r="O689" i="113"/>
  <c r="O688" i="113"/>
  <c r="O687" i="113"/>
  <c r="O686" i="113"/>
  <c r="O685" i="113"/>
  <c r="O684" i="113"/>
  <c r="O683" i="113"/>
  <c r="O682" i="113"/>
  <c r="O681" i="113"/>
  <c r="O680" i="113"/>
  <c r="O679" i="113"/>
  <c r="O678" i="113"/>
  <c r="O677" i="113"/>
  <c r="O676" i="113"/>
  <c r="O675" i="113"/>
  <c r="O674" i="113"/>
  <c r="O673" i="113"/>
  <c r="O672" i="113"/>
  <c r="O671" i="113"/>
  <c r="O670" i="113"/>
  <c r="O669" i="113"/>
  <c r="O668" i="113"/>
  <c r="O667" i="113"/>
  <c r="O666" i="113"/>
  <c r="O665" i="113"/>
  <c r="O664" i="113"/>
  <c r="O663" i="113"/>
  <c r="O662" i="113"/>
  <c r="O661" i="113"/>
  <c r="O660" i="113"/>
  <c r="O659" i="113"/>
  <c r="O658" i="113"/>
  <c r="O657" i="113"/>
  <c r="O656" i="113"/>
  <c r="O655" i="113"/>
  <c r="O654" i="113"/>
  <c r="O653" i="113"/>
  <c r="O652" i="113"/>
  <c r="O651" i="113"/>
  <c r="O650" i="113"/>
  <c r="O649" i="113"/>
  <c r="O648" i="113"/>
  <c r="O647" i="113"/>
  <c r="O646" i="113"/>
  <c r="O645" i="113"/>
  <c r="O644" i="113"/>
  <c r="O643" i="113"/>
  <c r="O642" i="113"/>
  <c r="O641" i="113"/>
  <c r="O640" i="113"/>
  <c r="O639" i="113"/>
  <c r="O638" i="113"/>
  <c r="O637" i="113"/>
  <c r="O636" i="113"/>
  <c r="O635" i="113"/>
  <c r="O634" i="113"/>
  <c r="O633" i="113"/>
  <c r="O632" i="113"/>
  <c r="O631" i="113"/>
  <c r="O630" i="113"/>
  <c r="O629" i="113"/>
  <c r="O628" i="113"/>
  <c r="O627" i="113"/>
  <c r="O626" i="113"/>
  <c r="O625" i="113"/>
  <c r="O624" i="113"/>
  <c r="O623" i="113"/>
  <c r="O622" i="113"/>
  <c r="O621" i="113"/>
  <c r="O620" i="113"/>
  <c r="O619" i="113"/>
  <c r="O618" i="113"/>
  <c r="O617" i="113"/>
  <c r="O616" i="113"/>
  <c r="O615" i="113"/>
  <c r="O614" i="113"/>
  <c r="O613" i="113"/>
  <c r="O612" i="113"/>
  <c r="O611" i="113"/>
  <c r="O610" i="113"/>
  <c r="O609" i="113"/>
  <c r="O608" i="113"/>
  <c r="O607" i="113"/>
  <c r="O606" i="113"/>
  <c r="O605" i="113"/>
  <c r="O604" i="113"/>
  <c r="O603" i="113"/>
  <c r="O602" i="113"/>
  <c r="O601" i="113"/>
  <c r="O600" i="113"/>
  <c r="O599" i="113"/>
  <c r="O598" i="113"/>
  <c r="O597" i="113"/>
  <c r="O596" i="113"/>
  <c r="O595" i="113"/>
  <c r="O594" i="113"/>
  <c r="O593" i="113"/>
  <c r="O592" i="113"/>
  <c r="O591" i="113"/>
  <c r="O590" i="113"/>
  <c r="O589" i="113"/>
  <c r="O588" i="113"/>
  <c r="O587" i="113"/>
  <c r="O586" i="113"/>
  <c r="O585" i="113"/>
  <c r="O584" i="113"/>
  <c r="O583" i="113"/>
  <c r="O582" i="113"/>
  <c r="O581" i="113"/>
  <c r="O580" i="113"/>
  <c r="O579" i="113"/>
  <c r="O578" i="113"/>
  <c r="O577" i="113"/>
  <c r="O576" i="113"/>
  <c r="O575" i="113"/>
  <c r="O574" i="113"/>
  <c r="O573" i="113"/>
  <c r="O572" i="113"/>
  <c r="O571" i="113"/>
  <c r="O570" i="113"/>
  <c r="O569" i="113"/>
  <c r="O568" i="113"/>
  <c r="O567" i="113"/>
  <c r="O566" i="113"/>
  <c r="O565" i="113"/>
  <c r="O564" i="113"/>
  <c r="O563" i="113"/>
  <c r="O562" i="113"/>
  <c r="O561" i="113"/>
  <c r="O560" i="113"/>
  <c r="O559" i="113"/>
  <c r="O558" i="113"/>
  <c r="O557" i="113"/>
  <c r="O556" i="113"/>
  <c r="O555" i="113"/>
  <c r="O554" i="113"/>
  <c r="O553" i="113"/>
  <c r="O552" i="113"/>
  <c r="O551" i="113"/>
  <c r="O550" i="113"/>
  <c r="O549" i="113"/>
  <c r="O548" i="113"/>
  <c r="O547" i="113"/>
  <c r="O546" i="113"/>
  <c r="O545" i="113"/>
  <c r="O544" i="113"/>
  <c r="O543" i="113"/>
  <c r="O542" i="113"/>
  <c r="O541" i="113"/>
  <c r="O540" i="113"/>
  <c r="O539" i="113"/>
  <c r="O538" i="113"/>
  <c r="O537" i="113"/>
  <c r="O536" i="113"/>
  <c r="O535" i="113"/>
  <c r="O534" i="113"/>
  <c r="O533" i="113"/>
  <c r="O532" i="113"/>
  <c r="O531" i="113"/>
  <c r="O530" i="113"/>
  <c r="O529" i="113"/>
  <c r="O528" i="113"/>
  <c r="O527" i="113"/>
  <c r="O526" i="113"/>
  <c r="O525" i="113"/>
  <c r="O524" i="113"/>
  <c r="O523" i="113"/>
  <c r="O522" i="113"/>
  <c r="O521" i="113"/>
  <c r="O520" i="113"/>
  <c r="O519" i="113"/>
  <c r="O518" i="113"/>
  <c r="O517" i="113"/>
  <c r="O516" i="113"/>
  <c r="O515" i="113"/>
  <c r="O514" i="113"/>
  <c r="O513" i="113"/>
  <c r="O512" i="113"/>
  <c r="O511" i="113"/>
  <c r="O510" i="113"/>
  <c r="O509" i="113"/>
  <c r="O508" i="113"/>
  <c r="O507" i="113"/>
  <c r="O506" i="113"/>
  <c r="O505" i="113"/>
  <c r="O504" i="113"/>
  <c r="O503" i="113"/>
  <c r="O502" i="113"/>
  <c r="O501" i="113"/>
  <c r="O500" i="113"/>
  <c r="O499" i="113"/>
  <c r="O498" i="113"/>
  <c r="O497" i="113"/>
  <c r="O496" i="113"/>
  <c r="O495" i="113"/>
  <c r="O494" i="113"/>
  <c r="O493" i="113"/>
  <c r="O492" i="113"/>
  <c r="O491" i="113"/>
  <c r="O490" i="113"/>
  <c r="O489" i="113"/>
  <c r="O488" i="113"/>
  <c r="O487" i="113"/>
  <c r="O486" i="113"/>
  <c r="O485" i="113"/>
  <c r="O484" i="113"/>
  <c r="O483" i="113"/>
  <c r="O482" i="113"/>
  <c r="O481" i="113"/>
  <c r="O480" i="113"/>
  <c r="O479" i="113"/>
  <c r="O478" i="113"/>
  <c r="O477" i="113"/>
  <c r="O476" i="113"/>
  <c r="O475" i="113"/>
  <c r="O474" i="113"/>
  <c r="O473" i="113"/>
  <c r="O472" i="113"/>
  <c r="O471" i="113"/>
  <c r="O470" i="113"/>
  <c r="O469" i="113"/>
  <c r="O468" i="113"/>
  <c r="O467" i="113"/>
  <c r="O466" i="113"/>
  <c r="O465" i="113"/>
  <c r="O464" i="113"/>
  <c r="O463" i="113"/>
  <c r="O462" i="113"/>
  <c r="O461" i="113"/>
  <c r="O460" i="113"/>
  <c r="O459" i="113"/>
  <c r="O458" i="113"/>
  <c r="O457" i="113"/>
  <c r="O456" i="113"/>
  <c r="O455" i="113"/>
  <c r="O454" i="113"/>
  <c r="O453" i="113"/>
  <c r="O452" i="113"/>
  <c r="O451" i="113"/>
  <c r="O450" i="113"/>
  <c r="O449" i="113"/>
  <c r="O448" i="113"/>
  <c r="O447" i="113"/>
  <c r="O446" i="113"/>
  <c r="O445" i="113"/>
  <c r="O444" i="113"/>
  <c r="O443" i="113"/>
  <c r="O442" i="113"/>
  <c r="O441" i="113"/>
  <c r="O440" i="113"/>
  <c r="O439" i="113"/>
  <c r="O438" i="113"/>
  <c r="O437" i="113"/>
  <c r="O436" i="113"/>
  <c r="O435" i="113"/>
  <c r="O434" i="113"/>
  <c r="O433" i="113"/>
  <c r="O432" i="113"/>
  <c r="O431" i="113"/>
  <c r="O430" i="113"/>
  <c r="O429" i="113"/>
  <c r="O428" i="113"/>
  <c r="O427" i="113"/>
  <c r="O426" i="113"/>
  <c r="O425" i="113"/>
  <c r="O424" i="113"/>
  <c r="O423" i="113"/>
  <c r="O422" i="113"/>
  <c r="O421" i="113"/>
  <c r="O420" i="113"/>
  <c r="O419" i="113"/>
  <c r="O418" i="113"/>
  <c r="O417" i="113"/>
  <c r="O416" i="113"/>
  <c r="O415" i="113"/>
  <c r="O414" i="113"/>
  <c r="O413" i="113"/>
  <c r="O412" i="113"/>
  <c r="O411" i="113"/>
  <c r="O410" i="113"/>
  <c r="O409" i="113"/>
  <c r="O408" i="113"/>
  <c r="O407" i="113"/>
  <c r="O406" i="113"/>
  <c r="O405" i="113"/>
  <c r="O404" i="113"/>
  <c r="O403" i="113"/>
  <c r="O402" i="113"/>
  <c r="O401" i="113"/>
  <c r="O400" i="113"/>
  <c r="O399" i="113"/>
  <c r="O398" i="113"/>
  <c r="O397" i="113"/>
  <c r="O396" i="113"/>
  <c r="O395" i="113"/>
  <c r="O394" i="113"/>
  <c r="O393" i="113"/>
  <c r="O392" i="113"/>
  <c r="O391" i="113"/>
  <c r="O390" i="113"/>
  <c r="O389" i="113"/>
  <c r="O388" i="113"/>
  <c r="O387" i="113"/>
  <c r="O386" i="113"/>
  <c r="O385" i="113"/>
  <c r="O384" i="113"/>
  <c r="O383" i="113"/>
  <c r="O382" i="113"/>
  <c r="O381" i="113"/>
  <c r="O380" i="113"/>
  <c r="O379" i="113"/>
  <c r="O378" i="113"/>
  <c r="O377" i="113"/>
  <c r="O376" i="113"/>
  <c r="O375" i="113"/>
  <c r="O374" i="113"/>
  <c r="O373" i="113"/>
  <c r="O372" i="113"/>
  <c r="O371" i="113"/>
  <c r="O370" i="113"/>
  <c r="O369" i="113"/>
  <c r="O368" i="113"/>
  <c r="O367" i="113"/>
  <c r="O366" i="113"/>
  <c r="O365" i="113"/>
  <c r="O364" i="113"/>
  <c r="O363" i="113"/>
  <c r="O362" i="113"/>
  <c r="O361" i="113"/>
  <c r="O360" i="113"/>
  <c r="O359" i="113"/>
  <c r="O358" i="113"/>
  <c r="O357" i="113"/>
  <c r="O356" i="113"/>
  <c r="O355" i="113"/>
  <c r="O354" i="113"/>
  <c r="O353" i="113"/>
  <c r="O352" i="113"/>
  <c r="O351" i="113"/>
  <c r="O350" i="113"/>
  <c r="O349" i="113"/>
  <c r="O348" i="113"/>
  <c r="O347" i="113"/>
  <c r="O346" i="113"/>
  <c r="O345" i="113"/>
  <c r="O344" i="113"/>
  <c r="O343" i="113"/>
  <c r="O342" i="113"/>
  <c r="O341" i="113"/>
  <c r="O340" i="113"/>
  <c r="O339" i="113"/>
  <c r="O338" i="113"/>
  <c r="O337" i="113"/>
  <c r="O336" i="113"/>
  <c r="O335" i="113"/>
  <c r="O334" i="113"/>
  <c r="O333" i="113"/>
  <c r="O332" i="113"/>
  <c r="O331" i="113"/>
  <c r="O330" i="113"/>
  <c r="O329" i="113"/>
  <c r="O328" i="113"/>
  <c r="O327" i="113"/>
  <c r="O326" i="113"/>
  <c r="O325" i="113"/>
  <c r="O324" i="113"/>
  <c r="O323" i="113"/>
  <c r="O322" i="113"/>
  <c r="O321" i="113"/>
  <c r="O320" i="113"/>
  <c r="O319" i="113"/>
  <c r="O318" i="113"/>
  <c r="O317" i="113"/>
  <c r="O316" i="113"/>
  <c r="O315" i="113"/>
  <c r="O314" i="113"/>
  <c r="O313" i="113"/>
  <c r="O312" i="113"/>
  <c r="O311" i="113"/>
  <c r="O310" i="113"/>
  <c r="O309" i="113"/>
  <c r="O308" i="113"/>
  <c r="O307" i="113"/>
  <c r="O306" i="113"/>
  <c r="O305" i="113"/>
  <c r="O304" i="113"/>
  <c r="O303" i="113"/>
  <c r="O302" i="113"/>
  <c r="O301" i="113"/>
  <c r="O300" i="113"/>
  <c r="O299" i="113"/>
  <c r="O298" i="113"/>
  <c r="O297" i="113"/>
  <c r="O296" i="113"/>
  <c r="O295" i="113"/>
  <c r="O294" i="113"/>
  <c r="O293" i="113"/>
  <c r="O292" i="113"/>
  <c r="O291" i="113"/>
  <c r="O290" i="113"/>
  <c r="O289" i="113"/>
  <c r="O288" i="113"/>
  <c r="O287" i="113"/>
  <c r="O286" i="113"/>
  <c r="O285" i="113"/>
  <c r="O284" i="113"/>
  <c r="O283" i="113"/>
  <c r="O282" i="113"/>
  <c r="O281" i="113"/>
  <c r="O280" i="113"/>
  <c r="O279" i="113"/>
  <c r="O278" i="113"/>
  <c r="O277" i="113"/>
  <c r="O276" i="113"/>
  <c r="O275" i="113"/>
  <c r="O274" i="113"/>
  <c r="O273" i="113"/>
  <c r="O272" i="113"/>
  <c r="O271" i="113"/>
  <c r="O270" i="113"/>
  <c r="O269" i="113"/>
  <c r="O268" i="113"/>
  <c r="O267" i="113"/>
  <c r="O266" i="113"/>
  <c r="O265" i="113"/>
  <c r="O264" i="113"/>
  <c r="O263" i="113"/>
  <c r="O262" i="113"/>
  <c r="O261" i="113"/>
  <c r="O260" i="113"/>
  <c r="O259" i="113"/>
  <c r="O258" i="113"/>
  <c r="O257" i="113"/>
  <c r="O256" i="113"/>
  <c r="O255" i="113"/>
  <c r="O254" i="113"/>
  <c r="O253" i="113"/>
  <c r="O252" i="113"/>
  <c r="O251" i="113"/>
  <c r="O250" i="113"/>
  <c r="O249" i="113"/>
  <c r="O248" i="113"/>
  <c r="O247" i="113"/>
  <c r="O246" i="113"/>
  <c r="O245" i="113"/>
  <c r="O244" i="113"/>
  <c r="O243" i="113"/>
  <c r="O242" i="113"/>
  <c r="O241" i="113"/>
  <c r="O240" i="113"/>
  <c r="O239" i="113"/>
  <c r="O238" i="113"/>
  <c r="O237" i="113"/>
  <c r="O236" i="113"/>
  <c r="O235" i="113"/>
  <c r="O234" i="113"/>
  <c r="O233" i="113"/>
  <c r="O232" i="113"/>
  <c r="O231" i="113"/>
  <c r="O230" i="113"/>
  <c r="O229" i="113"/>
  <c r="O228" i="113"/>
  <c r="O227" i="113"/>
  <c r="O226" i="113"/>
  <c r="O225" i="113"/>
  <c r="O224" i="113"/>
  <c r="O223" i="113"/>
  <c r="O222" i="113"/>
  <c r="O221" i="113"/>
  <c r="O220" i="113"/>
  <c r="O219" i="113"/>
  <c r="O218" i="113"/>
  <c r="O217" i="113"/>
  <c r="O216" i="113"/>
  <c r="O215" i="113"/>
  <c r="O214" i="113"/>
  <c r="O213" i="113"/>
  <c r="O212" i="113"/>
  <c r="O211" i="113"/>
  <c r="O210" i="113"/>
  <c r="O209" i="113"/>
  <c r="O208" i="113"/>
  <c r="O207" i="113"/>
  <c r="O206" i="113"/>
  <c r="O205" i="113"/>
  <c r="O204" i="113"/>
  <c r="O203" i="113"/>
  <c r="O202" i="113"/>
  <c r="O201" i="113"/>
  <c r="O200" i="113"/>
  <c r="O199" i="113"/>
  <c r="O198" i="113"/>
  <c r="O197" i="113"/>
  <c r="O196" i="113"/>
  <c r="O195" i="113"/>
  <c r="O194" i="113"/>
  <c r="O193" i="113"/>
  <c r="O192" i="113"/>
  <c r="O191" i="113"/>
  <c r="O190" i="113"/>
  <c r="O189" i="113"/>
  <c r="O188" i="113"/>
  <c r="O187" i="113"/>
  <c r="O186" i="113"/>
  <c r="O185" i="113"/>
  <c r="O184" i="113"/>
  <c r="O183" i="113"/>
  <c r="O182" i="113"/>
  <c r="O181" i="113"/>
  <c r="O180" i="113"/>
  <c r="O179" i="113"/>
  <c r="O178" i="113"/>
  <c r="O177" i="113"/>
  <c r="O176" i="113"/>
  <c r="O175" i="113"/>
  <c r="O174" i="113"/>
  <c r="O173" i="113"/>
  <c r="O172" i="113"/>
  <c r="O171" i="113"/>
  <c r="O170" i="113"/>
  <c r="O169" i="113"/>
  <c r="O168" i="113"/>
  <c r="O167" i="113"/>
  <c r="O166" i="113"/>
  <c r="O165" i="113"/>
  <c r="O164" i="113"/>
  <c r="O163" i="113"/>
  <c r="O162" i="113"/>
  <c r="O161" i="113"/>
  <c r="O160" i="113"/>
  <c r="O159" i="113"/>
  <c r="O158" i="113"/>
  <c r="O157" i="113"/>
  <c r="O156" i="113"/>
  <c r="O155" i="113"/>
  <c r="O154" i="113"/>
  <c r="O153" i="113"/>
  <c r="O152" i="113"/>
  <c r="O151" i="113"/>
  <c r="O150" i="113"/>
  <c r="O149" i="113"/>
  <c r="O148" i="113"/>
  <c r="O147" i="113"/>
  <c r="O146" i="113"/>
  <c r="O145" i="113"/>
  <c r="O144" i="113"/>
  <c r="O143" i="113"/>
  <c r="O142" i="113"/>
  <c r="O141" i="113"/>
  <c r="O140" i="113"/>
  <c r="O139" i="113"/>
  <c r="O138" i="113"/>
  <c r="O137" i="113"/>
  <c r="O136" i="113"/>
  <c r="O135" i="113"/>
  <c r="O134" i="113"/>
  <c r="O133" i="113"/>
  <c r="O132" i="113"/>
  <c r="O131" i="113"/>
  <c r="O130" i="113"/>
  <c r="O129" i="113"/>
  <c r="O128" i="113"/>
  <c r="O127" i="113"/>
  <c r="A3992" i="113" l="1"/>
  <c r="A3993" i="113"/>
  <c r="A3994" i="113"/>
  <c r="A3995" i="113"/>
  <c r="A3996" i="113"/>
  <c r="A3997" i="113"/>
  <c r="A3998" i="113"/>
  <c r="A3999" i="113"/>
  <c r="B3992" i="113"/>
  <c r="B3993" i="113"/>
  <c r="B3994" i="113"/>
  <c r="B3995" i="113"/>
  <c r="B3996" i="113"/>
  <c r="B3997" i="113"/>
  <c r="B3998" i="113"/>
  <c r="B3999" i="113"/>
  <c r="A3939" i="113" l="1"/>
  <c r="A3940" i="113"/>
  <c r="A3941" i="113"/>
  <c r="A3942" i="113"/>
  <c r="A3943" i="113"/>
  <c r="A3944" i="113"/>
  <c r="A3945" i="113"/>
  <c r="A3946" i="113"/>
  <c r="A3947" i="113"/>
  <c r="A3948" i="113"/>
  <c r="A3949" i="113"/>
  <c r="A3950" i="113"/>
  <c r="A3951" i="113"/>
  <c r="A3952" i="113"/>
  <c r="A3953" i="113"/>
  <c r="A3954" i="113"/>
  <c r="A3955" i="113"/>
  <c r="A3956" i="113"/>
  <c r="A3957" i="113"/>
  <c r="A3958" i="113"/>
  <c r="A3959" i="113"/>
  <c r="A3960" i="113"/>
  <c r="A3961" i="113"/>
  <c r="A3962" i="113"/>
  <c r="A3963" i="113"/>
  <c r="A3964" i="113"/>
  <c r="A3965" i="113"/>
  <c r="A3966" i="113"/>
  <c r="A3967" i="113"/>
  <c r="A3968" i="113"/>
  <c r="A3969" i="113"/>
  <c r="A3970" i="113"/>
  <c r="A3971" i="113"/>
  <c r="A3972" i="113"/>
  <c r="A3973" i="113"/>
  <c r="A3974" i="113"/>
  <c r="A3975" i="113"/>
  <c r="A3976" i="113"/>
  <c r="A3977" i="113"/>
  <c r="A3978" i="113"/>
  <c r="A3979" i="113"/>
  <c r="A3980" i="113"/>
  <c r="A3981" i="113"/>
  <c r="A3982" i="113"/>
  <c r="A3983" i="113"/>
  <c r="A3984" i="113"/>
  <c r="A3985" i="113"/>
  <c r="A3986" i="113"/>
  <c r="A3987" i="113"/>
  <c r="A3988" i="113"/>
  <c r="A3989" i="113"/>
  <c r="A3990" i="113"/>
  <c r="A3991" i="113"/>
  <c r="B3939" i="113"/>
  <c r="B3940" i="113"/>
  <c r="B3941" i="113"/>
  <c r="B3942" i="113"/>
  <c r="B3943" i="113"/>
  <c r="B3944" i="113"/>
  <c r="B3945" i="113"/>
  <c r="B3946" i="113"/>
  <c r="B3947" i="113"/>
  <c r="B3948" i="113"/>
  <c r="B3949" i="113"/>
  <c r="B3950" i="113"/>
  <c r="B3951" i="113"/>
  <c r="B3952" i="113"/>
  <c r="B3953" i="113"/>
  <c r="B3954" i="113"/>
  <c r="B3955" i="113"/>
  <c r="B3956" i="113"/>
  <c r="B3957" i="113"/>
  <c r="B3958" i="113"/>
  <c r="B3959" i="113"/>
  <c r="B3960" i="113"/>
  <c r="B3961" i="113"/>
  <c r="B3962" i="113"/>
  <c r="B3963" i="113"/>
  <c r="B3964" i="113"/>
  <c r="B3965" i="113"/>
  <c r="B3966" i="113"/>
  <c r="B3967" i="113"/>
  <c r="B3968" i="113"/>
  <c r="B3969" i="113"/>
  <c r="B3970" i="113"/>
  <c r="B3971" i="113"/>
  <c r="B3972" i="113"/>
  <c r="B3973" i="113"/>
  <c r="B3974" i="113"/>
  <c r="B3975" i="113"/>
  <c r="B3976" i="113"/>
  <c r="B3977" i="113"/>
  <c r="B3978" i="113"/>
  <c r="B3979" i="113"/>
  <c r="B3980" i="113"/>
  <c r="B3981" i="113"/>
  <c r="B3982" i="113"/>
  <c r="B3983" i="113"/>
  <c r="B3984" i="113"/>
  <c r="B3985" i="113"/>
  <c r="B3986" i="113"/>
  <c r="B3987" i="113"/>
  <c r="B3988" i="113"/>
  <c r="B3989" i="113"/>
  <c r="B3990" i="113"/>
  <c r="B3991" i="113"/>
  <c r="A3716" i="113" l="1"/>
  <c r="A3717" i="113"/>
  <c r="A3718" i="113"/>
  <c r="A3719" i="113"/>
  <c r="A3720" i="113"/>
  <c r="A3721" i="113"/>
  <c r="A3722" i="113"/>
  <c r="A3723" i="113"/>
  <c r="A3724" i="113"/>
  <c r="A3725" i="113"/>
  <c r="A3726" i="113"/>
  <c r="A3727" i="113"/>
  <c r="A3728" i="113"/>
  <c r="A3729" i="113"/>
  <c r="A3730" i="113"/>
  <c r="A3731" i="113"/>
  <c r="A3732" i="113"/>
  <c r="A3733" i="113"/>
  <c r="A3734" i="113"/>
  <c r="A3735" i="113"/>
  <c r="A3736" i="113"/>
  <c r="A3737" i="113"/>
  <c r="A3738" i="113"/>
  <c r="A3739" i="113"/>
  <c r="A3740" i="113"/>
  <c r="A3741" i="113"/>
  <c r="A3742" i="113"/>
  <c r="A3743" i="113"/>
  <c r="A3744" i="113"/>
  <c r="A3745" i="113"/>
  <c r="A3746" i="113"/>
  <c r="A3747" i="113"/>
  <c r="A3748" i="113"/>
  <c r="A3749" i="113"/>
  <c r="A3750" i="113"/>
  <c r="A3751" i="113"/>
  <c r="A3752" i="113"/>
  <c r="A3753" i="113"/>
  <c r="A3754" i="113"/>
  <c r="A3755" i="113"/>
  <c r="A3756" i="113"/>
  <c r="A3757" i="113"/>
  <c r="A3758" i="113"/>
  <c r="A3759" i="113"/>
  <c r="A3760" i="113"/>
  <c r="A3761" i="113"/>
  <c r="A3762" i="113"/>
  <c r="A3763" i="113"/>
  <c r="A3764" i="113"/>
  <c r="A3765" i="113"/>
  <c r="A3766" i="113"/>
  <c r="A3767" i="113"/>
  <c r="A3768" i="113"/>
  <c r="A3769" i="113"/>
  <c r="A3770" i="113"/>
  <c r="A3771" i="113"/>
  <c r="A3772" i="113"/>
  <c r="A3773" i="113"/>
  <c r="A3774" i="113"/>
  <c r="A3775" i="113"/>
  <c r="A3776" i="113"/>
  <c r="A3777" i="113"/>
  <c r="A3778" i="113"/>
  <c r="A3779" i="113"/>
  <c r="A3780" i="113"/>
  <c r="A3781" i="113"/>
  <c r="A3782" i="113"/>
  <c r="A3783" i="113"/>
  <c r="A3784" i="113"/>
  <c r="A3785" i="113"/>
  <c r="A3786" i="113"/>
  <c r="A3787" i="113"/>
  <c r="A3788" i="113"/>
  <c r="A3789" i="113"/>
  <c r="A3790" i="113"/>
  <c r="A3791" i="113"/>
  <c r="A3792" i="113"/>
  <c r="A3793" i="113"/>
  <c r="A3794" i="113"/>
  <c r="A3795" i="113"/>
  <c r="A3796" i="113"/>
  <c r="A3797" i="113"/>
  <c r="A3798" i="113"/>
  <c r="A3799" i="113"/>
  <c r="A3800" i="113"/>
  <c r="A3801" i="113"/>
  <c r="A3802" i="113"/>
  <c r="A3803" i="113"/>
  <c r="A3804" i="113"/>
  <c r="A3805" i="113"/>
  <c r="A3806" i="113"/>
  <c r="A3807" i="113"/>
  <c r="A3808" i="113"/>
  <c r="A3809" i="113"/>
  <c r="A3810" i="113"/>
  <c r="A3811" i="113"/>
  <c r="A3812" i="113"/>
  <c r="A3813" i="113"/>
  <c r="A3814" i="113"/>
  <c r="A3815" i="113"/>
  <c r="A3816" i="113"/>
  <c r="A3817" i="113"/>
  <c r="A3818" i="113"/>
  <c r="A3819" i="113"/>
  <c r="A3820" i="113"/>
  <c r="A3821" i="113"/>
  <c r="A3822" i="113"/>
  <c r="A3823" i="113"/>
  <c r="A3824" i="113"/>
  <c r="A3825" i="113"/>
  <c r="A3826" i="113"/>
  <c r="A3827" i="113"/>
  <c r="A3828" i="113"/>
  <c r="A3829" i="113"/>
  <c r="A3830" i="113"/>
  <c r="A3831" i="113"/>
  <c r="A3832" i="113"/>
  <c r="A3833" i="113"/>
  <c r="A3834" i="113"/>
  <c r="A3835" i="113"/>
  <c r="A3836" i="113"/>
  <c r="A3837" i="113"/>
  <c r="A3838" i="113"/>
  <c r="A3839" i="113"/>
  <c r="A3840" i="113"/>
  <c r="A3841" i="113"/>
  <c r="A3842" i="113"/>
  <c r="A3843" i="113"/>
  <c r="A3844" i="113"/>
  <c r="A3845" i="113"/>
  <c r="A3846" i="113"/>
  <c r="A3847" i="113"/>
  <c r="A3848" i="113"/>
  <c r="A3849" i="113"/>
  <c r="A3850" i="113"/>
  <c r="A3851" i="113"/>
  <c r="A3852" i="113"/>
  <c r="A3853" i="113"/>
  <c r="A3854" i="113"/>
  <c r="A3855" i="113"/>
  <c r="A3856" i="113"/>
  <c r="A3857" i="113"/>
  <c r="A3858" i="113"/>
  <c r="A3859" i="113"/>
  <c r="A3860" i="113"/>
  <c r="A3861" i="113"/>
  <c r="A3862" i="113"/>
  <c r="A3863" i="113"/>
  <c r="A3864" i="113"/>
  <c r="A3865" i="113"/>
  <c r="A3866" i="113"/>
  <c r="A3867" i="113"/>
  <c r="A3868" i="113"/>
  <c r="A3869" i="113"/>
  <c r="A3870" i="113"/>
  <c r="A3871" i="113"/>
  <c r="A3872" i="113"/>
  <c r="A3873" i="113"/>
  <c r="A3874" i="113"/>
  <c r="A3875" i="113"/>
  <c r="A3876" i="113"/>
  <c r="A3877" i="113"/>
  <c r="A3878" i="113"/>
  <c r="A3879" i="113"/>
  <c r="A3880" i="113"/>
  <c r="A3881" i="113"/>
  <c r="A3882" i="113"/>
  <c r="A3883" i="113"/>
  <c r="A3884" i="113"/>
  <c r="A3885" i="113"/>
  <c r="A3886" i="113"/>
  <c r="A3887" i="113"/>
  <c r="A3888" i="113"/>
  <c r="A3889" i="113"/>
  <c r="A3890" i="113"/>
  <c r="A3891" i="113"/>
  <c r="A3892" i="113"/>
  <c r="A3893" i="113"/>
  <c r="A3894" i="113"/>
  <c r="A3895" i="113"/>
  <c r="A3896" i="113"/>
  <c r="A3897" i="113"/>
  <c r="A3898" i="113"/>
  <c r="A3899" i="113"/>
  <c r="A3900" i="113"/>
  <c r="A3901" i="113"/>
  <c r="A3902" i="113"/>
  <c r="A3903" i="113"/>
  <c r="A3904" i="113"/>
  <c r="A3905" i="113"/>
  <c r="A3906" i="113"/>
  <c r="A3907" i="113"/>
  <c r="A3908" i="113"/>
  <c r="A3909" i="113"/>
  <c r="A3910" i="113"/>
  <c r="A3911" i="113"/>
  <c r="A3912" i="113"/>
  <c r="A3913" i="113"/>
  <c r="A3914" i="113"/>
  <c r="A3915" i="113"/>
  <c r="A3916" i="113"/>
  <c r="A3917" i="113"/>
  <c r="A3918" i="113"/>
  <c r="A3919" i="113"/>
  <c r="A3920" i="113"/>
  <c r="A3921" i="113"/>
  <c r="A3922" i="113"/>
  <c r="A3923" i="113"/>
  <c r="A3924" i="113"/>
  <c r="A3925" i="113"/>
  <c r="A3926" i="113"/>
  <c r="A3927" i="113"/>
  <c r="A3928" i="113"/>
  <c r="A3929" i="113"/>
  <c r="A3930" i="113"/>
  <c r="A3931" i="113"/>
  <c r="A3932" i="113"/>
  <c r="A3933" i="113"/>
  <c r="A3934" i="113"/>
  <c r="A3935" i="113"/>
  <c r="A3936" i="113"/>
  <c r="A3937" i="113"/>
  <c r="A3938" i="113"/>
  <c r="B3716" i="113"/>
  <c r="B3717" i="113"/>
  <c r="B3718" i="113"/>
  <c r="B3719" i="113"/>
  <c r="B3720" i="113"/>
  <c r="B3721" i="113"/>
  <c r="B3722" i="113"/>
  <c r="B3723" i="113"/>
  <c r="B3724" i="113"/>
  <c r="B3725" i="113"/>
  <c r="B3726" i="113"/>
  <c r="B3727" i="113"/>
  <c r="B3728" i="113"/>
  <c r="B3729" i="113"/>
  <c r="B3730" i="113"/>
  <c r="B3731" i="113"/>
  <c r="B3732" i="113"/>
  <c r="B3733" i="113"/>
  <c r="B3734" i="113"/>
  <c r="B3735" i="113"/>
  <c r="B3736" i="113"/>
  <c r="B3737" i="113"/>
  <c r="B3738" i="113"/>
  <c r="B3739" i="113"/>
  <c r="B3740" i="113"/>
  <c r="B3741" i="113"/>
  <c r="B3742" i="113"/>
  <c r="B3743" i="113"/>
  <c r="B3744" i="113"/>
  <c r="B3745" i="113"/>
  <c r="B3746" i="113"/>
  <c r="B3747" i="113"/>
  <c r="B3748" i="113"/>
  <c r="B3749" i="113"/>
  <c r="B3750" i="113"/>
  <c r="B3751" i="113"/>
  <c r="B3752" i="113"/>
  <c r="B3753" i="113"/>
  <c r="B3754" i="113"/>
  <c r="B3755" i="113"/>
  <c r="B3756" i="113"/>
  <c r="B3757" i="113"/>
  <c r="B3758" i="113"/>
  <c r="B3759" i="113"/>
  <c r="B3760" i="113"/>
  <c r="B3761" i="113"/>
  <c r="B3762" i="113"/>
  <c r="B3763" i="113"/>
  <c r="B3764" i="113"/>
  <c r="B3765" i="113"/>
  <c r="B3766" i="113"/>
  <c r="B3767" i="113"/>
  <c r="B3768" i="113"/>
  <c r="B3769" i="113"/>
  <c r="B3770" i="113"/>
  <c r="B3771" i="113"/>
  <c r="B3772" i="113"/>
  <c r="B3773" i="113"/>
  <c r="B3774" i="113"/>
  <c r="B3775" i="113"/>
  <c r="B3776" i="113"/>
  <c r="B3777" i="113"/>
  <c r="B3778" i="113"/>
  <c r="B3779" i="113"/>
  <c r="B3780" i="113"/>
  <c r="B3781" i="113"/>
  <c r="B3782" i="113"/>
  <c r="B3783" i="113"/>
  <c r="B3784" i="113"/>
  <c r="B3785" i="113"/>
  <c r="B3786" i="113"/>
  <c r="B3787" i="113"/>
  <c r="B3788" i="113"/>
  <c r="B3789" i="113"/>
  <c r="B3790" i="113"/>
  <c r="B3791" i="113"/>
  <c r="B3792" i="113"/>
  <c r="B3793" i="113"/>
  <c r="B3794" i="113"/>
  <c r="B3795" i="113"/>
  <c r="B3796" i="113"/>
  <c r="B3797" i="113"/>
  <c r="B3798" i="113"/>
  <c r="B3799" i="113"/>
  <c r="B3800" i="113"/>
  <c r="B3801" i="113"/>
  <c r="B3802" i="113"/>
  <c r="B3803" i="113"/>
  <c r="B3804" i="113"/>
  <c r="B3805" i="113"/>
  <c r="B3806" i="113"/>
  <c r="B3807" i="113"/>
  <c r="B3808" i="113"/>
  <c r="B3809" i="113"/>
  <c r="B3810" i="113"/>
  <c r="B3811" i="113"/>
  <c r="B3812" i="113"/>
  <c r="B3813" i="113"/>
  <c r="B3814" i="113"/>
  <c r="B3815" i="113"/>
  <c r="B3816" i="113"/>
  <c r="B3817" i="113"/>
  <c r="B3818" i="113"/>
  <c r="B3819" i="113"/>
  <c r="B3820" i="113"/>
  <c r="B3821" i="113"/>
  <c r="B3822" i="113"/>
  <c r="B3823" i="113"/>
  <c r="B3824" i="113"/>
  <c r="B3825" i="113"/>
  <c r="B3826" i="113"/>
  <c r="B3827" i="113"/>
  <c r="B3828" i="113"/>
  <c r="B3829" i="113"/>
  <c r="B3830" i="113"/>
  <c r="B3831" i="113"/>
  <c r="B3832" i="113"/>
  <c r="B3833" i="113"/>
  <c r="B3834" i="113"/>
  <c r="B3835" i="113"/>
  <c r="B3836" i="113"/>
  <c r="B3837" i="113"/>
  <c r="B3838" i="113"/>
  <c r="B3839" i="113"/>
  <c r="B3840" i="113"/>
  <c r="B3841" i="113"/>
  <c r="B3842" i="113"/>
  <c r="B3843" i="113"/>
  <c r="B3844" i="113"/>
  <c r="B3845" i="113"/>
  <c r="B3846" i="113"/>
  <c r="B3847" i="113"/>
  <c r="B3848" i="113"/>
  <c r="B3849" i="113"/>
  <c r="B3850" i="113"/>
  <c r="B3851" i="113"/>
  <c r="B3852" i="113"/>
  <c r="B3853" i="113"/>
  <c r="B3854" i="113"/>
  <c r="B3855" i="113"/>
  <c r="B3856" i="113"/>
  <c r="B3857" i="113"/>
  <c r="B3858" i="113"/>
  <c r="B3859" i="113"/>
  <c r="B3860" i="113"/>
  <c r="B3861" i="113"/>
  <c r="B3862" i="113"/>
  <c r="B3863" i="113"/>
  <c r="B3864" i="113"/>
  <c r="B3865" i="113"/>
  <c r="B3866" i="113"/>
  <c r="B3867" i="113"/>
  <c r="B3868" i="113"/>
  <c r="B3869" i="113"/>
  <c r="B3870" i="113"/>
  <c r="B3871" i="113"/>
  <c r="B3872" i="113"/>
  <c r="B3873" i="113"/>
  <c r="B3874" i="113"/>
  <c r="B3875" i="113"/>
  <c r="B3876" i="113"/>
  <c r="B3877" i="113"/>
  <c r="B3878" i="113"/>
  <c r="B3879" i="113"/>
  <c r="B3880" i="113"/>
  <c r="B3881" i="113"/>
  <c r="B3882" i="113"/>
  <c r="B3883" i="113"/>
  <c r="B3884" i="113"/>
  <c r="B3885" i="113"/>
  <c r="B3886" i="113"/>
  <c r="B3887" i="113"/>
  <c r="B3888" i="113"/>
  <c r="B3889" i="113"/>
  <c r="B3890" i="113"/>
  <c r="B3891" i="113"/>
  <c r="B3892" i="113"/>
  <c r="B3893" i="113"/>
  <c r="B3894" i="113"/>
  <c r="B3895" i="113"/>
  <c r="B3896" i="113"/>
  <c r="B3897" i="113"/>
  <c r="B3898" i="113"/>
  <c r="B3899" i="113"/>
  <c r="B3900" i="113"/>
  <c r="B3901" i="113"/>
  <c r="B3902" i="113"/>
  <c r="B3903" i="113"/>
  <c r="B3904" i="113"/>
  <c r="B3905" i="113"/>
  <c r="B3906" i="113"/>
  <c r="B3907" i="113"/>
  <c r="B3908" i="113"/>
  <c r="B3909" i="113"/>
  <c r="B3910" i="113"/>
  <c r="B3911" i="113"/>
  <c r="B3912" i="113"/>
  <c r="B3913" i="113"/>
  <c r="B3914" i="113"/>
  <c r="B3915" i="113"/>
  <c r="B3916" i="113"/>
  <c r="B3917" i="113"/>
  <c r="B3918" i="113"/>
  <c r="B3919" i="113"/>
  <c r="B3920" i="113"/>
  <c r="B3921" i="113"/>
  <c r="B3922" i="113"/>
  <c r="B3923" i="113"/>
  <c r="B3924" i="113"/>
  <c r="B3925" i="113"/>
  <c r="B3926" i="113"/>
  <c r="B3927" i="113"/>
  <c r="B3928" i="113"/>
  <c r="B3929" i="113"/>
  <c r="B3930" i="113"/>
  <c r="B3931" i="113"/>
  <c r="B3932" i="113"/>
  <c r="B3933" i="113"/>
  <c r="B3934" i="113"/>
  <c r="B3935" i="113"/>
  <c r="B3936" i="113"/>
  <c r="B3937" i="113"/>
  <c r="B3938" i="113"/>
  <c r="A3702" i="113" l="1"/>
  <c r="A3703" i="113"/>
  <c r="A3704" i="113"/>
  <c r="A3705" i="113"/>
  <c r="A3706" i="113"/>
  <c r="A3707" i="113"/>
  <c r="A3708" i="113"/>
  <c r="A3709" i="113"/>
  <c r="A3710" i="113"/>
  <c r="A3711" i="113"/>
  <c r="A3712" i="113"/>
  <c r="A3713" i="113"/>
  <c r="A3714" i="113"/>
  <c r="A3715" i="113"/>
  <c r="B3702" i="113"/>
  <c r="B3703" i="113"/>
  <c r="B3704" i="113"/>
  <c r="B3705" i="113"/>
  <c r="B3706" i="113"/>
  <c r="B3707" i="113"/>
  <c r="B3708" i="113"/>
  <c r="B3709" i="113"/>
  <c r="B3710" i="113"/>
  <c r="B3711" i="113"/>
  <c r="B3712" i="113"/>
  <c r="B3713" i="113"/>
  <c r="B3714" i="113"/>
  <c r="B3715" i="113"/>
  <c r="A3479" i="113" l="1"/>
  <c r="A3480" i="113"/>
  <c r="A3481" i="113"/>
  <c r="A3482" i="113"/>
  <c r="A3483" i="113"/>
  <c r="A3484" i="113"/>
  <c r="A3485" i="113"/>
  <c r="A3486" i="113"/>
  <c r="A3487" i="113"/>
  <c r="A3488" i="113"/>
  <c r="A3489" i="113"/>
  <c r="A3490" i="113"/>
  <c r="A3491" i="113"/>
  <c r="A3492" i="113"/>
  <c r="A3493" i="113"/>
  <c r="A3494" i="113"/>
  <c r="A3495" i="113"/>
  <c r="A3496" i="113"/>
  <c r="A3497" i="113"/>
  <c r="A3498" i="113"/>
  <c r="A3499" i="113"/>
  <c r="A3500" i="113"/>
  <c r="A3501" i="113"/>
  <c r="A3502" i="113"/>
  <c r="A3503" i="113"/>
  <c r="A3504" i="113"/>
  <c r="A3505" i="113"/>
  <c r="A3506" i="113"/>
  <c r="A3507" i="113"/>
  <c r="A3508" i="113"/>
  <c r="A3509" i="113"/>
  <c r="A3510" i="113"/>
  <c r="A3511" i="113"/>
  <c r="A3512" i="113"/>
  <c r="A3513" i="113"/>
  <c r="A3514" i="113"/>
  <c r="A3515" i="113"/>
  <c r="A3516" i="113"/>
  <c r="A3517" i="113"/>
  <c r="A3518" i="113"/>
  <c r="A3519" i="113"/>
  <c r="A3520" i="113"/>
  <c r="A3521" i="113"/>
  <c r="A3522" i="113"/>
  <c r="A3523" i="113"/>
  <c r="A3524" i="113"/>
  <c r="A3525" i="113"/>
  <c r="A3526" i="113"/>
  <c r="A3527" i="113"/>
  <c r="A3528" i="113"/>
  <c r="A3529" i="113"/>
  <c r="A3530" i="113"/>
  <c r="A3531" i="113"/>
  <c r="A3532" i="113"/>
  <c r="A3533" i="113"/>
  <c r="A3534" i="113"/>
  <c r="A3535" i="113"/>
  <c r="A3536" i="113"/>
  <c r="A3537" i="113"/>
  <c r="A3538" i="113"/>
  <c r="A3539" i="113"/>
  <c r="A3540" i="113"/>
  <c r="A3541" i="113"/>
  <c r="A3542" i="113"/>
  <c r="A3543" i="113"/>
  <c r="A3544" i="113"/>
  <c r="A3545" i="113"/>
  <c r="A3546" i="113"/>
  <c r="A3547" i="113"/>
  <c r="A3548" i="113"/>
  <c r="A3549" i="113"/>
  <c r="A3550" i="113"/>
  <c r="A3551" i="113"/>
  <c r="A3552" i="113"/>
  <c r="A3553" i="113"/>
  <c r="A3554" i="113"/>
  <c r="A3555" i="113"/>
  <c r="A3556" i="113"/>
  <c r="A3557" i="113"/>
  <c r="A3558" i="113"/>
  <c r="A3559" i="113"/>
  <c r="A3560" i="113"/>
  <c r="A3561" i="113"/>
  <c r="A3562" i="113"/>
  <c r="A3563" i="113"/>
  <c r="A3564" i="113"/>
  <c r="A3565" i="113"/>
  <c r="A3566" i="113"/>
  <c r="A3567" i="113"/>
  <c r="A3568" i="113"/>
  <c r="A3569" i="113"/>
  <c r="A3570" i="113"/>
  <c r="A3571" i="113"/>
  <c r="A3572" i="113"/>
  <c r="A3573" i="113"/>
  <c r="A3574" i="113"/>
  <c r="A3575" i="113"/>
  <c r="A3576" i="113"/>
  <c r="A3577" i="113"/>
  <c r="A3578" i="113"/>
  <c r="A3579" i="113"/>
  <c r="A3580" i="113"/>
  <c r="A3581" i="113"/>
  <c r="A3582" i="113"/>
  <c r="A3583" i="113"/>
  <c r="A3584" i="113"/>
  <c r="A3585" i="113"/>
  <c r="A3586" i="113"/>
  <c r="A3587" i="113"/>
  <c r="A3588" i="113"/>
  <c r="A3589" i="113"/>
  <c r="A3590" i="113"/>
  <c r="A3591" i="113"/>
  <c r="A3592" i="113"/>
  <c r="A3593" i="113"/>
  <c r="A3594" i="113"/>
  <c r="A3595" i="113"/>
  <c r="A3596" i="113"/>
  <c r="A3597" i="113"/>
  <c r="A3598" i="113"/>
  <c r="A3599" i="113"/>
  <c r="A3600" i="113"/>
  <c r="A3601" i="113"/>
  <c r="A3602" i="113"/>
  <c r="A3603" i="113"/>
  <c r="A3604" i="113"/>
  <c r="A3605" i="113"/>
  <c r="A3606" i="113"/>
  <c r="A3607" i="113"/>
  <c r="A3608" i="113"/>
  <c r="A3609" i="113"/>
  <c r="A3610" i="113"/>
  <c r="A3611" i="113"/>
  <c r="A3612" i="113"/>
  <c r="A3613" i="113"/>
  <c r="A3614" i="113"/>
  <c r="A3615" i="113"/>
  <c r="A3616" i="113"/>
  <c r="A3617" i="113"/>
  <c r="A3618" i="113"/>
  <c r="A3619" i="113"/>
  <c r="A3620" i="113"/>
  <c r="A3621" i="113"/>
  <c r="A3622" i="113"/>
  <c r="A3623" i="113"/>
  <c r="A3624" i="113"/>
  <c r="A3625" i="113"/>
  <c r="A3626" i="113"/>
  <c r="A3627" i="113"/>
  <c r="A3628" i="113"/>
  <c r="A3629" i="113"/>
  <c r="A3630" i="113"/>
  <c r="A3631" i="113"/>
  <c r="A3632" i="113"/>
  <c r="A3633" i="113"/>
  <c r="A3634" i="113"/>
  <c r="A3635" i="113"/>
  <c r="A3636" i="113"/>
  <c r="A3637" i="113"/>
  <c r="A3638" i="113"/>
  <c r="A3639" i="113"/>
  <c r="A3640" i="113"/>
  <c r="A3641" i="113"/>
  <c r="A3642" i="113"/>
  <c r="A3643" i="113"/>
  <c r="A3644" i="113"/>
  <c r="A3645" i="113"/>
  <c r="A3646" i="113"/>
  <c r="A3647" i="113"/>
  <c r="A3648" i="113"/>
  <c r="A3649" i="113"/>
  <c r="A3650" i="113"/>
  <c r="A3651" i="113"/>
  <c r="A3652" i="113"/>
  <c r="A3653" i="113"/>
  <c r="A3654" i="113"/>
  <c r="A3655" i="113"/>
  <c r="A3656" i="113"/>
  <c r="A3657" i="113"/>
  <c r="A3658" i="113"/>
  <c r="A3659" i="113"/>
  <c r="A3660" i="113"/>
  <c r="A3661" i="113"/>
  <c r="A3662" i="113"/>
  <c r="A3663" i="113"/>
  <c r="A3664" i="113"/>
  <c r="A3665" i="113"/>
  <c r="A3666" i="113"/>
  <c r="A3667" i="113"/>
  <c r="A3668" i="113"/>
  <c r="A3669" i="113"/>
  <c r="A3670" i="113"/>
  <c r="A3671" i="113"/>
  <c r="A3672" i="113"/>
  <c r="A3673" i="113"/>
  <c r="A3674" i="113"/>
  <c r="A3675" i="113"/>
  <c r="A3676" i="113"/>
  <c r="A3677" i="113"/>
  <c r="A3678" i="113"/>
  <c r="A3679" i="113"/>
  <c r="A3680" i="113"/>
  <c r="A3681" i="113"/>
  <c r="A3682" i="113"/>
  <c r="A3683" i="113"/>
  <c r="A3684" i="113"/>
  <c r="A3685" i="113"/>
  <c r="A3686" i="113"/>
  <c r="A3687" i="113"/>
  <c r="A3688" i="113"/>
  <c r="A3689" i="113"/>
  <c r="A3690" i="113"/>
  <c r="A3691" i="113"/>
  <c r="A3692" i="113"/>
  <c r="A3693" i="113"/>
  <c r="A3694" i="113"/>
  <c r="A3695" i="113"/>
  <c r="A3696" i="113"/>
  <c r="A3697" i="113"/>
  <c r="A3698" i="113"/>
  <c r="A3699" i="113"/>
  <c r="A3700" i="113"/>
  <c r="A3701" i="113"/>
  <c r="B3479" i="113"/>
  <c r="B3480" i="113"/>
  <c r="B3481" i="113"/>
  <c r="B3482" i="113"/>
  <c r="B3483" i="113"/>
  <c r="B3484" i="113"/>
  <c r="B3485" i="113"/>
  <c r="B3486" i="113"/>
  <c r="B3487" i="113"/>
  <c r="B3488" i="113"/>
  <c r="B3489" i="113"/>
  <c r="B3490" i="113"/>
  <c r="B3491" i="113"/>
  <c r="B3492" i="113"/>
  <c r="B3493" i="113"/>
  <c r="B3494" i="113"/>
  <c r="B3495" i="113"/>
  <c r="B3496" i="113"/>
  <c r="B3497" i="113"/>
  <c r="B3498" i="113"/>
  <c r="B3499" i="113"/>
  <c r="B3500" i="113"/>
  <c r="B3501" i="113"/>
  <c r="B3502" i="113"/>
  <c r="B3503" i="113"/>
  <c r="B3504" i="113"/>
  <c r="B3505" i="113"/>
  <c r="B3506" i="113"/>
  <c r="B3507" i="113"/>
  <c r="B3508" i="113"/>
  <c r="B3509" i="113"/>
  <c r="B3510" i="113"/>
  <c r="B3511" i="113"/>
  <c r="B3512" i="113"/>
  <c r="B3513" i="113"/>
  <c r="B3514" i="113"/>
  <c r="B3515" i="113"/>
  <c r="B3516" i="113"/>
  <c r="B3517" i="113"/>
  <c r="B3518" i="113"/>
  <c r="B3519" i="113"/>
  <c r="B3520" i="113"/>
  <c r="B3521" i="113"/>
  <c r="B3522" i="113"/>
  <c r="B3523" i="113"/>
  <c r="B3524" i="113"/>
  <c r="B3525" i="113"/>
  <c r="B3526" i="113"/>
  <c r="B3527" i="113"/>
  <c r="B3528" i="113"/>
  <c r="B3529" i="113"/>
  <c r="B3530" i="113"/>
  <c r="B3531" i="113"/>
  <c r="B3532" i="113"/>
  <c r="B3533" i="113"/>
  <c r="B3534" i="113"/>
  <c r="B3535" i="113"/>
  <c r="B3536" i="113"/>
  <c r="B3537" i="113"/>
  <c r="B3538" i="113"/>
  <c r="B3539" i="113"/>
  <c r="B3540" i="113"/>
  <c r="B3541" i="113"/>
  <c r="B3542" i="113"/>
  <c r="B3543" i="113"/>
  <c r="B3544" i="113"/>
  <c r="B3545" i="113"/>
  <c r="B3546" i="113"/>
  <c r="B3547" i="113"/>
  <c r="B3548" i="113"/>
  <c r="B3549" i="113"/>
  <c r="B3550" i="113"/>
  <c r="B3551" i="113"/>
  <c r="B3552" i="113"/>
  <c r="B3553" i="113"/>
  <c r="B3554" i="113"/>
  <c r="B3555" i="113"/>
  <c r="B3556" i="113"/>
  <c r="B3557" i="113"/>
  <c r="B3558" i="113"/>
  <c r="B3559" i="113"/>
  <c r="B3560" i="113"/>
  <c r="B3561" i="113"/>
  <c r="B3562" i="113"/>
  <c r="B3563" i="113"/>
  <c r="B3564" i="113"/>
  <c r="B3565" i="113"/>
  <c r="B3566" i="113"/>
  <c r="B3567" i="113"/>
  <c r="B3568" i="113"/>
  <c r="B3569" i="113"/>
  <c r="B3570" i="113"/>
  <c r="B3571" i="113"/>
  <c r="B3572" i="113"/>
  <c r="B3573" i="113"/>
  <c r="B3574" i="113"/>
  <c r="B3575" i="113"/>
  <c r="B3576" i="113"/>
  <c r="B3577" i="113"/>
  <c r="B3578" i="113"/>
  <c r="B3579" i="113"/>
  <c r="B3580" i="113"/>
  <c r="B3581" i="113"/>
  <c r="B3582" i="113"/>
  <c r="B3583" i="113"/>
  <c r="B3584" i="113"/>
  <c r="B3585" i="113"/>
  <c r="B3586" i="113"/>
  <c r="B3587" i="113"/>
  <c r="B3588" i="113"/>
  <c r="B3589" i="113"/>
  <c r="B3590" i="113"/>
  <c r="B3591" i="113"/>
  <c r="B3592" i="113"/>
  <c r="B3593" i="113"/>
  <c r="B3594" i="113"/>
  <c r="B3595" i="113"/>
  <c r="B3596" i="113"/>
  <c r="B3597" i="113"/>
  <c r="B3598" i="113"/>
  <c r="B3599" i="113"/>
  <c r="B3600" i="113"/>
  <c r="B3601" i="113"/>
  <c r="B3602" i="113"/>
  <c r="B3603" i="113"/>
  <c r="B3604" i="113"/>
  <c r="B3605" i="113"/>
  <c r="B3606" i="113"/>
  <c r="B3607" i="113"/>
  <c r="B3608" i="113"/>
  <c r="B3609" i="113"/>
  <c r="B3610" i="113"/>
  <c r="B3611" i="113"/>
  <c r="B3612" i="113"/>
  <c r="B3613" i="113"/>
  <c r="B3614" i="113"/>
  <c r="B3615" i="113"/>
  <c r="B3616" i="113"/>
  <c r="B3617" i="113"/>
  <c r="B3618" i="113"/>
  <c r="B3619" i="113"/>
  <c r="B3620" i="113"/>
  <c r="B3621" i="113"/>
  <c r="B3622" i="113"/>
  <c r="B3623" i="113"/>
  <c r="B3624" i="113"/>
  <c r="B3625" i="113"/>
  <c r="B3626" i="113"/>
  <c r="B3627" i="113"/>
  <c r="B3628" i="113"/>
  <c r="B3629" i="113"/>
  <c r="B3630" i="113"/>
  <c r="B3631" i="113"/>
  <c r="B3632" i="113"/>
  <c r="B3633" i="113"/>
  <c r="B3634" i="113"/>
  <c r="B3635" i="113"/>
  <c r="B3636" i="113"/>
  <c r="B3637" i="113"/>
  <c r="B3638" i="113"/>
  <c r="B3639" i="113"/>
  <c r="B3640" i="113"/>
  <c r="B3641" i="113"/>
  <c r="B3642" i="113"/>
  <c r="B3643" i="113"/>
  <c r="B3644" i="113"/>
  <c r="B3645" i="113"/>
  <c r="B3646" i="113"/>
  <c r="B3647" i="113"/>
  <c r="B3648" i="113"/>
  <c r="B3649" i="113"/>
  <c r="B3650" i="113"/>
  <c r="B3651" i="113"/>
  <c r="B3652" i="113"/>
  <c r="B3653" i="113"/>
  <c r="B3654" i="113"/>
  <c r="B3655" i="113"/>
  <c r="B3656" i="113"/>
  <c r="B3657" i="113"/>
  <c r="B3658" i="113"/>
  <c r="B3659" i="113"/>
  <c r="B3660" i="113"/>
  <c r="B3661" i="113"/>
  <c r="B3662" i="113"/>
  <c r="B3663" i="113"/>
  <c r="B3664" i="113"/>
  <c r="B3665" i="113"/>
  <c r="B3666" i="113"/>
  <c r="B3667" i="113"/>
  <c r="B3668" i="113"/>
  <c r="B3669" i="113"/>
  <c r="B3670" i="113"/>
  <c r="B3671" i="113"/>
  <c r="B3672" i="113"/>
  <c r="B3673" i="113"/>
  <c r="B3674" i="113"/>
  <c r="B3675" i="113"/>
  <c r="B3676" i="113"/>
  <c r="B3677" i="113"/>
  <c r="B3678" i="113"/>
  <c r="B3679" i="113"/>
  <c r="B3680" i="113"/>
  <c r="B3681" i="113"/>
  <c r="B3682" i="113"/>
  <c r="B3683" i="113"/>
  <c r="B3684" i="113"/>
  <c r="B3685" i="113"/>
  <c r="B3686" i="113"/>
  <c r="B3687" i="113"/>
  <c r="B3688" i="113"/>
  <c r="B3689" i="113"/>
  <c r="B3690" i="113"/>
  <c r="B3691" i="113"/>
  <c r="B3692" i="113"/>
  <c r="B3693" i="113"/>
  <c r="B3694" i="113"/>
  <c r="B3695" i="113"/>
  <c r="B3696" i="113"/>
  <c r="B3697" i="113"/>
  <c r="B3698" i="113"/>
  <c r="B3699" i="113"/>
  <c r="B3700" i="113"/>
  <c r="B3701" i="113"/>
  <c r="E318" i="135" l="1"/>
  <c r="A3324" i="113" l="1"/>
  <c r="A3325" i="113"/>
  <c r="A3326" i="113"/>
  <c r="A3327" i="113"/>
  <c r="A3328" i="113"/>
  <c r="A3329" i="113"/>
  <c r="A3330" i="113"/>
  <c r="A3331" i="113"/>
  <c r="A3332" i="113"/>
  <c r="A3333" i="113"/>
  <c r="A3334" i="113"/>
  <c r="A3335" i="113"/>
  <c r="A3336" i="113"/>
  <c r="A3337" i="113"/>
  <c r="A3338" i="113"/>
  <c r="A3339" i="113"/>
  <c r="A3340" i="113"/>
  <c r="A3341" i="113"/>
  <c r="A3342" i="113"/>
  <c r="A3343" i="113"/>
  <c r="A3344" i="113"/>
  <c r="A3345" i="113"/>
  <c r="A3346" i="113"/>
  <c r="A3347" i="113"/>
  <c r="A3348" i="113"/>
  <c r="A3349" i="113"/>
  <c r="A3350" i="113"/>
  <c r="A3351" i="113"/>
  <c r="A3352" i="113"/>
  <c r="A3353" i="113"/>
  <c r="A3354" i="113"/>
  <c r="A3355" i="113"/>
  <c r="A3356" i="113"/>
  <c r="A3357" i="113"/>
  <c r="A3358" i="113"/>
  <c r="A3359" i="113"/>
  <c r="A3360" i="113"/>
  <c r="A3361" i="113"/>
  <c r="A3362" i="113"/>
  <c r="A3363" i="113"/>
  <c r="A3364" i="113"/>
  <c r="A3365" i="113"/>
  <c r="A3366" i="113"/>
  <c r="A3367" i="113"/>
  <c r="A3368" i="113"/>
  <c r="A3369" i="113"/>
  <c r="A3370" i="113"/>
  <c r="A3371" i="113"/>
  <c r="A3372" i="113"/>
  <c r="A3373" i="113"/>
  <c r="A3374" i="113"/>
  <c r="A3375" i="113"/>
  <c r="A3376" i="113"/>
  <c r="A3377" i="113"/>
  <c r="A3378" i="113"/>
  <c r="A3379" i="113"/>
  <c r="A3380" i="113"/>
  <c r="A3381" i="113"/>
  <c r="A3382" i="113"/>
  <c r="A3383" i="113"/>
  <c r="A3384" i="113"/>
  <c r="A3385" i="113"/>
  <c r="A3386" i="113"/>
  <c r="A3387" i="113"/>
  <c r="A3388" i="113"/>
  <c r="A3389" i="113"/>
  <c r="A3390" i="113"/>
  <c r="A3391" i="113"/>
  <c r="A3392" i="113"/>
  <c r="A3393" i="113"/>
  <c r="A3394" i="113"/>
  <c r="A3395" i="113"/>
  <c r="A3396" i="113"/>
  <c r="A3397" i="113"/>
  <c r="A3398" i="113"/>
  <c r="A3399" i="113"/>
  <c r="A3400" i="113"/>
  <c r="A3401" i="113"/>
  <c r="A3402" i="113"/>
  <c r="A3403" i="113"/>
  <c r="A3404" i="113"/>
  <c r="A3405" i="113"/>
  <c r="A3406" i="113"/>
  <c r="A3407" i="113"/>
  <c r="A3408" i="113"/>
  <c r="A3409" i="113"/>
  <c r="A3410" i="113"/>
  <c r="A3411" i="113"/>
  <c r="A3412" i="113"/>
  <c r="A3413" i="113"/>
  <c r="A3414" i="113"/>
  <c r="A3415" i="113"/>
  <c r="A3416" i="113"/>
  <c r="A3417" i="113"/>
  <c r="A3418" i="113"/>
  <c r="A3419" i="113"/>
  <c r="A3420" i="113"/>
  <c r="A3421" i="113"/>
  <c r="A3422" i="113"/>
  <c r="A3423" i="113"/>
  <c r="A3424" i="113"/>
  <c r="A3425" i="113"/>
  <c r="A3426" i="113"/>
  <c r="A3427" i="113"/>
  <c r="A3428" i="113"/>
  <c r="A3429" i="113"/>
  <c r="A3430" i="113"/>
  <c r="A3431" i="113"/>
  <c r="A3432" i="113"/>
  <c r="A3433" i="113"/>
  <c r="A3434" i="113"/>
  <c r="A3435" i="113"/>
  <c r="A3436" i="113"/>
  <c r="A3437" i="113"/>
  <c r="A3438" i="113"/>
  <c r="A3439" i="113"/>
  <c r="A3440" i="113"/>
  <c r="A3441" i="113"/>
  <c r="A3442" i="113"/>
  <c r="A3443" i="113"/>
  <c r="A3444" i="113"/>
  <c r="A3445" i="113"/>
  <c r="A3446" i="113"/>
  <c r="A3447" i="113"/>
  <c r="A3448" i="113"/>
  <c r="A3449" i="113"/>
  <c r="A3450" i="113"/>
  <c r="A3451" i="113"/>
  <c r="A3452" i="113"/>
  <c r="A3453" i="113"/>
  <c r="A3454" i="113"/>
  <c r="A3455" i="113"/>
  <c r="A3456" i="113"/>
  <c r="A3457" i="113"/>
  <c r="A3458" i="113"/>
  <c r="A3459" i="113"/>
  <c r="A3460" i="113"/>
  <c r="A3461" i="113"/>
  <c r="A3462" i="113"/>
  <c r="A3463" i="113"/>
  <c r="A3464" i="113"/>
  <c r="A3465" i="113"/>
  <c r="A3466" i="113"/>
  <c r="A3467" i="113"/>
  <c r="A3468" i="113"/>
  <c r="A3469" i="113"/>
  <c r="A3470" i="113"/>
  <c r="A3471" i="113"/>
  <c r="A3472" i="113"/>
  <c r="A3473" i="113"/>
  <c r="A3474" i="113"/>
  <c r="A3475" i="113"/>
  <c r="A3476" i="113"/>
  <c r="A3477" i="113"/>
  <c r="A3478" i="113"/>
  <c r="B3324" i="113"/>
  <c r="B3325" i="113"/>
  <c r="B3326" i="113"/>
  <c r="B3327" i="113"/>
  <c r="B3328" i="113"/>
  <c r="B3329" i="113"/>
  <c r="B3330" i="113"/>
  <c r="B3331" i="113"/>
  <c r="B3332" i="113"/>
  <c r="B3333" i="113"/>
  <c r="B3334" i="113"/>
  <c r="B3335" i="113"/>
  <c r="B3336" i="113"/>
  <c r="B3337" i="113"/>
  <c r="B3338" i="113"/>
  <c r="B3339" i="113"/>
  <c r="B3340" i="113"/>
  <c r="B3341" i="113"/>
  <c r="B3342" i="113"/>
  <c r="B3343" i="113"/>
  <c r="B3344" i="113"/>
  <c r="B3345" i="113"/>
  <c r="B3346" i="113"/>
  <c r="B3347" i="113"/>
  <c r="B3348" i="113"/>
  <c r="B3349" i="113"/>
  <c r="B3350" i="113"/>
  <c r="B3351" i="113"/>
  <c r="B3352" i="113"/>
  <c r="B3353" i="113"/>
  <c r="B3354" i="113"/>
  <c r="B3355" i="113"/>
  <c r="B3356" i="113"/>
  <c r="B3357" i="113"/>
  <c r="B3358" i="113"/>
  <c r="B3359" i="113"/>
  <c r="B3360" i="113"/>
  <c r="B3361" i="113"/>
  <c r="B3362" i="113"/>
  <c r="B3363" i="113"/>
  <c r="B3364" i="113"/>
  <c r="B3365" i="113"/>
  <c r="B3366" i="113"/>
  <c r="B3367" i="113"/>
  <c r="B3368" i="113"/>
  <c r="B3369" i="113"/>
  <c r="B3370" i="113"/>
  <c r="B3371" i="113"/>
  <c r="B3372" i="113"/>
  <c r="B3373" i="113"/>
  <c r="B3374" i="113"/>
  <c r="B3375" i="113"/>
  <c r="B3376" i="113"/>
  <c r="B3377" i="113"/>
  <c r="B3378" i="113"/>
  <c r="B3379" i="113"/>
  <c r="B3380" i="113"/>
  <c r="B3381" i="113"/>
  <c r="B3382" i="113"/>
  <c r="B3383" i="113"/>
  <c r="B3384" i="113"/>
  <c r="B3385" i="113"/>
  <c r="B3386" i="113"/>
  <c r="B3387" i="113"/>
  <c r="B3388" i="113"/>
  <c r="B3389" i="113"/>
  <c r="B3390" i="113"/>
  <c r="B3391" i="113"/>
  <c r="B3392" i="113"/>
  <c r="B3393" i="113"/>
  <c r="B3394" i="113"/>
  <c r="B3395" i="113"/>
  <c r="B3396" i="113"/>
  <c r="B3397" i="113"/>
  <c r="B3398" i="113"/>
  <c r="B3399" i="113"/>
  <c r="B3400" i="113"/>
  <c r="B3401" i="113"/>
  <c r="B3402" i="113"/>
  <c r="B3403" i="113"/>
  <c r="B3404" i="113"/>
  <c r="B3405" i="113"/>
  <c r="B3406" i="113"/>
  <c r="B3407" i="113"/>
  <c r="B3408" i="113"/>
  <c r="B3409" i="113"/>
  <c r="B3410" i="113"/>
  <c r="B3411" i="113"/>
  <c r="B3412" i="113"/>
  <c r="B3413" i="113"/>
  <c r="B3414" i="113"/>
  <c r="B3415" i="113"/>
  <c r="B3416" i="113"/>
  <c r="B3417" i="113"/>
  <c r="B3418" i="113"/>
  <c r="B3419" i="113"/>
  <c r="B3420" i="113"/>
  <c r="B3421" i="113"/>
  <c r="B3422" i="113"/>
  <c r="B3423" i="113"/>
  <c r="B3424" i="113"/>
  <c r="B3425" i="113"/>
  <c r="B3426" i="113"/>
  <c r="B3427" i="113"/>
  <c r="B3428" i="113"/>
  <c r="B3429" i="113"/>
  <c r="B3430" i="113"/>
  <c r="B3431" i="113"/>
  <c r="B3432" i="113"/>
  <c r="B3433" i="113"/>
  <c r="B3434" i="113"/>
  <c r="B3435" i="113"/>
  <c r="B3436" i="113"/>
  <c r="B3437" i="113"/>
  <c r="B3438" i="113"/>
  <c r="B3439" i="113"/>
  <c r="B3440" i="113"/>
  <c r="B3441" i="113"/>
  <c r="B3442" i="113"/>
  <c r="B3443" i="113"/>
  <c r="B3444" i="113"/>
  <c r="B3445" i="113"/>
  <c r="B3446" i="113"/>
  <c r="B3447" i="113"/>
  <c r="B3448" i="113"/>
  <c r="B3449" i="113"/>
  <c r="B3450" i="113"/>
  <c r="B3451" i="113"/>
  <c r="B3452" i="113"/>
  <c r="B3453" i="113"/>
  <c r="B3454" i="113"/>
  <c r="B3455" i="113"/>
  <c r="B3456" i="113"/>
  <c r="B3457" i="113"/>
  <c r="B3458" i="113"/>
  <c r="B3459" i="113"/>
  <c r="B3460" i="113"/>
  <c r="B3461" i="113"/>
  <c r="B3462" i="113"/>
  <c r="B3463" i="113"/>
  <c r="B3464" i="113"/>
  <c r="B3465" i="113"/>
  <c r="B3466" i="113"/>
  <c r="B3467" i="113"/>
  <c r="B3468" i="113"/>
  <c r="B3469" i="113"/>
  <c r="B3470" i="113"/>
  <c r="B3471" i="113"/>
  <c r="B3472" i="113"/>
  <c r="B3473" i="113"/>
  <c r="B3474" i="113"/>
  <c r="B3475" i="113"/>
  <c r="B3476" i="113"/>
  <c r="B3477" i="113"/>
  <c r="B3478" i="113"/>
  <c r="N8" i="113" l="1"/>
  <c r="N9" i="113"/>
  <c r="G268" i="135" l="1"/>
  <c r="G296" i="135" s="1"/>
  <c r="E290" i="135"/>
  <c r="I297" i="135" l="1"/>
  <c r="G324" i="135"/>
  <c r="I269" i="135"/>
  <c r="K269" i="135" s="1"/>
  <c r="I325" i="135" l="1"/>
  <c r="K297" i="135"/>
  <c r="B127" i="113"/>
  <c r="B128" i="113"/>
  <c r="B129" i="113"/>
  <c r="B130" i="113"/>
  <c r="B131" i="113"/>
  <c r="B132" i="113"/>
  <c r="B133" i="113"/>
  <c r="B134" i="113"/>
  <c r="B135" i="113"/>
  <c r="B136" i="113"/>
  <c r="B137" i="113"/>
  <c r="B138" i="113"/>
  <c r="B139" i="113"/>
  <c r="B140" i="113"/>
  <c r="B141" i="113"/>
  <c r="B142" i="113"/>
  <c r="B143" i="113"/>
  <c r="B144" i="113"/>
  <c r="B145" i="113"/>
  <c r="B146" i="113"/>
  <c r="B147" i="113"/>
  <c r="B148" i="113"/>
  <c r="B149" i="113"/>
  <c r="B150" i="113"/>
  <c r="B151" i="113"/>
  <c r="B152" i="113"/>
  <c r="B153" i="113"/>
  <c r="B154" i="113"/>
  <c r="B155" i="113"/>
  <c r="B156" i="113"/>
  <c r="B157" i="113"/>
  <c r="B158" i="113"/>
  <c r="B159" i="113"/>
  <c r="B160" i="113"/>
  <c r="B161" i="113"/>
  <c r="B162" i="113"/>
  <c r="B163" i="113"/>
  <c r="B164" i="113"/>
  <c r="B165" i="113"/>
  <c r="B166" i="113"/>
  <c r="B167" i="113"/>
  <c r="B168" i="113"/>
  <c r="B169" i="113"/>
  <c r="B170" i="113"/>
  <c r="B171" i="113"/>
  <c r="B172" i="113"/>
  <c r="B173" i="113"/>
  <c r="B174" i="113"/>
  <c r="B175" i="113"/>
  <c r="B176" i="113"/>
  <c r="B177" i="113"/>
  <c r="B178" i="113"/>
  <c r="B179" i="113"/>
  <c r="B180" i="113"/>
  <c r="B181" i="113"/>
  <c r="B182" i="113"/>
  <c r="B183" i="113"/>
  <c r="B184" i="113"/>
  <c r="B185" i="113"/>
  <c r="B186" i="113"/>
  <c r="B187" i="113"/>
  <c r="B188" i="113"/>
  <c r="B189" i="113"/>
  <c r="B190" i="113"/>
  <c r="B191" i="113"/>
  <c r="B192" i="113"/>
  <c r="B193" i="113"/>
  <c r="B194" i="113"/>
  <c r="B195" i="113"/>
  <c r="B196" i="113"/>
  <c r="B197" i="113"/>
  <c r="B198" i="113"/>
  <c r="B199" i="113"/>
  <c r="B200" i="113"/>
  <c r="B201" i="113"/>
  <c r="B202" i="113"/>
  <c r="B203" i="113"/>
  <c r="B204" i="113"/>
  <c r="B205" i="113"/>
  <c r="B206" i="113"/>
  <c r="B207" i="113"/>
  <c r="B208" i="113"/>
  <c r="B209" i="113"/>
  <c r="B210" i="113"/>
  <c r="B211" i="113"/>
  <c r="B212" i="113"/>
  <c r="B213" i="113"/>
  <c r="B214" i="113"/>
  <c r="B215" i="113"/>
  <c r="B216" i="113"/>
  <c r="B217" i="113"/>
  <c r="B218" i="113"/>
  <c r="B219" i="113"/>
  <c r="B220" i="113"/>
  <c r="B221" i="113"/>
  <c r="B222" i="113"/>
  <c r="B223" i="113"/>
  <c r="B224" i="113"/>
  <c r="B225" i="113"/>
  <c r="B226" i="113"/>
  <c r="B227" i="113"/>
  <c r="B228" i="113"/>
  <c r="B229" i="113"/>
  <c r="B230" i="113"/>
  <c r="B231" i="113"/>
  <c r="B232" i="113"/>
  <c r="B233" i="113"/>
  <c r="B234" i="113"/>
  <c r="B235" i="113"/>
  <c r="B236" i="113"/>
  <c r="B237" i="113"/>
  <c r="B238" i="113"/>
  <c r="B239" i="113"/>
  <c r="B240" i="113"/>
  <c r="B241" i="113"/>
  <c r="B242" i="113"/>
  <c r="B243" i="113"/>
  <c r="B244" i="113"/>
  <c r="B245" i="113"/>
  <c r="B246" i="113"/>
  <c r="B247" i="113"/>
  <c r="B248" i="113"/>
  <c r="B249" i="113"/>
  <c r="B250" i="113"/>
  <c r="B251" i="113"/>
  <c r="B252" i="113"/>
  <c r="B253" i="113"/>
  <c r="B254" i="113"/>
  <c r="B255" i="113"/>
  <c r="B256" i="113"/>
  <c r="B257" i="113"/>
  <c r="B258" i="113"/>
  <c r="B259" i="113"/>
  <c r="B260" i="113"/>
  <c r="B261" i="113"/>
  <c r="B262" i="113"/>
  <c r="B263" i="113"/>
  <c r="B264" i="113"/>
  <c r="B265" i="113"/>
  <c r="B266" i="113"/>
  <c r="B267" i="113"/>
  <c r="B268" i="113"/>
  <c r="B269" i="113"/>
  <c r="B270" i="113"/>
  <c r="B271" i="113"/>
  <c r="B272" i="113"/>
  <c r="B273" i="113"/>
  <c r="B274" i="113"/>
  <c r="B275" i="113"/>
  <c r="B276" i="113"/>
  <c r="B277" i="113"/>
  <c r="B278" i="113"/>
  <c r="B279" i="113"/>
  <c r="B280" i="113"/>
  <c r="B281" i="113"/>
  <c r="B282" i="113"/>
  <c r="B283" i="113"/>
  <c r="B284" i="113"/>
  <c r="B285" i="113"/>
  <c r="B286" i="113"/>
  <c r="B287" i="113"/>
  <c r="B288" i="113"/>
  <c r="B289" i="113"/>
  <c r="B290" i="113"/>
  <c r="B291" i="113"/>
  <c r="B292" i="113"/>
  <c r="B293" i="113"/>
  <c r="B294" i="113"/>
  <c r="B295" i="113"/>
  <c r="B296" i="113"/>
  <c r="B297" i="113"/>
  <c r="B298" i="113"/>
  <c r="B299" i="113"/>
  <c r="B300" i="113"/>
  <c r="B301" i="113"/>
  <c r="B302" i="113"/>
  <c r="B303" i="113"/>
  <c r="B304" i="113"/>
  <c r="B305" i="113"/>
  <c r="B306" i="113"/>
  <c r="B307" i="113"/>
  <c r="B308" i="113"/>
  <c r="B309" i="113"/>
  <c r="B310" i="113"/>
  <c r="B311" i="113"/>
  <c r="B312" i="113"/>
  <c r="B313" i="113"/>
  <c r="B314" i="113"/>
  <c r="B315" i="113"/>
  <c r="B316" i="113"/>
  <c r="B317" i="113"/>
  <c r="B318" i="113"/>
  <c r="B319" i="113"/>
  <c r="B320" i="113"/>
  <c r="B321" i="113"/>
  <c r="B322" i="113"/>
  <c r="B323" i="113"/>
  <c r="B324" i="113"/>
  <c r="B325" i="113"/>
  <c r="B326" i="113"/>
  <c r="B327" i="113"/>
  <c r="B328" i="113"/>
  <c r="B329" i="113"/>
  <c r="B330" i="113"/>
  <c r="B331" i="113"/>
  <c r="B332" i="113"/>
  <c r="B333" i="113"/>
  <c r="B334" i="113"/>
  <c r="B335" i="113"/>
  <c r="B336" i="113"/>
  <c r="B337" i="113"/>
  <c r="B338" i="113"/>
  <c r="B339" i="113"/>
  <c r="B340" i="113"/>
  <c r="B341" i="113"/>
  <c r="B342" i="113"/>
  <c r="B343" i="113"/>
  <c r="B344" i="113"/>
  <c r="B345" i="113"/>
  <c r="B346" i="113"/>
  <c r="B347" i="113"/>
  <c r="B348" i="113"/>
  <c r="B349" i="113"/>
  <c r="B350" i="113"/>
  <c r="B351" i="113"/>
  <c r="B352" i="113"/>
  <c r="B353" i="113"/>
  <c r="B354" i="113"/>
  <c r="B355" i="113"/>
  <c r="B356" i="113"/>
  <c r="B357" i="113"/>
  <c r="B358" i="113"/>
  <c r="B359" i="113"/>
  <c r="B360" i="113"/>
  <c r="B361" i="113"/>
  <c r="B362" i="113"/>
  <c r="B363" i="113"/>
  <c r="B364" i="113"/>
  <c r="B365" i="113"/>
  <c r="B366" i="113"/>
  <c r="B367" i="113"/>
  <c r="B368" i="113"/>
  <c r="B369" i="113"/>
  <c r="B370" i="113"/>
  <c r="B371" i="113"/>
  <c r="B372" i="113"/>
  <c r="B373" i="113"/>
  <c r="B374" i="113"/>
  <c r="B375" i="113"/>
  <c r="B376" i="113"/>
  <c r="B377" i="113"/>
  <c r="B378" i="113"/>
  <c r="B379" i="113"/>
  <c r="B380" i="113"/>
  <c r="B381" i="113"/>
  <c r="B382" i="113"/>
  <c r="B383" i="113"/>
  <c r="B384" i="113"/>
  <c r="B385" i="113"/>
  <c r="B386" i="113"/>
  <c r="B387" i="113"/>
  <c r="B388" i="113"/>
  <c r="B389" i="113"/>
  <c r="B390" i="113"/>
  <c r="B391" i="113"/>
  <c r="B392" i="113"/>
  <c r="B393" i="113"/>
  <c r="B394" i="113"/>
  <c r="B395" i="113"/>
  <c r="B396" i="113"/>
  <c r="B397" i="113"/>
  <c r="B398" i="113"/>
  <c r="B399" i="113"/>
  <c r="B400" i="113"/>
  <c r="B401" i="113"/>
  <c r="B402" i="113"/>
  <c r="B403" i="113"/>
  <c r="B404" i="113"/>
  <c r="B405" i="113"/>
  <c r="B406" i="113"/>
  <c r="B407" i="113"/>
  <c r="B408" i="113"/>
  <c r="B409" i="113"/>
  <c r="B410" i="113"/>
  <c r="B411" i="113"/>
  <c r="B412" i="113"/>
  <c r="B413" i="113"/>
  <c r="B414" i="113"/>
  <c r="B415" i="113"/>
  <c r="B416" i="113"/>
  <c r="B417" i="113"/>
  <c r="B418" i="113"/>
  <c r="B419" i="113"/>
  <c r="B420" i="113"/>
  <c r="B421" i="113"/>
  <c r="B422" i="113"/>
  <c r="B423" i="113"/>
  <c r="B424" i="113"/>
  <c r="B425" i="113"/>
  <c r="B426" i="113"/>
  <c r="B427" i="113"/>
  <c r="B428" i="113"/>
  <c r="B429" i="113"/>
  <c r="B430" i="113"/>
  <c r="B431" i="113"/>
  <c r="B432" i="113"/>
  <c r="B433" i="113"/>
  <c r="B434" i="113"/>
  <c r="B435" i="113"/>
  <c r="B436" i="113"/>
  <c r="B437" i="113"/>
  <c r="B438" i="113"/>
  <c r="B439" i="113"/>
  <c r="B440" i="113"/>
  <c r="B441" i="113"/>
  <c r="B442" i="113"/>
  <c r="B443" i="113"/>
  <c r="B444" i="113"/>
  <c r="B445" i="113"/>
  <c r="B446" i="113"/>
  <c r="B447" i="113"/>
  <c r="B448" i="113"/>
  <c r="B449" i="113"/>
  <c r="B450" i="113"/>
  <c r="B451" i="113"/>
  <c r="B452" i="113"/>
  <c r="B453" i="113"/>
  <c r="B454" i="113"/>
  <c r="B455" i="113"/>
  <c r="B456" i="113"/>
  <c r="B457" i="113"/>
  <c r="B458" i="113"/>
  <c r="B459" i="113"/>
  <c r="B460" i="113"/>
  <c r="B461" i="113"/>
  <c r="B462" i="113"/>
  <c r="B463" i="113"/>
  <c r="B464" i="113"/>
  <c r="B465" i="113"/>
  <c r="B466" i="113"/>
  <c r="B467" i="113"/>
  <c r="B468" i="113"/>
  <c r="B469" i="113"/>
  <c r="B470" i="113"/>
  <c r="B471" i="113"/>
  <c r="B472" i="113"/>
  <c r="B473" i="113"/>
  <c r="B474" i="113"/>
  <c r="B475" i="113"/>
  <c r="B476" i="113"/>
  <c r="B477" i="113"/>
  <c r="B478" i="113"/>
  <c r="B479" i="113"/>
  <c r="B480" i="113"/>
  <c r="B481" i="113"/>
  <c r="B482" i="113"/>
  <c r="B483" i="113"/>
  <c r="B484" i="113"/>
  <c r="B485" i="113"/>
  <c r="B486" i="113"/>
  <c r="B487" i="113"/>
  <c r="B488" i="113"/>
  <c r="B489" i="113"/>
  <c r="B490" i="113"/>
  <c r="B491" i="113"/>
  <c r="B492" i="113"/>
  <c r="B493" i="113"/>
  <c r="B494" i="113"/>
  <c r="B495" i="113"/>
  <c r="B496" i="113"/>
  <c r="B497" i="113"/>
  <c r="B498" i="113"/>
  <c r="B499" i="113"/>
  <c r="B500" i="113"/>
  <c r="B501" i="113"/>
  <c r="B502" i="113"/>
  <c r="B503" i="113"/>
  <c r="B504" i="113"/>
  <c r="B505" i="113"/>
  <c r="B506" i="113"/>
  <c r="B507" i="113"/>
  <c r="B508" i="113"/>
  <c r="B509" i="113"/>
  <c r="B510" i="113"/>
  <c r="B511" i="113"/>
  <c r="B512" i="113"/>
  <c r="B513" i="113"/>
  <c r="B514" i="113"/>
  <c r="B515" i="113"/>
  <c r="B516" i="113"/>
  <c r="B517" i="113"/>
  <c r="B518" i="113"/>
  <c r="B519" i="113"/>
  <c r="B520" i="113"/>
  <c r="B521" i="113"/>
  <c r="B522" i="113"/>
  <c r="B523" i="113"/>
  <c r="B524" i="113"/>
  <c r="B525" i="113"/>
  <c r="B526" i="113"/>
  <c r="B527" i="113"/>
  <c r="B528" i="113"/>
  <c r="B529" i="113"/>
  <c r="B530" i="113"/>
  <c r="B531" i="113"/>
  <c r="B532" i="113"/>
  <c r="B533" i="113"/>
  <c r="B534" i="113"/>
  <c r="B535" i="113"/>
  <c r="B536" i="113"/>
  <c r="B537" i="113"/>
  <c r="B538" i="113"/>
  <c r="B539" i="113"/>
  <c r="B540" i="113"/>
  <c r="B541" i="113"/>
  <c r="B542" i="113"/>
  <c r="B543" i="113"/>
  <c r="B544" i="113"/>
  <c r="B545" i="113"/>
  <c r="B546" i="113"/>
  <c r="B547" i="113"/>
  <c r="B548" i="113"/>
  <c r="B549" i="113"/>
  <c r="B550" i="113"/>
  <c r="B551" i="113"/>
  <c r="B552" i="113"/>
  <c r="B553" i="113"/>
  <c r="B554" i="113"/>
  <c r="B555" i="113"/>
  <c r="B556" i="113"/>
  <c r="B557" i="113"/>
  <c r="B558" i="113"/>
  <c r="B559" i="113"/>
  <c r="B560" i="113"/>
  <c r="B561" i="113"/>
  <c r="B562" i="113"/>
  <c r="B563" i="113"/>
  <c r="B564" i="113"/>
  <c r="B565" i="113"/>
  <c r="B566" i="113"/>
  <c r="B567" i="113"/>
  <c r="B568" i="113"/>
  <c r="B569" i="113"/>
  <c r="B570" i="113"/>
  <c r="B571" i="113"/>
  <c r="B572" i="113"/>
  <c r="B573" i="113"/>
  <c r="B574" i="113"/>
  <c r="B575" i="113"/>
  <c r="B576" i="113"/>
  <c r="B577" i="113"/>
  <c r="B578" i="113"/>
  <c r="B579" i="113"/>
  <c r="B580" i="113"/>
  <c r="B581" i="113"/>
  <c r="B582" i="113"/>
  <c r="B583" i="113"/>
  <c r="B584" i="113"/>
  <c r="B585" i="113"/>
  <c r="B586" i="113"/>
  <c r="B587" i="113"/>
  <c r="B588" i="113"/>
  <c r="B589" i="113"/>
  <c r="B590" i="113"/>
  <c r="B591" i="113"/>
  <c r="B592" i="113"/>
  <c r="B593" i="113"/>
  <c r="B594" i="113"/>
  <c r="B595" i="113"/>
  <c r="B596" i="113"/>
  <c r="B597" i="113"/>
  <c r="B598" i="113"/>
  <c r="B599" i="113"/>
  <c r="B600" i="113"/>
  <c r="B601" i="113"/>
  <c r="B602" i="113"/>
  <c r="B603" i="113"/>
  <c r="B604" i="113"/>
  <c r="B605" i="113"/>
  <c r="B606" i="113"/>
  <c r="B607" i="113"/>
  <c r="B608" i="113"/>
  <c r="B609" i="113"/>
  <c r="B610" i="113"/>
  <c r="B611" i="113"/>
  <c r="B612" i="113"/>
  <c r="B613" i="113"/>
  <c r="B614" i="113"/>
  <c r="B615" i="113"/>
  <c r="B616" i="113"/>
  <c r="B617" i="113"/>
  <c r="B618" i="113"/>
  <c r="B619" i="113"/>
  <c r="B620" i="113"/>
  <c r="B621" i="113"/>
  <c r="B622" i="113"/>
  <c r="B623" i="113"/>
  <c r="B624" i="113"/>
  <c r="B625" i="113"/>
  <c r="B626" i="113"/>
  <c r="B627" i="113"/>
  <c r="B628" i="113"/>
  <c r="B629" i="113"/>
  <c r="B630" i="113"/>
  <c r="B631" i="113"/>
  <c r="B632" i="113"/>
  <c r="B633" i="113"/>
  <c r="B634" i="113"/>
  <c r="B635" i="113"/>
  <c r="B636" i="113"/>
  <c r="B637" i="113"/>
  <c r="B638" i="113"/>
  <c r="B639" i="113"/>
  <c r="B640" i="113"/>
  <c r="B641" i="113"/>
  <c r="B642" i="113"/>
  <c r="B643" i="113"/>
  <c r="B644" i="113"/>
  <c r="B645" i="113"/>
  <c r="B646" i="113"/>
  <c r="B647" i="113"/>
  <c r="B648" i="113"/>
  <c r="B649" i="113"/>
  <c r="B650" i="113"/>
  <c r="B651" i="113"/>
  <c r="B652" i="113"/>
  <c r="B653" i="113"/>
  <c r="B654" i="113"/>
  <c r="B655" i="113"/>
  <c r="B656" i="113"/>
  <c r="B657" i="113"/>
  <c r="B658" i="113"/>
  <c r="B659" i="113"/>
  <c r="B660" i="113"/>
  <c r="B661" i="113"/>
  <c r="B662" i="113"/>
  <c r="B663" i="113"/>
  <c r="B664" i="113"/>
  <c r="B665" i="113"/>
  <c r="B666" i="113"/>
  <c r="B667" i="113"/>
  <c r="B668" i="113"/>
  <c r="B669" i="113"/>
  <c r="B670" i="113"/>
  <c r="B671" i="113"/>
  <c r="B672" i="113"/>
  <c r="B673" i="113"/>
  <c r="B674" i="113"/>
  <c r="B675" i="113"/>
  <c r="B676" i="113"/>
  <c r="B677" i="113"/>
  <c r="B678" i="113"/>
  <c r="B679" i="113"/>
  <c r="B680" i="113"/>
  <c r="B681" i="113"/>
  <c r="B682" i="113"/>
  <c r="B683" i="113"/>
  <c r="B684" i="113"/>
  <c r="B685" i="113"/>
  <c r="B686" i="113"/>
  <c r="B687" i="113"/>
  <c r="B688" i="113"/>
  <c r="B689" i="113"/>
  <c r="B690" i="113"/>
  <c r="B691" i="113"/>
  <c r="B692" i="113"/>
  <c r="B693" i="113"/>
  <c r="B694" i="113"/>
  <c r="B695" i="113"/>
  <c r="B696" i="113"/>
  <c r="B697" i="113"/>
  <c r="B698" i="113"/>
  <c r="B699" i="113"/>
  <c r="B700" i="113"/>
  <c r="B701" i="113"/>
  <c r="B702" i="113"/>
  <c r="B703" i="113"/>
  <c r="B704" i="113"/>
  <c r="B705" i="113"/>
  <c r="B706" i="113"/>
  <c r="B707" i="113"/>
  <c r="B708" i="113"/>
  <c r="B709" i="113"/>
  <c r="B710" i="113"/>
  <c r="B711" i="113"/>
  <c r="B712" i="113"/>
  <c r="B713" i="113"/>
  <c r="B714" i="113"/>
  <c r="B715" i="113"/>
  <c r="B716" i="113"/>
  <c r="B717" i="113"/>
  <c r="B718" i="113"/>
  <c r="B719" i="113"/>
  <c r="B720" i="113"/>
  <c r="B721" i="113"/>
  <c r="B722" i="113"/>
  <c r="B723" i="113"/>
  <c r="B724" i="113"/>
  <c r="B725" i="113"/>
  <c r="B726" i="113"/>
  <c r="B727" i="113"/>
  <c r="B728" i="113"/>
  <c r="B729" i="113"/>
  <c r="B730" i="113"/>
  <c r="B731" i="113"/>
  <c r="B732" i="113"/>
  <c r="B733" i="113"/>
  <c r="B734" i="113"/>
  <c r="B735" i="113"/>
  <c r="B736" i="113"/>
  <c r="B737" i="113"/>
  <c r="B738" i="113"/>
  <c r="B739" i="113"/>
  <c r="B740" i="113"/>
  <c r="B741" i="113"/>
  <c r="B742" i="113"/>
  <c r="B743" i="113"/>
  <c r="B744" i="113"/>
  <c r="B745" i="113"/>
  <c r="B746" i="113"/>
  <c r="B747" i="113"/>
  <c r="B748" i="113"/>
  <c r="B749" i="113"/>
  <c r="B750" i="113"/>
  <c r="B751" i="113"/>
  <c r="B752" i="113"/>
  <c r="B753" i="113"/>
  <c r="B754" i="113"/>
  <c r="B755" i="113"/>
  <c r="B756" i="113"/>
  <c r="B757" i="113"/>
  <c r="B758" i="113"/>
  <c r="B759" i="113"/>
  <c r="B760" i="113"/>
  <c r="B761" i="113"/>
  <c r="B762" i="113"/>
  <c r="B763" i="113"/>
  <c r="B764" i="113"/>
  <c r="B765" i="113"/>
  <c r="B766" i="113"/>
  <c r="B767" i="113"/>
  <c r="B768" i="113"/>
  <c r="B769" i="113"/>
  <c r="B770" i="113"/>
  <c r="B771" i="113"/>
  <c r="B772" i="113"/>
  <c r="B773" i="113"/>
  <c r="B774" i="113"/>
  <c r="B775" i="113"/>
  <c r="B776" i="113"/>
  <c r="B777" i="113"/>
  <c r="B778" i="113"/>
  <c r="B779" i="113"/>
  <c r="B780" i="113"/>
  <c r="B781" i="113"/>
  <c r="B782" i="113"/>
  <c r="B783" i="113"/>
  <c r="B784" i="113"/>
  <c r="B785" i="113"/>
  <c r="B786" i="113"/>
  <c r="B787" i="113"/>
  <c r="B788" i="113"/>
  <c r="B789" i="113"/>
  <c r="B790" i="113"/>
  <c r="B791" i="113"/>
  <c r="B792" i="113"/>
  <c r="B793" i="113"/>
  <c r="B794" i="113"/>
  <c r="B795" i="113"/>
  <c r="B796" i="113"/>
  <c r="B797" i="113"/>
  <c r="B798" i="113"/>
  <c r="B799" i="113"/>
  <c r="B800" i="113"/>
  <c r="B801" i="113"/>
  <c r="B802" i="113"/>
  <c r="B803" i="113"/>
  <c r="B804" i="113"/>
  <c r="B805" i="113"/>
  <c r="B806" i="113"/>
  <c r="B807" i="113"/>
  <c r="B808" i="113"/>
  <c r="B809" i="113"/>
  <c r="B810" i="113"/>
  <c r="B811" i="113"/>
  <c r="B812" i="113"/>
  <c r="B813" i="113"/>
  <c r="B814" i="113"/>
  <c r="B815" i="113"/>
  <c r="B816" i="113"/>
  <c r="B817" i="113"/>
  <c r="B818" i="113"/>
  <c r="B819" i="113"/>
  <c r="B820" i="113"/>
  <c r="B821" i="113"/>
  <c r="B822" i="113"/>
  <c r="B823" i="113"/>
  <c r="B824" i="113"/>
  <c r="B825" i="113"/>
  <c r="B826" i="113"/>
  <c r="B827" i="113"/>
  <c r="B828" i="113"/>
  <c r="B829" i="113"/>
  <c r="B830" i="113"/>
  <c r="B831" i="113"/>
  <c r="B832" i="113"/>
  <c r="B833" i="113"/>
  <c r="B834" i="113"/>
  <c r="B835" i="113"/>
  <c r="B836" i="113"/>
  <c r="B837" i="113"/>
  <c r="B838" i="113"/>
  <c r="B839" i="113"/>
  <c r="B840" i="113"/>
  <c r="B841" i="113"/>
  <c r="B842" i="113"/>
  <c r="B843" i="113"/>
  <c r="B844" i="113"/>
  <c r="B845" i="113"/>
  <c r="B846" i="113"/>
  <c r="B847" i="113"/>
  <c r="B848" i="113"/>
  <c r="B849" i="113"/>
  <c r="B850" i="113"/>
  <c r="B851" i="113"/>
  <c r="B852" i="113"/>
  <c r="B853" i="113"/>
  <c r="B854" i="113"/>
  <c r="B855" i="113"/>
  <c r="B856" i="113"/>
  <c r="B857" i="113"/>
  <c r="B858" i="113"/>
  <c r="B859" i="113"/>
  <c r="B860" i="113"/>
  <c r="B861" i="113"/>
  <c r="B862" i="113"/>
  <c r="B863" i="113"/>
  <c r="B864" i="113"/>
  <c r="B865" i="113"/>
  <c r="B866" i="113"/>
  <c r="B867" i="113"/>
  <c r="B868" i="113"/>
  <c r="B869" i="113"/>
  <c r="B870" i="113"/>
  <c r="B871" i="113"/>
  <c r="B872" i="113"/>
  <c r="B873" i="113"/>
  <c r="B874" i="113"/>
  <c r="B875" i="113"/>
  <c r="B876" i="113"/>
  <c r="B877" i="113"/>
  <c r="B878" i="113"/>
  <c r="B879" i="113"/>
  <c r="B880" i="113"/>
  <c r="B881" i="113"/>
  <c r="B882" i="113"/>
  <c r="B883" i="113"/>
  <c r="B884" i="113"/>
  <c r="B885" i="113"/>
  <c r="B886" i="113"/>
  <c r="B887" i="113"/>
  <c r="B888" i="113"/>
  <c r="B889" i="113"/>
  <c r="B890" i="113"/>
  <c r="B891" i="113"/>
  <c r="B892" i="113"/>
  <c r="B893" i="113"/>
  <c r="B894" i="113"/>
  <c r="B895" i="113"/>
  <c r="B896" i="113"/>
  <c r="B897" i="113"/>
  <c r="B898" i="113"/>
  <c r="B899" i="113"/>
  <c r="B900" i="113"/>
  <c r="B901" i="113"/>
  <c r="B902" i="113"/>
  <c r="B903" i="113"/>
  <c r="B904" i="113"/>
  <c r="B905" i="113"/>
  <c r="B906" i="113"/>
  <c r="B907" i="113"/>
  <c r="B908" i="113"/>
  <c r="B909" i="113"/>
  <c r="B910" i="113"/>
  <c r="B911" i="113"/>
  <c r="B912" i="113"/>
  <c r="B913" i="113"/>
  <c r="B914" i="113"/>
  <c r="B915" i="113"/>
  <c r="B916" i="113"/>
  <c r="B917" i="113"/>
  <c r="B918" i="113"/>
  <c r="B919" i="113"/>
  <c r="B920" i="113"/>
  <c r="B921" i="113"/>
  <c r="B922" i="113"/>
  <c r="B923" i="113"/>
  <c r="B924" i="113"/>
  <c r="B925" i="113"/>
  <c r="B926" i="113"/>
  <c r="B927" i="113"/>
  <c r="B928" i="113"/>
  <c r="B929" i="113"/>
  <c r="B930" i="113"/>
  <c r="B931" i="113"/>
  <c r="B932" i="113"/>
  <c r="B933" i="113"/>
  <c r="B934" i="113"/>
  <c r="B935" i="113"/>
  <c r="B936" i="113"/>
  <c r="B937" i="113"/>
  <c r="B938" i="113"/>
  <c r="B939" i="113"/>
  <c r="B940" i="113"/>
  <c r="B941" i="113"/>
  <c r="B942" i="113"/>
  <c r="B943" i="113"/>
  <c r="B944" i="113"/>
  <c r="B945" i="113"/>
  <c r="B946" i="113"/>
  <c r="B947" i="113"/>
  <c r="B948" i="113"/>
  <c r="B949" i="113"/>
  <c r="B950" i="113"/>
  <c r="B951" i="113"/>
  <c r="B952" i="113"/>
  <c r="B953" i="113"/>
  <c r="B954" i="113"/>
  <c r="B955" i="113"/>
  <c r="B956" i="113"/>
  <c r="B957" i="113"/>
  <c r="B958" i="113"/>
  <c r="B959" i="113"/>
  <c r="B960" i="113"/>
  <c r="B961" i="113"/>
  <c r="B962" i="113"/>
  <c r="B963" i="113"/>
  <c r="B964" i="113"/>
  <c r="B965" i="113"/>
  <c r="B966" i="113"/>
  <c r="B967" i="113"/>
  <c r="B968" i="113"/>
  <c r="B969" i="113"/>
  <c r="B970" i="113"/>
  <c r="B971" i="113"/>
  <c r="B972" i="113"/>
  <c r="B973" i="113"/>
  <c r="B974" i="113"/>
  <c r="B975" i="113"/>
  <c r="B976" i="113"/>
  <c r="B977" i="113"/>
  <c r="B978" i="113"/>
  <c r="B979" i="113"/>
  <c r="B980" i="113"/>
  <c r="B981" i="113"/>
  <c r="B982" i="113"/>
  <c r="B983" i="113"/>
  <c r="B984" i="113"/>
  <c r="B985" i="113"/>
  <c r="B986" i="113"/>
  <c r="B987" i="113"/>
  <c r="B988" i="113"/>
  <c r="B989" i="113"/>
  <c r="B990" i="113"/>
  <c r="B991" i="113"/>
  <c r="B992" i="113"/>
  <c r="B993" i="113"/>
  <c r="B994" i="113"/>
  <c r="B995" i="113"/>
  <c r="B996" i="113"/>
  <c r="B997" i="113"/>
  <c r="B998" i="113"/>
  <c r="B999" i="113"/>
  <c r="B1000" i="113"/>
  <c r="B1001" i="113"/>
  <c r="B1002" i="113"/>
  <c r="B1003" i="113"/>
  <c r="B1004" i="113"/>
  <c r="B1005" i="113"/>
  <c r="B1006" i="113"/>
  <c r="B1007" i="113"/>
  <c r="B1008" i="113"/>
  <c r="B1009" i="113"/>
  <c r="B1010" i="113"/>
  <c r="B1011" i="113"/>
  <c r="B1012" i="113"/>
  <c r="B1013" i="113"/>
  <c r="B1014" i="113"/>
  <c r="B1015" i="113"/>
  <c r="B1016" i="113"/>
  <c r="B1017" i="113"/>
  <c r="B1018" i="113"/>
  <c r="B1019" i="113"/>
  <c r="B1020" i="113"/>
  <c r="B1021" i="113"/>
  <c r="B1022" i="113"/>
  <c r="B1023" i="113"/>
  <c r="B1024" i="113"/>
  <c r="B1025" i="113"/>
  <c r="B1026" i="113"/>
  <c r="B1027" i="113"/>
  <c r="B1028" i="113"/>
  <c r="B1029" i="113"/>
  <c r="B1030" i="113"/>
  <c r="B1031" i="113"/>
  <c r="B1032" i="113"/>
  <c r="B1033" i="113"/>
  <c r="B1034" i="113"/>
  <c r="B1035" i="113"/>
  <c r="B1036" i="113"/>
  <c r="B1037" i="113"/>
  <c r="B1038" i="113"/>
  <c r="B1039" i="113"/>
  <c r="B1040" i="113"/>
  <c r="B1041" i="113"/>
  <c r="B1042" i="113"/>
  <c r="B1043" i="113"/>
  <c r="B1044" i="113"/>
  <c r="B1045" i="113"/>
  <c r="B1046" i="113"/>
  <c r="B1047" i="113"/>
  <c r="B1048" i="113"/>
  <c r="B1049" i="113"/>
  <c r="B1050" i="113"/>
  <c r="B1051" i="113"/>
  <c r="B1052" i="113"/>
  <c r="B1053" i="113"/>
  <c r="B1054" i="113"/>
  <c r="B1055" i="113"/>
  <c r="B1056" i="113"/>
  <c r="B1057" i="113"/>
  <c r="B1058" i="113"/>
  <c r="B1059" i="113"/>
  <c r="B1060" i="113"/>
  <c r="B1061" i="113"/>
  <c r="B1062" i="113"/>
  <c r="B1063" i="113"/>
  <c r="B1064" i="113"/>
  <c r="B1065" i="113"/>
  <c r="B1066" i="113"/>
  <c r="B1067" i="113"/>
  <c r="B1068" i="113"/>
  <c r="B1069" i="113"/>
  <c r="B1070" i="113"/>
  <c r="B1071" i="113"/>
  <c r="B1072" i="113"/>
  <c r="B1073" i="113"/>
  <c r="B1074" i="113"/>
  <c r="B1075" i="113"/>
  <c r="B1076" i="113"/>
  <c r="B1077" i="113"/>
  <c r="B1078" i="113"/>
  <c r="B1079" i="113"/>
  <c r="B1080" i="113"/>
  <c r="B1081" i="113"/>
  <c r="B1082" i="113"/>
  <c r="B1083" i="113"/>
  <c r="B1084" i="113"/>
  <c r="B1085" i="113"/>
  <c r="B1086" i="113"/>
  <c r="B1087" i="113"/>
  <c r="B1088" i="113"/>
  <c r="B1089" i="113"/>
  <c r="B1090" i="113"/>
  <c r="B1091" i="113"/>
  <c r="B1092" i="113"/>
  <c r="B1093" i="113"/>
  <c r="B1094" i="113"/>
  <c r="B1095" i="113"/>
  <c r="B1096" i="113"/>
  <c r="B1097" i="113"/>
  <c r="B1098" i="113"/>
  <c r="B1099" i="113"/>
  <c r="B1100" i="113"/>
  <c r="B1101" i="113"/>
  <c r="B1102" i="113"/>
  <c r="B1103" i="113"/>
  <c r="B1104" i="113"/>
  <c r="B1105" i="113"/>
  <c r="B1106" i="113"/>
  <c r="B1107" i="113"/>
  <c r="B1108" i="113"/>
  <c r="B1109" i="113"/>
  <c r="B1110" i="113"/>
  <c r="B1111" i="113"/>
  <c r="B1112" i="113"/>
  <c r="B1113" i="113"/>
  <c r="B1114" i="113"/>
  <c r="B1115" i="113"/>
  <c r="B1116" i="113"/>
  <c r="B1117" i="113"/>
  <c r="B1118" i="113"/>
  <c r="B1119" i="113"/>
  <c r="B1120" i="113"/>
  <c r="B1121" i="113"/>
  <c r="B1122" i="113"/>
  <c r="B1123" i="113"/>
  <c r="B1124" i="113"/>
  <c r="B1125" i="113"/>
  <c r="B1126" i="113"/>
  <c r="B1127" i="113"/>
  <c r="B1128" i="113"/>
  <c r="B1129" i="113"/>
  <c r="B1130" i="113"/>
  <c r="B1131" i="113"/>
  <c r="B1132" i="113"/>
  <c r="B1133" i="113"/>
  <c r="B1134" i="113"/>
  <c r="B1135" i="113"/>
  <c r="B1136" i="113"/>
  <c r="B1137" i="113"/>
  <c r="B1138" i="113"/>
  <c r="B1139" i="113"/>
  <c r="B1140" i="113"/>
  <c r="B1141" i="113"/>
  <c r="B1142" i="113"/>
  <c r="B1143" i="113"/>
  <c r="B1144" i="113"/>
  <c r="B1145" i="113"/>
  <c r="B1146" i="113"/>
  <c r="B1147" i="113"/>
  <c r="B1148" i="113"/>
  <c r="B1149" i="113"/>
  <c r="B1150" i="113"/>
  <c r="B1151" i="113"/>
  <c r="B1152" i="113"/>
  <c r="B1153" i="113"/>
  <c r="B1154" i="113"/>
  <c r="B1155" i="113"/>
  <c r="B1156" i="113"/>
  <c r="B1157" i="113"/>
  <c r="B1158" i="113"/>
  <c r="B1159" i="113"/>
  <c r="B1160" i="113"/>
  <c r="B1161" i="113"/>
  <c r="B1162" i="113"/>
  <c r="B1163" i="113"/>
  <c r="B1164" i="113"/>
  <c r="B1165" i="113"/>
  <c r="B1166" i="113"/>
  <c r="B1167" i="113"/>
  <c r="B1168" i="113"/>
  <c r="B1169" i="113"/>
  <c r="B1170" i="113"/>
  <c r="B1171" i="113"/>
  <c r="B1172" i="113"/>
  <c r="B1173" i="113"/>
  <c r="B1174" i="113"/>
  <c r="B1175" i="113"/>
  <c r="B1176" i="113"/>
  <c r="B1177" i="113"/>
  <c r="B1178" i="113"/>
  <c r="B1179" i="113"/>
  <c r="B1180" i="113"/>
  <c r="B1181" i="113"/>
  <c r="B1182" i="113"/>
  <c r="B1183" i="113"/>
  <c r="B1184" i="113"/>
  <c r="B1185" i="113"/>
  <c r="B1186" i="113"/>
  <c r="B1187" i="113"/>
  <c r="B1188" i="113"/>
  <c r="B1189" i="113"/>
  <c r="B1190" i="113"/>
  <c r="B1191" i="113"/>
  <c r="B1192" i="113"/>
  <c r="B1193" i="113"/>
  <c r="B1194" i="113"/>
  <c r="B1195" i="113"/>
  <c r="B1196" i="113"/>
  <c r="B1197" i="113"/>
  <c r="B1198" i="113"/>
  <c r="B1199" i="113"/>
  <c r="B1200" i="113"/>
  <c r="B1201" i="113"/>
  <c r="B1202" i="113"/>
  <c r="B1203" i="113"/>
  <c r="B1204" i="113"/>
  <c r="B1205" i="113"/>
  <c r="B1206" i="113"/>
  <c r="B1207" i="113"/>
  <c r="B1208" i="113"/>
  <c r="B1209" i="113"/>
  <c r="B1210" i="113"/>
  <c r="B1211" i="113"/>
  <c r="B1212" i="113"/>
  <c r="B1213" i="113"/>
  <c r="B1214" i="113"/>
  <c r="B1215" i="113"/>
  <c r="B1216" i="113"/>
  <c r="B1217" i="113"/>
  <c r="B1218" i="113"/>
  <c r="B1219" i="113"/>
  <c r="B1220" i="113"/>
  <c r="B1221" i="113"/>
  <c r="B1222" i="113"/>
  <c r="B1223" i="113"/>
  <c r="B1224" i="113"/>
  <c r="B1225" i="113"/>
  <c r="B1226" i="113"/>
  <c r="B1227" i="113"/>
  <c r="B1228" i="113"/>
  <c r="B1229" i="113"/>
  <c r="B1230" i="113"/>
  <c r="B1231" i="113"/>
  <c r="B1232" i="113"/>
  <c r="B1233" i="113"/>
  <c r="B1234" i="113"/>
  <c r="B1235" i="113"/>
  <c r="B1236" i="113"/>
  <c r="B1237" i="113"/>
  <c r="B1238" i="113"/>
  <c r="B1239" i="113"/>
  <c r="B1240" i="113"/>
  <c r="B1241" i="113"/>
  <c r="B1242" i="113"/>
  <c r="B1243" i="113"/>
  <c r="B1244" i="113"/>
  <c r="B1245" i="113"/>
  <c r="B1246" i="113"/>
  <c r="B1247" i="113"/>
  <c r="B1248" i="113"/>
  <c r="B1249" i="113"/>
  <c r="B1250" i="113"/>
  <c r="B1251" i="113"/>
  <c r="B1252" i="113"/>
  <c r="B1253" i="113"/>
  <c r="B1254" i="113"/>
  <c r="B1255" i="113"/>
  <c r="B1256" i="113"/>
  <c r="B1257" i="113"/>
  <c r="B1258" i="113"/>
  <c r="B1259" i="113"/>
  <c r="B1260" i="113"/>
  <c r="B1261" i="113"/>
  <c r="B1262" i="113"/>
  <c r="B1263" i="113"/>
  <c r="B1264" i="113"/>
  <c r="B1265" i="113"/>
  <c r="B1266" i="113"/>
  <c r="B1267" i="113"/>
  <c r="B1268" i="113"/>
  <c r="B1269" i="113"/>
  <c r="B1270" i="113"/>
  <c r="B1271" i="113"/>
  <c r="B1272" i="113"/>
  <c r="B1273" i="113"/>
  <c r="B1274" i="113"/>
  <c r="B1275" i="113"/>
  <c r="B1276" i="113"/>
  <c r="B1277" i="113"/>
  <c r="B1278" i="113"/>
  <c r="B1279" i="113"/>
  <c r="B1280" i="113"/>
  <c r="B1281" i="113"/>
  <c r="B1282" i="113"/>
  <c r="B1283" i="113"/>
  <c r="B1284" i="113"/>
  <c r="B1285" i="113"/>
  <c r="B1286" i="113"/>
  <c r="B1287" i="113"/>
  <c r="B1288" i="113"/>
  <c r="B1289" i="113"/>
  <c r="B1290" i="113"/>
  <c r="B1291" i="113"/>
  <c r="B1292" i="113"/>
  <c r="B1293" i="113"/>
  <c r="B1294" i="113"/>
  <c r="B1295" i="113"/>
  <c r="B1296" i="113"/>
  <c r="B1297" i="113"/>
  <c r="B1298" i="113"/>
  <c r="B1299" i="113"/>
  <c r="B1300" i="113"/>
  <c r="B1301" i="113"/>
  <c r="B1302" i="113"/>
  <c r="B1303" i="113"/>
  <c r="B1304" i="113"/>
  <c r="B1305" i="113"/>
  <c r="B1306" i="113"/>
  <c r="B1307" i="113"/>
  <c r="B1308" i="113"/>
  <c r="B1309" i="113"/>
  <c r="B1310" i="113"/>
  <c r="B1311" i="113"/>
  <c r="B1312" i="113"/>
  <c r="B1313" i="113"/>
  <c r="B1314" i="113"/>
  <c r="B1315" i="113"/>
  <c r="B1316" i="113"/>
  <c r="B1317" i="113"/>
  <c r="B1318" i="113"/>
  <c r="B1319" i="113"/>
  <c r="B1320" i="113"/>
  <c r="B1321" i="113"/>
  <c r="B1322" i="113"/>
  <c r="B1323" i="113"/>
  <c r="B1324" i="113"/>
  <c r="B1325" i="113"/>
  <c r="B1326" i="113"/>
  <c r="B1327" i="113"/>
  <c r="B1328" i="113"/>
  <c r="B1329" i="113"/>
  <c r="B1330" i="113"/>
  <c r="B1331" i="113"/>
  <c r="B1332" i="113"/>
  <c r="B1333" i="113"/>
  <c r="B1334" i="113"/>
  <c r="B1335" i="113"/>
  <c r="B1336" i="113"/>
  <c r="B1337" i="113"/>
  <c r="B1338" i="113"/>
  <c r="B1339" i="113"/>
  <c r="B1340" i="113"/>
  <c r="B1341" i="113"/>
  <c r="B1342" i="113"/>
  <c r="B1343" i="113"/>
  <c r="B1344" i="113"/>
  <c r="B1345" i="113"/>
  <c r="B1346" i="113"/>
  <c r="B1347" i="113"/>
  <c r="B1348" i="113"/>
  <c r="B1349" i="113"/>
  <c r="B1350" i="113"/>
  <c r="B1351" i="113"/>
  <c r="B1352" i="113"/>
  <c r="B1353" i="113"/>
  <c r="B1354" i="113"/>
  <c r="B1355" i="113"/>
  <c r="B1356" i="113"/>
  <c r="B1357" i="113"/>
  <c r="B1358" i="113"/>
  <c r="B1359" i="113"/>
  <c r="B1360" i="113"/>
  <c r="B1361" i="113"/>
  <c r="B1362" i="113"/>
  <c r="B1363" i="113"/>
  <c r="B1364" i="113"/>
  <c r="B1365" i="113"/>
  <c r="B1366" i="113"/>
  <c r="B1367" i="113"/>
  <c r="B1368" i="113"/>
  <c r="B1369" i="113"/>
  <c r="B1370" i="113"/>
  <c r="B1371" i="113"/>
  <c r="B1372" i="113"/>
  <c r="B1373" i="113"/>
  <c r="B1374" i="113"/>
  <c r="B1375" i="113"/>
  <c r="B1376" i="113"/>
  <c r="B1377" i="113"/>
  <c r="B1378" i="113"/>
  <c r="B1379" i="113"/>
  <c r="B1380" i="113"/>
  <c r="B1381" i="113"/>
  <c r="B1382" i="113"/>
  <c r="B1383" i="113"/>
  <c r="B1384" i="113"/>
  <c r="B1385" i="113"/>
  <c r="B1386" i="113"/>
  <c r="B1387" i="113"/>
  <c r="B1388" i="113"/>
  <c r="B1389" i="113"/>
  <c r="B1390" i="113"/>
  <c r="B1391" i="113"/>
  <c r="B1392" i="113"/>
  <c r="B1393" i="113"/>
  <c r="B1394" i="113"/>
  <c r="B1395" i="113"/>
  <c r="B1396" i="113"/>
  <c r="B1397" i="113"/>
  <c r="B1398" i="113"/>
  <c r="B1399" i="113"/>
  <c r="B1400" i="113"/>
  <c r="B1401" i="113"/>
  <c r="B1402" i="113"/>
  <c r="B1403" i="113"/>
  <c r="B1404" i="113"/>
  <c r="B1405" i="113"/>
  <c r="B1406" i="113"/>
  <c r="B1407" i="113"/>
  <c r="B1408" i="113"/>
  <c r="B1409" i="113"/>
  <c r="B1410" i="113"/>
  <c r="B1411" i="113"/>
  <c r="B1412" i="113"/>
  <c r="B1413" i="113"/>
  <c r="B1414" i="113"/>
  <c r="B1415" i="113"/>
  <c r="B1416" i="113"/>
  <c r="B1417" i="113"/>
  <c r="B1418" i="113"/>
  <c r="B1419" i="113"/>
  <c r="B1420" i="113"/>
  <c r="B1421" i="113"/>
  <c r="B1422" i="113"/>
  <c r="B1423" i="113"/>
  <c r="B1424" i="113"/>
  <c r="B1425" i="113"/>
  <c r="B1426" i="113"/>
  <c r="B1427" i="113"/>
  <c r="B1428" i="113"/>
  <c r="B1429" i="113"/>
  <c r="B1430" i="113"/>
  <c r="B1431" i="113"/>
  <c r="B1432" i="113"/>
  <c r="B1433" i="113"/>
  <c r="B1434" i="113"/>
  <c r="B1435" i="113"/>
  <c r="B1436" i="113"/>
  <c r="B1437" i="113"/>
  <c r="B1438" i="113"/>
  <c r="B1439" i="113"/>
  <c r="B1440" i="113"/>
  <c r="B1441" i="113"/>
  <c r="B1442" i="113"/>
  <c r="B1443" i="113"/>
  <c r="B1444" i="113"/>
  <c r="B1445" i="113"/>
  <c r="B1446" i="113"/>
  <c r="B1447" i="113"/>
  <c r="B1448" i="113"/>
  <c r="B1449" i="113"/>
  <c r="B1450" i="113"/>
  <c r="B1451" i="113"/>
  <c r="B1452" i="113"/>
  <c r="B1453" i="113"/>
  <c r="B1454" i="113"/>
  <c r="B1455" i="113"/>
  <c r="B1456" i="113"/>
  <c r="B1457" i="113"/>
  <c r="B1458" i="113"/>
  <c r="B1459" i="113"/>
  <c r="B1460" i="113"/>
  <c r="B1461" i="113"/>
  <c r="B1462" i="113"/>
  <c r="B1463" i="113"/>
  <c r="B1464" i="113"/>
  <c r="B1465" i="113"/>
  <c r="B1466" i="113"/>
  <c r="B1467" i="113"/>
  <c r="B1468" i="113"/>
  <c r="B1469" i="113"/>
  <c r="B1470" i="113"/>
  <c r="B1471" i="113"/>
  <c r="B1472" i="113"/>
  <c r="B1473" i="113"/>
  <c r="B1474" i="113"/>
  <c r="B1475" i="113"/>
  <c r="B1476" i="113"/>
  <c r="B1477" i="113"/>
  <c r="B1478" i="113"/>
  <c r="B1479" i="113"/>
  <c r="B1480" i="113"/>
  <c r="B1481" i="113"/>
  <c r="B1482" i="113"/>
  <c r="B1483" i="113"/>
  <c r="B1484" i="113"/>
  <c r="B1485" i="113"/>
  <c r="B1486" i="113"/>
  <c r="B1487" i="113"/>
  <c r="B1488" i="113"/>
  <c r="B1489" i="113"/>
  <c r="B1490" i="113"/>
  <c r="B1491" i="113"/>
  <c r="B1492" i="113"/>
  <c r="B1493" i="113"/>
  <c r="B1494" i="113"/>
  <c r="B1495" i="113"/>
  <c r="B1496" i="113"/>
  <c r="B1497" i="113"/>
  <c r="B1498" i="113"/>
  <c r="B1499" i="113"/>
  <c r="B1500" i="113"/>
  <c r="B1501" i="113"/>
  <c r="B1502" i="113"/>
  <c r="B1503" i="113"/>
  <c r="B1504" i="113"/>
  <c r="B1505" i="113"/>
  <c r="B1506" i="113"/>
  <c r="B1507" i="113"/>
  <c r="B1508" i="113"/>
  <c r="B1509" i="113"/>
  <c r="B1510" i="113"/>
  <c r="B1511" i="113"/>
  <c r="B1512" i="113"/>
  <c r="B1513" i="113"/>
  <c r="B1514" i="113"/>
  <c r="B1515" i="113"/>
  <c r="B1516" i="113"/>
  <c r="B1517" i="113"/>
  <c r="B1518" i="113"/>
  <c r="B1519" i="113"/>
  <c r="B1520" i="113"/>
  <c r="B1521" i="113"/>
  <c r="B1522" i="113"/>
  <c r="B1523" i="113"/>
  <c r="B1524" i="113"/>
  <c r="B1525" i="113"/>
  <c r="B1526" i="113"/>
  <c r="B1527" i="113"/>
  <c r="B1528" i="113"/>
  <c r="B1529" i="113"/>
  <c r="B1530" i="113"/>
  <c r="B1531" i="113"/>
  <c r="B1532" i="113"/>
  <c r="B1533" i="113"/>
  <c r="B1534" i="113"/>
  <c r="B1535" i="113"/>
  <c r="B1536" i="113"/>
  <c r="B1537" i="113"/>
  <c r="B1538" i="113"/>
  <c r="B1539" i="113"/>
  <c r="B1540" i="113"/>
  <c r="B1541" i="113"/>
  <c r="B1542" i="113"/>
  <c r="B1543" i="113"/>
  <c r="B1544" i="113"/>
  <c r="B1545" i="113"/>
  <c r="B1546" i="113"/>
  <c r="B1547" i="113"/>
  <c r="B1548" i="113"/>
  <c r="B1549" i="113"/>
  <c r="B1550" i="113"/>
  <c r="B1551" i="113"/>
  <c r="B1552" i="113"/>
  <c r="B1553" i="113"/>
  <c r="B1554" i="113"/>
  <c r="B1555" i="113"/>
  <c r="B1556" i="113"/>
  <c r="B1557" i="113"/>
  <c r="B1558" i="113"/>
  <c r="B1559" i="113"/>
  <c r="B1560" i="113"/>
  <c r="B1561" i="113"/>
  <c r="B1562" i="113"/>
  <c r="B1563" i="113"/>
  <c r="B1564" i="113"/>
  <c r="B1565" i="113"/>
  <c r="B1566" i="113"/>
  <c r="B1567" i="113"/>
  <c r="B1568" i="113"/>
  <c r="B1569" i="113"/>
  <c r="B1570" i="113"/>
  <c r="B1571" i="113"/>
  <c r="B1572" i="113"/>
  <c r="B1573" i="113"/>
  <c r="B1574" i="113"/>
  <c r="B1575" i="113"/>
  <c r="B1576" i="113"/>
  <c r="B1577" i="113"/>
  <c r="B1578" i="113"/>
  <c r="B1579" i="113"/>
  <c r="B1580" i="113"/>
  <c r="B1581" i="113"/>
  <c r="B1582" i="113"/>
  <c r="B1583" i="113"/>
  <c r="B1584" i="113"/>
  <c r="B1585" i="113"/>
  <c r="B1586" i="113"/>
  <c r="B1587" i="113"/>
  <c r="B1588" i="113"/>
  <c r="B1589" i="113"/>
  <c r="B1590" i="113"/>
  <c r="B1591" i="113"/>
  <c r="B1592" i="113"/>
  <c r="B1593" i="113"/>
  <c r="B1594" i="113"/>
  <c r="B1595" i="113"/>
  <c r="B1596" i="113"/>
  <c r="B1597" i="113"/>
  <c r="B1598" i="113"/>
  <c r="B1599" i="113"/>
  <c r="B1600" i="113"/>
  <c r="B1601" i="113"/>
  <c r="B1602" i="113"/>
  <c r="B1603" i="113"/>
  <c r="B1604" i="113"/>
  <c r="B1605" i="113"/>
  <c r="B1606" i="113"/>
  <c r="B1607" i="113"/>
  <c r="B1608" i="113"/>
  <c r="B1609" i="113"/>
  <c r="B1610" i="113"/>
  <c r="B1611" i="113"/>
  <c r="B1612" i="113"/>
  <c r="B1613" i="113"/>
  <c r="B1614" i="113"/>
  <c r="B1615" i="113"/>
  <c r="B1616" i="113"/>
  <c r="B1617" i="113"/>
  <c r="B1618" i="113"/>
  <c r="B1619" i="113"/>
  <c r="B1620" i="113"/>
  <c r="B1621" i="113"/>
  <c r="B1622" i="113"/>
  <c r="B1623" i="113"/>
  <c r="B1624" i="113"/>
  <c r="B1625" i="113"/>
  <c r="B1626" i="113"/>
  <c r="B1627" i="113"/>
  <c r="B1628" i="113"/>
  <c r="B1629" i="113"/>
  <c r="B1630" i="113"/>
  <c r="B1631" i="113"/>
  <c r="B1632" i="113"/>
  <c r="B1633" i="113"/>
  <c r="B1634" i="113"/>
  <c r="B1635" i="113"/>
  <c r="B1636" i="113"/>
  <c r="B1637" i="113"/>
  <c r="B1638" i="113"/>
  <c r="B1639" i="113"/>
  <c r="B1640" i="113"/>
  <c r="B1641" i="113"/>
  <c r="B1642" i="113"/>
  <c r="B1643" i="113"/>
  <c r="B1644" i="113"/>
  <c r="B1645" i="113"/>
  <c r="B1646" i="113"/>
  <c r="B1647" i="113"/>
  <c r="B1648" i="113"/>
  <c r="B1649" i="113"/>
  <c r="B1650" i="113"/>
  <c r="B1651" i="113"/>
  <c r="B1652" i="113"/>
  <c r="B1653" i="113"/>
  <c r="B1654" i="113"/>
  <c r="B1655" i="113"/>
  <c r="B1656" i="113"/>
  <c r="B1657" i="113"/>
  <c r="B1658" i="113"/>
  <c r="B1659" i="113"/>
  <c r="B1660" i="113"/>
  <c r="B1661" i="113"/>
  <c r="B1662" i="113"/>
  <c r="B1663" i="113"/>
  <c r="B1664" i="113"/>
  <c r="B1665" i="113"/>
  <c r="B1666" i="113"/>
  <c r="B1667" i="113"/>
  <c r="B1668" i="113"/>
  <c r="B1669" i="113"/>
  <c r="B1670" i="113"/>
  <c r="B1671" i="113"/>
  <c r="B1672" i="113"/>
  <c r="B1673" i="113"/>
  <c r="B1674" i="113"/>
  <c r="B1675" i="113"/>
  <c r="B1676" i="113"/>
  <c r="B1677" i="113"/>
  <c r="B1678" i="113"/>
  <c r="B1679" i="113"/>
  <c r="B1680" i="113"/>
  <c r="B1681" i="113"/>
  <c r="B1682" i="113"/>
  <c r="B1683" i="113"/>
  <c r="B1684" i="113"/>
  <c r="B1685" i="113"/>
  <c r="B1686" i="113"/>
  <c r="B1687" i="113"/>
  <c r="B1688" i="113"/>
  <c r="B1689" i="113"/>
  <c r="B1690" i="113"/>
  <c r="B1691" i="113"/>
  <c r="B1692" i="113"/>
  <c r="B1693" i="113"/>
  <c r="B1694" i="113"/>
  <c r="B1695" i="113"/>
  <c r="B1696" i="113"/>
  <c r="B1697" i="113"/>
  <c r="B1698" i="113"/>
  <c r="B1699" i="113"/>
  <c r="B1700" i="113"/>
  <c r="B1701" i="113"/>
  <c r="B1702" i="113"/>
  <c r="B1703" i="113"/>
  <c r="B1704" i="113"/>
  <c r="B1705" i="113"/>
  <c r="B1706" i="113"/>
  <c r="B1707" i="113"/>
  <c r="B1708" i="113"/>
  <c r="B1709" i="113"/>
  <c r="B1710" i="113"/>
  <c r="B1711" i="113"/>
  <c r="B1712" i="113"/>
  <c r="B1713" i="113"/>
  <c r="B1714" i="113"/>
  <c r="B1715" i="113"/>
  <c r="B1716" i="113"/>
  <c r="B1717" i="113"/>
  <c r="B1718" i="113"/>
  <c r="B1719" i="113"/>
  <c r="B1720" i="113"/>
  <c r="B1721" i="113"/>
  <c r="B1722" i="113"/>
  <c r="B1723" i="113"/>
  <c r="B1724" i="113"/>
  <c r="B1725" i="113"/>
  <c r="B1726" i="113"/>
  <c r="B1727" i="113"/>
  <c r="B1728" i="113"/>
  <c r="B1729" i="113"/>
  <c r="B1730" i="113"/>
  <c r="B1731" i="113"/>
  <c r="B1732" i="113"/>
  <c r="B1733" i="113"/>
  <c r="B1734" i="113"/>
  <c r="B1735" i="113"/>
  <c r="B1736" i="113"/>
  <c r="B1737" i="113"/>
  <c r="B1738" i="113"/>
  <c r="B1739" i="113"/>
  <c r="B1740" i="113"/>
  <c r="B1741" i="113"/>
  <c r="B1742" i="113"/>
  <c r="B1743" i="113"/>
  <c r="B1744" i="113"/>
  <c r="B1745" i="113"/>
  <c r="B1746" i="113"/>
  <c r="B1747" i="113"/>
  <c r="B1748" i="113"/>
  <c r="B1749" i="113"/>
  <c r="B1750" i="113"/>
  <c r="B1751" i="113"/>
  <c r="B1752" i="113"/>
  <c r="B1753" i="113"/>
  <c r="B1754" i="113"/>
  <c r="B1755" i="113"/>
  <c r="B1756" i="113"/>
  <c r="B1757" i="113"/>
  <c r="B1758" i="113"/>
  <c r="B1759" i="113"/>
  <c r="B1760" i="113"/>
  <c r="B1761" i="113"/>
  <c r="B1762" i="113"/>
  <c r="B1763" i="113"/>
  <c r="B1764" i="113"/>
  <c r="B1765" i="113"/>
  <c r="B1766" i="113"/>
  <c r="B1767" i="113"/>
  <c r="B1768" i="113"/>
  <c r="B1769" i="113"/>
  <c r="B1770" i="113"/>
  <c r="B1771" i="113"/>
  <c r="B1772" i="113"/>
  <c r="B1773" i="113"/>
  <c r="B1774" i="113"/>
  <c r="B1775" i="113"/>
  <c r="B1776" i="113"/>
  <c r="B1777" i="113"/>
  <c r="B1778" i="113"/>
  <c r="B1779" i="113"/>
  <c r="B1780" i="113"/>
  <c r="B1781" i="113"/>
  <c r="B1782" i="113"/>
  <c r="B1783" i="113"/>
  <c r="B1784" i="113"/>
  <c r="B1785" i="113"/>
  <c r="B1786" i="113"/>
  <c r="B1787" i="113"/>
  <c r="B1788" i="113"/>
  <c r="B1789" i="113"/>
  <c r="B1790" i="113"/>
  <c r="B1791" i="113"/>
  <c r="B1792" i="113"/>
  <c r="B1793" i="113"/>
  <c r="B1794" i="113"/>
  <c r="B1795" i="113"/>
  <c r="B1796" i="113"/>
  <c r="B1797" i="113"/>
  <c r="B1798" i="113"/>
  <c r="B1799" i="113"/>
  <c r="B1800" i="113"/>
  <c r="B1801" i="113"/>
  <c r="B1802" i="113"/>
  <c r="B1803" i="113"/>
  <c r="B1804" i="113"/>
  <c r="B1805" i="113"/>
  <c r="B1806" i="113"/>
  <c r="B1807" i="113"/>
  <c r="B1808" i="113"/>
  <c r="B1809" i="113"/>
  <c r="B1810" i="113"/>
  <c r="B1811" i="113"/>
  <c r="B1812" i="113"/>
  <c r="B1813" i="113"/>
  <c r="B1814" i="113"/>
  <c r="B1815" i="113"/>
  <c r="B1816" i="113"/>
  <c r="B1817" i="113"/>
  <c r="B1818" i="113"/>
  <c r="B1819" i="113"/>
  <c r="B1820" i="113"/>
  <c r="B1821" i="113"/>
  <c r="B1822" i="113"/>
  <c r="B1823" i="113"/>
  <c r="B1824" i="113"/>
  <c r="B1825" i="113"/>
  <c r="B1826" i="113"/>
  <c r="B1827" i="113"/>
  <c r="B1828" i="113"/>
  <c r="B1829" i="113"/>
  <c r="B1830" i="113"/>
  <c r="B1831" i="113"/>
  <c r="B1832" i="113"/>
  <c r="B1833" i="113"/>
  <c r="B1834" i="113"/>
  <c r="B1835" i="113"/>
  <c r="B1836" i="113"/>
  <c r="B1837" i="113"/>
  <c r="B1838" i="113"/>
  <c r="B1839" i="113"/>
  <c r="B1840" i="113"/>
  <c r="B1841" i="113"/>
  <c r="B1842" i="113"/>
  <c r="B1843" i="113"/>
  <c r="B1844" i="113"/>
  <c r="B1845" i="113"/>
  <c r="B1846" i="113"/>
  <c r="B1847" i="113"/>
  <c r="B1848" i="113"/>
  <c r="B1849" i="113"/>
  <c r="B1850" i="113"/>
  <c r="B1851" i="113"/>
  <c r="B1852" i="113"/>
  <c r="B1853" i="113"/>
  <c r="B1854" i="113"/>
  <c r="B1855" i="113"/>
  <c r="B1856" i="113"/>
  <c r="B1857" i="113"/>
  <c r="B1858" i="113"/>
  <c r="B1859" i="113"/>
  <c r="B1860" i="113"/>
  <c r="B1861" i="113"/>
  <c r="B1862" i="113"/>
  <c r="B1863" i="113"/>
  <c r="B1864" i="113"/>
  <c r="B1865" i="113"/>
  <c r="B1866" i="113"/>
  <c r="B1867" i="113"/>
  <c r="B1868" i="113"/>
  <c r="B1869" i="113"/>
  <c r="B1870" i="113"/>
  <c r="B1871" i="113"/>
  <c r="B1872" i="113"/>
  <c r="B1873" i="113"/>
  <c r="B1874" i="113"/>
  <c r="B1875" i="113"/>
  <c r="B1876" i="113"/>
  <c r="B1877" i="113"/>
  <c r="B1878" i="113"/>
  <c r="B1879" i="113"/>
  <c r="B1880" i="113"/>
  <c r="B1881" i="113"/>
  <c r="B1882" i="113"/>
  <c r="B1883" i="113"/>
  <c r="B1884" i="113"/>
  <c r="B1885" i="113"/>
  <c r="B1886" i="113"/>
  <c r="B1887" i="113"/>
  <c r="B1888" i="113"/>
  <c r="B1889" i="113"/>
  <c r="B1890" i="113"/>
  <c r="B1891" i="113"/>
  <c r="B1892" i="113"/>
  <c r="B1893" i="113"/>
  <c r="B1894" i="113"/>
  <c r="B1895" i="113"/>
  <c r="B1896" i="113"/>
  <c r="B1897" i="113"/>
  <c r="B1898" i="113"/>
  <c r="B1899" i="113"/>
  <c r="B1900" i="113"/>
  <c r="B1901" i="113"/>
  <c r="B1902" i="113"/>
  <c r="B1903" i="113"/>
  <c r="B1904" i="113"/>
  <c r="B1905" i="113"/>
  <c r="B1906" i="113"/>
  <c r="B1907" i="113"/>
  <c r="B1908" i="113"/>
  <c r="B1909" i="113"/>
  <c r="B1910" i="113"/>
  <c r="B1911" i="113"/>
  <c r="B1912" i="113"/>
  <c r="B1913" i="113"/>
  <c r="B1914" i="113"/>
  <c r="B1915" i="113"/>
  <c r="B1916" i="113"/>
  <c r="B1917" i="113"/>
  <c r="B1918" i="113"/>
  <c r="B1919" i="113"/>
  <c r="B1920" i="113"/>
  <c r="B1921" i="113"/>
  <c r="B1922" i="113"/>
  <c r="B1923" i="113"/>
  <c r="B1924" i="113"/>
  <c r="B1925" i="113"/>
  <c r="B1926" i="113"/>
  <c r="B1927" i="113"/>
  <c r="B1928" i="113"/>
  <c r="B1929" i="113"/>
  <c r="B1930" i="113"/>
  <c r="B1931" i="113"/>
  <c r="B1932" i="113"/>
  <c r="B1933" i="113"/>
  <c r="B1934" i="113"/>
  <c r="B1935" i="113"/>
  <c r="B1936" i="113"/>
  <c r="B1937" i="113"/>
  <c r="B1938" i="113"/>
  <c r="B1939" i="113"/>
  <c r="B1940" i="113"/>
  <c r="B1941" i="113"/>
  <c r="B1942" i="113"/>
  <c r="B1943" i="113"/>
  <c r="B1944" i="113"/>
  <c r="B1945" i="113"/>
  <c r="B1946" i="113"/>
  <c r="B1947" i="113"/>
  <c r="B1948" i="113"/>
  <c r="B1949" i="113"/>
  <c r="B1950" i="113"/>
  <c r="B1951" i="113"/>
  <c r="B1952" i="113"/>
  <c r="B1953" i="113"/>
  <c r="B1954" i="113"/>
  <c r="B1955" i="113"/>
  <c r="B1956" i="113"/>
  <c r="B1957" i="113"/>
  <c r="B1958" i="113"/>
  <c r="B1959" i="113"/>
  <c r="B1960" i="113"/>
  <c r="B1961" i="113"/>
  <c r="B1962" i="113"/>
  <c r="B1963" i="113"/>
  <c r="B1964" i="113"/>
  <c r="B1965" i="113"/>
  <c r="B1966" i="113"/>
  <c r="B1967" i="113"/>
  <c r="B1968" i="113"/>
  <c r="B1969" i="113"/>
  <c r="B1970" i="113"/>
  <c r="B1971" i="113"/>
  <c r="B1972" i="113"/>
  <c r="B1973" i="113"/>
  <c r="B1974" i="113"/>
  <c r="B1975" i="113"/>
  <c r="B1976" i="113"/>
  <c r="B1977" i="113"/>
  <c r="B1978" i="113"/>
  <c r="B1979" i="113"/>
  <c r="B1980" i="113"/>
  <c r="B1981" i="113"/>
  <c r="B1982" i="113"/>
  <c r="B1983" i="113"/>
  <c r="B1984" i="113"/>
  <c r="B1985" i="113"/>
  <c r="B1986" i="113"/>
  <c r="B1987" i="113"/>
  <c r="B1988" i="113"/>
  <c r="B1989" i="113"/>
  <c r="B1990" i="113"/>
  <c r="B1991" i="113"/>
  <c r="B1992" i="113"/>
  <c r="B1993" i="113"/>
  <c r="B1994" i="113"/>
  <c r="B1995" i="113"/>
  <c r="B1996" i="113"/>
  <c r="B1997" i="113"/>
  <c r="B1998" i="113"/>
  <c r="B1999" i="113"/>
  <c r="B2000" i="113"/>
  <c r="B2001" i="113"/>
  <c r="B2002" i="113"/>
  <c r="B2003" i="113"/>
  <c r="B2004" i="113"/>
  <c r="B2005" i="113"/>
  <c r="B2006" i="113"/>
  <c r="B2007" i="113"/>
  <c r="B2008" i="113"/>
  <c r="B2009" i="113"/>
  <c r="B2010" i="113"/>
  <c r="B2011" i="113"/>
  <c r="B2012" i="113"/>
  <c r="B2013" i="113"/>
  <c r="B2014" i="113"/>
  <c r="B2015" i="113"/>
  <c r="B2016" i="113"/>
  <c r="B2017" i="113"/>
  <c r="B2018" i="113"/>
  <c r="B2019" i="113"/>
  <c r="B2020" i="113"/>
  <c r="B2021" i="113"/>
  <c r="B2022" i="113"/>
  <c r="B2023" i="113"/>
  <c r="B2024" i="113"/>
  <c r="B2025" i="113"/>
  <c r="B2026" i="113"/>
  <c r="B2027" i="113"/>
  <c r="B2028" i="113"/>
  <c r="B2029" i="113"/>
  <c r="B2030" i="113"/>
  <c r="B2031" i="113"/>
  <c r="B2032" i="113"/>
  <c r="B2033" i="113"/>
  <c r="B2034" i="113"/>
  <c r="B2035" i="113"/>
  <c r="B2036" i="113"/>
  <c r="B2037" i="113"/>
  <c r="B2038" i="113"/>
  <c r="B2039" i="113"/>
  <c r="B2040" i="113"/>
  <c r="B2041" i="113"/>
  <c r="B2042" i="113"/>
  <c r="B2043" i="113"/>
  <c r="B2044" i="113"/>
  <c r="B2045" i="113"/>
  <c r="B2046" i="113"/>
  <c r="B2047" i="113"/>
  <c r="B2048" i="113"/>
  <c r="B2049" i="113"/>
  <c r="B2050" i="113"/>
  <c r="B2051" i="113"/>
  <c r="B2052" i="113"/>
  <c r="B2053" i="113"/>
  <c r="B2054" i="113"/>
  <c r="B2055" i="113"/>
  <c r="B2056" i="113"/>
  <c r="B2057" i="113"/>
  <c r="B2058" i="113"/>
  <c r="B2059" i="113"/>
  <c r="B2060" i="113"/>
  <c r="B2061" i="113"/>
  <c r="B2062" i="113"/>
  <c r="B2063" i="113"/>
  <c r="B2064" i="113"/>
  <c r="B2065" i="113"/>
  <c r="B2066" i="113"/>
  <c r="B2067" i="113"/>
  <c r="B2068" i="113"/>
  <c r="B2069" i="113"/>
  <c r="B2070" i="113"/>
  <c r="B2071" i="113"/>
  <c r="B2072" i="113"/>
  <c r="B2073" i="113"/>
  <c r="B2074" i="113"/>
  <c r="B2075" i="113"/>
  <c r="B2076" i="113"/>
  <c r="B2077" i="113"/>
  <c r="B2078" i="113"/>
  <c r="B2079" i="113"/>
  <c r="B2080" i="113"/>
  <c r="B2081" i="113"/>
  <c r="B2082" i="113"/>
  <c r="B2083" i="113"/>
  <c r="B2084" i="113"/>
  <c r="B2085" i="113"/>
  <c r="B2086" i="113"/>
  <c r="B2087" i="113"/>
  <c r="B2088" i="113"/>
  <c r="B2089" i="113"/>
  <c r="B2090" i="113"/>
  <c r="B2091" i="113"/>
  <c r="B2092" i="113"/>
  <c r="B2093" i="113"/>
  <c r="B2094" i="113"/>
  <c r="B2095" i="113"/>
  <c r="B2096" i="113"/>
  <c r="B2097" i="113"/>
  <c r="B2098" i="113"/>
  <c r="B2099" i="113"/>
  <c r="B2100" i="113"/>
  <c r="B2101" i="113"/>
  <c r="B2102" i="113"/>
  <c r="B2103" i="113"/>
  <c r="B2104" i="113"/>
  <c r="B2105" i="113"/>
  <c r="B2106" i="113"/>
  <c r="B2107" i="113"/>
  <c r="B2108" i="113"/>
  <c r="B2109" i="113"/>
  <c r="B2110" i="113"/>
  <c r="B2111" i="113"/>
  <c r="B2112" i="113"/>
  <c r="B2113" i="113"/>
  <c r="B2114" i="113"/>
  <c r="B2115" i="113"/>
  <c r="B2116" i="113"/>
  <c r="B2117" i="113"/>
  <c r="B2118" i="113"/>
  <c r="B2119" i="113"/>
  <c r="B2120" i="113"/>
  <c r="B2121" i="113"/>
  <c r="B2122" i="113"/>
  <c r="B2123" i="113"/>
  <c r="B2124" i="113"/>
  <c r="B2125" i="113"/>
  <c r="B2126" i="113"/>
  <c r="B2127" i="113"/>
  <c r="B2128" i="113"/>
  <c r="B2129" i="113"/>
  <c r="B2130" i="113"/>
  <c r="B2131" i="113"/>
  <c r="B2132" i="113"/>
  <c r="B2133" i="113"/>
  <c r="B2134" i="113"/>
  <c r="B2135" i="113"/>
  <c r="B2136" i="113"/>
  <c r="B2137" i="113"/>
  <c r="B2138" i="113"/>
  <c r="B2139" i="113"/>
  <c r="B2140" i="113"/>
  <c r="B2141" i="113"/>
  <c r="B2142" i="113"/>
  <c r="B2143" i="113"/>
  <c r="B2144" i="113"/>
  <c r="B2145" i="113"/>
  <c r="B2146" i="113"/>
  <c r="B2147" i="113"/>
  <c r="B2148" i="113"/>
  <c r="B2149" i="113"/>
  <c r="B2150" i="113"/>
  <c r="B2151" i="113"/>
  <c r="B2152" i="113"/>
  <c r="B2153" i="113"/>
  <c r="B2154" i="113"/>
  <c r="B2155" i="113"/>
  <c r="B2156" i="113"/>
  <c r="B2157" i="113"/>
  <c r="B2158" i="113"/>
  <c r="B2159" i="113"/>
  <c r="B2160" i="113"/>
  <c r="B2161" i="113"/>
  <c r="B2162" i="113"/>
  <c r="B2163" i="113"/>
  <c r="B2164" i="113"/>
  <c r="B2165" i="113"/>
  <c r="B2166" i="113"/>
  <c r="B2167" i="113"/>
  <c r="B2168" i="113"/>
  <c r="B2169" i="113"/>
  <c r="B2170" i="113"/>
  <c r="B2171" i="113"/>
  <c r="B2172" i="113"/>
  <c r="B2173" i="113"/>
  <c r="B2174" i="113"/>
  <c r="B2175" i="113"/>
  <c r="B2176" i="113"/>
  <c r="B2177" i="113"/>
  <c r="B2178" i="113"/>
  <c r="B2179" i="113"/>
  <c r="B2180" i="113"/>
  <c r="B2181" i="113"/>
  <c r="B2182" i="113"/>
  <c r="B2183" i="113"/>
  <c r="B2184" i="113"/>
  <c r="B2185" i="113"/>
  <c r="B2186" i="113"/>
  <c r="B2187" i="113"/>
  <c r="B2188" i="113"/>
  <c r="B2189" i="113"/>
  <c r="B2190" i="113"/>
  <c r="B2191" i="113"/>
  <c r="B2192" i="113"/>
  <c r="B2193" i="113"/>
  <c r="B2194" i="113"/>
  <c r="B2195" i="113"/>
  <c r="B2196" i="113"/>
  <c r="B2197" i="113"/>
  <c r="B2198" i="113"/>
  <c r="B2199" i="113"/>
  <c r="B2200" i="113"/>
  <c r="B2201" i="113"/>
  <c r="B2202" i="113"/>
  <c r="B2203" i="113"/>
  <c r="B2204" i="113"/>
  <c r="B2205" i="113"/>
  <c r="B2206" i="113"/>
  <c r="B2207" i="113"/>
  <c r="B2208" i="113"/>
  <c r="B2209" i="113"/>
  <c r="B2210" i="113"/>
  <c r="B2211" i="113"/>
  <c r="B2212" i="113"/>
  <c r="B2213" i="113"/>
  <c r="B2214" i="113"/>
  <c r="B2215" i="113"/>
  <c r="B2216" i="113"/>
  <c r="B2217" i="113"/>
  <c r="B2218" i="113"/>
  <c r="B2219" i="113"/>
  <c r="B2220" i="113"/>
  <c r="B2221" i="113"/>
  <c r="B2222" i="113"/>
  <c r="B2223" i="113"/>
  <c r="B2224" i="113"/>
  <c r="B2225" i="113"/>
  <c r="B2226" i="113"/>
  <c r="B2227" i="113"/>
  <c r="B2228" i="113"/>
  <c r="B2229" i="113"/>
  <c r="B2230" i="113"/>
  <c r="B2231" i="113"/>
  <c r="B2232" i="113"/>
  <c r="B2233" i="113"/>
  <c r="B2234" i="113"/>
  <c r="B2235" i="113"/>
  <c r="B2236" i="113"/>
  <c r="B2237" i="113"/>
  <c r="B2238" i="113"/>
  <c r="B2239" i="113"/>
  <c r="B2240" i="113"/>
  <c r="B2241" i="113"/>
  <c r="B2242" i="113"/>
  <c r="B2243" i="113"/>
  <c r="B2244" i="113"/>
  <c r="B2245" i="113"/>
  <c r="B2246" i="113"/>
  <c r="B2247" i="113"/>
  <c r="B2248" i="113"/>
  <c r="B2249" i="113"/>
  <c r="B2250" i="113"/>
  <c r="B2251" i="113"/>
  <c r="B2252" i="113"/>
  <c r="B2253" i="113"/>
  <c r="B2254" i="113"/>
  <c r="B2255" i="113"/>
  <c r="B2256" i="113"/>
  <c r="B2257" i="113"/>
  <c r="B2258" i="113"/>
  <c r="B2259" i="113"/>
  <c r="B2260" i="113"/>
  <c r="B2261" i="113"/>
  <c r="B2262" i="113"/>
  <c r="B2263" i="113"/>
  <c r="B2264" i="113"/>
  <c r="B2265" i="113"/>
  <c r="B2266" i="113"/>
  <c r="B2267" i="113"/>
  <c r="B2268" i="113"/>
  <c r="B2269" i="113"/>
  <c r="B2270" i="113"/>
  <c r="B2271" i="113"/>
  <c r="B2272" i="113"/>
  <c r="B2273" i="113"/>
  <c r="B2274" i="113"/>
  <c r="B2275" i="113"/>
  <c r="B2276" i="113"/>
  <c r="B2277" i="113"/>
  <c r="B2278" i="113"/>
  <c r="B2279" i="113"/>
  <c r="B2280" i="113"/>
  <c r="B2281" i="113"/>
  <c r="B2282" i="113"/>
  <c r="B2283" i="113"/>
  <c r="B2284" i="113"/>
  <c r="B2285" i="113"/>
  <c r="B2286" i="113"/>
  <c r="B2287" i="113"/>
  <c r="B2288" i="113"/>
  <c r="B2289" i="113"/>
  <c r="B2290" i="113"/>
  <c r="B2291" i="113"/>
  <c r="B2292" i="113"/>
  <c r="B2293" i="113"/>
  <c r="B2294" i="113"/>
  <c r="B2295" i="113"/>
  <c r="B2296" i="113"/>
  <c r="B2297" i="113"/>
  <c r="B2298" i="113"/>
  <c r="B2299" i="113"/>
  <c r="B2300" i="113"/>
  <c r="B2301" i="113"/>
  <c r="B2302" i="113"/>
  <c r="B2303" i="113"/>
  <c r="B2304" i="113"/>
  <c r="B2305" i="113"/>
  <c r="B2306" i="113"/>
  <c r="B2307" i="113"/>
  <c r="B2308" i="113"/>
  <c r="B2309" i="113"/>
  <c r="B2310" i="113"/>
  <c r="B2311" i="113"/>
  <c r="B2312" i="113"/>
  <c r="B2313" i="113"/>
  <c r="B2314" i="113"/>
  <c r="B2315" i="113"/>
  <c r="B2316" i="113"/>
  <c r="B2317" i="113"/>
  <c r="B2318" i="113"/>
  <c r="B2319" i="113"/>
  <c r="B2320" i="113"/>
  <c r="B2321" i="113"/>
  <c r="B2322" i="113"/>
  <c r="B2323" i="113"/>
  <c r="B2324" i="113"/>
  <c r="B2325" i="113"/>
  <c r="B2326" i="113"/>
  <c r="B2327" i="113"/>
  <c r="B2328" i="113"/>
  <c r="B2329" i="113"/>
  <c r="B2330" i="113"/>
  <c r="B2331" i="113"/>
  <c r="B2332" i="113"/>
  <c r="B2333" i="113"/>
  <c r="B2334" i="113"/>
  <c r="B2335" i="113"/>
  <c r="B2336" i="113"/>
  <c r="B2337" i="113"/>
  <c r="B2338" i="113"/>
  <c r="B2339" i="113"/>
  <c r="B2340" i="113"/>
  <c r="B2341" i="113"/>
  <c r="B2342" i="113"/>
  <c r="B2343" i="113"/>
  <c r="B2344" i="113"/>
  <c r="B2345" i="113"/>
  <c r="B2346" i="113"/>
  <c r="B2347" i="113"/>
  <c r="B2348" i="113"/>
  <c r="B2349" i="113"/>
  <c r="B2350" i="113"/>
  <c r="B2351" i="113"/>
  <c r="B2352" i="113"/>
  <c r="B2353" i="113"/>
  <c r="B2354" i="113"/>
  <c r="B2355" i="113"/>
  <c r="B2356" i="113"/>
  <c r="B2357" i="113"/>
  <c r="B2358" i="113"/>
  <c r="B2359" i="113"/>
  <c r="B2360" i="113"/>
  <c r="B2361" i="113"/>
  <c r="B2362" i="113"/>
  <c r="B2363" i="113"/>
  <c r="B2364" i="113"/>
  <c r="B2365" i="113"/>
  <c r="B2366" i="113"/>
  <c r="B2367" i="113"/>
  <c r="B2368" i="113"/>
  <c r="B2369" i="113"/>
  <c r="B2370" i="113"/>
  <c r="B2371" i="113"/>
  <c r="B2372" i="113"/>
  <c r="B2373" i="113"/>
  <c r="B2374" i="113"/>
  <c r="B2375" i="113"/>
  <c r="B2376" i="113"/>
  <c r="B2377" i="113"/>
  <c r="B2378" i="113"/>
  <c r="B2379" i="113"/>
  <c r="B2380" i="113"/>
  <c r="B2381" i="113"/>
  <c r="B2382" i="113"/>
  <c r="B2383" i="113"/>
  <c r="B2384" i="113"/>
  <c r="B2385" i="113"/>
  <c r="B2386" i="113"/>
  <c r="B2387" i="113"/>
  <c r="B2388" i="113"/>
  <c r="B2389" i="113"/>
  <c r="B2390" i="113"/>
  <c r="B2391" i="113"/>
  <c r="B2392" i="113"/>
  <c r="B2393" i="113"/>
  <c r="B2394" i="113"/>
  <c r="B2395" i="113"/>
  <c r="B2396" i="113"/>
  <c r="B2397" i="113"/>
  <c r="B2398" i="113"/>
  <c r="B2399" i="113"/>
  <c r="B2400" i="113"/>
  <c r="B2401" i="113"/>
  <c r="B2402" i="113"/>
  <c r="B2403" i="113"/>
  <c r="B2404" i="113"/>
  <c r="B2405" i="113"/>
  <c r="B2406" i="113"/>
  <c r="B2407" i="113"/>
  <c r="B2408" i="113"/>
  <c r="B2409" i="113"/>
  <c r="B2410" i="113"/>
  <c r="B2411" i="113"/>
  <c r="B2412" i="113"/>
  <c r="B2413" i="113"/>
  <c r="B2414" i="113"/>
  <c r="B2415" i="113"/>
  <c r="B2416" i="113"/>
  <c r="B2417" i="113"/>
  <c r="B2418" i="113"/>
  <c r="B2419" i="113"/>
  <c r="B2420" i="113"/>
  <c r="B2421" i="113"/>
  <c r="B2422" i="113"/>
  <c r="B2423" i="113"/>
  <c r="B2424" i="113"/>
  <c r="B2425" i="113"/>
  <c r="B2426" i="113"/>
  <c r="B2427" i="113"/>
  <c r="B2428" i="113"/>
  <c r="B2429" i="113"/>
  <c r="B2430" i="113"/>
  <c r="B2431" i="113"/>
  <c r="B2432" i="113"/>
  <c r="B2433" i="113"/>
  <c r="B2434" i="113"/>
  <c r="B2435" i="113"/>
  <c r="B2436" i="113"/>
  <c r="B2437" i="113"/>
  <c r="B2438" i="113"/>
  <c r="B2439" i="113"/>
  <c r="B2440" i="113"/>
  <c r="B2441" i="113"/>
  <c r="B2442" i="113"/>
  <c r="B2443" i="113"/>
  <c r="B2444" i="113"/>
  <c r="B2445" i="113"/>
  <c r="B2446" i="113"/>
  <c r="B2447" i="113"/>
  <c r="B2448" i="113"/>
  <c r="B2449" i="113"/>
  <c r="B2450" i="113"/>
  <c r="B2451" i="113"/>
  <c r="B2452" i="113"/>
  <c r="B2453" i="113"/>
  <c r="B2454" i="113"/>
  <c r="B2455" i="113"/>
  <c r="B2456" i="113"/>
  <c r="B2457" i="113"/>
  <c r="B2458" i="113"/>
  <c r="B2459" i="113"/>
  <c r="B2460" i="113"/>
  <c r="B2461" i="113"/>
  <c r="B2462" i="113"/>
  <c r="B2463" i="113"/>
  <c r="B2464" i="113"/>
  <c r="B2465" i="113"/>
  <c r="B2466" i="113"/>
  <c r="B2467" i="113"/>
  <c r="B2468" i="113"/>
  <c r="B2469" i="113"/>
  <c r="B2470" i="113"/>
  <c r="B2471" i="113"/>
  <c r="B2472" i="113"/>
  <c r="B2473" i="113"/>
  <c r="B2474" i="113"/>
  <c r="B2475" i="113"/>
  <c r="B2476" i="113"/>
  <c r="B2477" i="113"/>
  <c r="B2478" i="113"/>
  <c r="B2479" i="113"/>
  <c r="B2480" i="113"/>
  <c r="B2481" i="113"/>
  <c r="B2482" i="113"/>
  <c r="B2483" i="113"/>
  <c r="B2484" i="113"/>
  <c r="B2485" i="113"/>
  <c r="B2486" i="113"/>
  <c r="B2487" i="113"/>
  <c r="B2488" i="113"/>
  <c r="B2489" i="113"/>
  <c r="B2490" i="113"/>
  <c r="B2491" i="113"/>
  <c r="B2492" i="113"/>
  <c r="B2493" i="113"/>
  <c r="B2494" i="113"/>
  <c r="B2495" i="113"/>
  <c r="B2496" i="113"/>
  <c r="B2497" i="113"/>
  <c r="B2498" i="113"/>
  <c r="B2499" i="113"/>
  <c r="B2500" i="113"/>
  <c r="B2501" i="113"/>
  <c r="B2502" i="113"/>
  <c r="B2503" i="113"/>
  <c r="B2504" i="113"/>
  <c r="B2505" i="113"/>
  <c r="B2506" i="113"/>
  <c r="B2507" i="113"/>
  <c r="B2508" i="113"/>
  <c r="B2509" i="113"/>
  <c r="B2510" i="113"/>
  <c r="B2511" i="113"/>
  <c r="B2512" i="113"/>
  <c r="B2513" i="113"/>
  <c r="B2514" i="113"/>
  <c r="B2515" i="113"/>
  <c r="B2516" i="113"/>
  <c r="B2517" i="113"/>
  <c r="B2518" i="113"/>
  <c r="B2519" i="113"/>
  <c r="B2520" i="113"/>
  <c r="B2521" i="113"/>
  <c r="B2522" i="113"/>
  <c r="B2523" i="113"/>
  <c r="B2524" i="113"/>
  <c r="B2525" i="113"/>
  <c r="B2526" i="113"/>
  <c r="B2527" i="113"/>
  <c r="B2528" i="113"/>
  <c r="B2529" i="113"/>
  <c r="B2530" i="113"/>
  <c r="B2531" i="113"/>
  <c r="B2532" i="113"/>
  <c r="B2533" i="113"/>
  <c r="B2534" i="113"/>
  <c r="B2535" i="113"/>
  <c r="B2536" i="113"/>
  <c r="B2537" i="113"/>
  <c r="B2538" i="113"/>
  <c r="B2539" i="113"/>
  <c r="B2540" i="113"/>
  <c r="B2541" i="113"/>
  <c r="B2542" i="113"/>
  <c r="B2543" i="113"/>
  <c r="B2544" i="113"/>
  <c r="B2545" i="113"/>
  <c r="B2546" i="113"/>
  <c r="B2547" i="113"/>
  <c r="B2548" i="113"/>
  <c r="B2549" i="113"/>
  <c r="B2550" i="113"/>
  <c r="B2551" i="113"/>
  <c r="B2552" i="113"/>
  <c r="B2553" i="113"/>
  <c r="B2554" i="113"/>
  <c r="B2555" i="113"/>
  <c r="B2556" i="113"/>
  <c r="B2557" i="113"/>
  <c r="B2558" i="113"/>
  <c r="B2559" i="113"/>
  <c r="B2560" i="113"/>
  <c r="B2561" i="113"/>
  <c r="B2562" i="113"/>
  <c r="B2563" i="113"/>
  <c r="B2564" i="113"/>
  <c r="B2565" i="113"/>
  <c r="B2566" i="113"/>
  <c r="B2567" i="113"/>
  <c r="B2568" i="113"/>
  <c r="B2569" i="113"/>
  <c r="B2570" i="113"/>
  <c r="B2571" i="113"/>
  <c r="B2572" i="113"/>
  <c r="B2573" i="113"/>
  <c r="B2574" i="113"/>
  <c r="B2575" i="113"/>
  <c r="B2576" i="113"/>
  <c r="B2577" i="113"/>
  <c r="B2578" i="113"/>
  <c r="B2579" i="113"/>
  <c r="B2580" i="113"/>
  <c r="B2581" i="113"/>
  <c r="B2582" i="113"/>
  <c r="B2583" i="113"/>
  <c r="B2584" i="113"/>
  <c r="B2585" i="113"/>
  <c r="B2586" i="113"/>
  <c r="B2587" i="113"/>
  <c r="B2588" i="113"/>
  <c r="B2589" i="113"/>
  <c r="B2590" i="113"/>
  <c r="B2591" i="113"/>
  <c r="B2592" i="113"/>
  <c r="B2593" i="113"/>
  <c r="B2594" i="113"/>
  <c r="B2595" i="113"/>
  <c r="B2596" i="113"/>
  <c r="B2597" i="113"/>
  <c r="B2598" i="113"/>
  <c r="B2599" i="113"/>
  <c r="B2600" i="113"/>
  <c r="B2601" i="113"/>
  <c r="B2602" i="113"/>
  <c r="B2603" i="113"/>
  <c r="B2604" i="113"/>
  <c r="B2605" i="113"/>
  <c r="B2606" i="113"/>
  <c r="B2607" i="113"/>
  <c r="B2608" i="113"/>
  <c r="B2609" i="113"/>
  <c r="B2610" i="113"/>
  <c r="B2611" i="113"/>
  <c r="B2612" i="113"/>
  <c r="B2613" i="113"/>
  <c r="B2614" i="113"/>
  <c r="B2615" i="113"/>
  <c r="B2616" i="113"/>
  <c r="B2617" i="113"/>
  <c r="B2618" i="113"/>
  <c r="B2619" i="113"/>
  <c r="B2620" i="113"/>
  <c r="B2621" i="113"/>
  <c r="B2622" i="113"/>
  <c r="B2623" i="113"/>
  <c r="B2624" i="113"/>
  <c r="B2625" i="113"/>
  <c r="B2626" i="113"/>
  <c r="B2627" i="113"/>
  <c r="B2628" i="113"/>
  <c r="B2629" i="113"/>
  <c r="B2630" i="113"/>
  <c r="B2631" i="113"/>
  <c r="B2632" i="113"/>
  <c r="B2633" i="113"/>
  <c r="B2634" i="113"/>
  <c r="B2635" i="113"/>
  <c r="B2636" i="113"/>
  <c r="B2637" i="113"/>
  <c r="B2638" i="113"/>
  <c r="B2639" i="113"/>
  <c r="B2640" i="113"/>
  <c r="B2641" i="113"/>
  <c r="B2642" i="113"/>
  <c r="B2643" i="113"/>
  <c r="B2644" i="113"/>
  <c r="B2645" i="113"/>
  <c r="B2646" i="113"/>
  <c r="B2647" i="113"/>
  <c r="B2648" i="113"/>
  <c r="B2649" i="113"/>
  <c r="B2650" i="113"/>
  <c r="B2651" i="113"/>
  <c r="B2652" i="113"/>
  <c r="B2653" i="113"/>
  <c r="B2654" i="113"/>
  <c r="B2655" i="113"/>
  <c r="B2656" i="113"/>
  <c r="B2657" i="113"/>
  <c r="B2658" i="113"/>
  <c r="B2659" i="113"/>
  <c r="B2660" i="113"/>
  <c r="B2661" i="113"/>
  <c r="B2662" i="113"/>
  <c r="B2663" i="113"/>
  <c r="B2664" i="113"/>
  <c r="B2665" i="113"/>
  <c r="B2666" i="113"/>
  <c r="B2667" i="113"/>
  <c r="B2668" i="113"/>
  <c r="B2669" i="113"/>
  <c r="B2670" i="113"/>
  <c r="B2671" i="113"/>
  <c r="B2672" i="113"/>
  <c r="B2673" i="113"/>
  <c r="B2674" i="113"/>
  <c r="B2675" i="113"/>
  <c r="B2676" i="113"/>
  <c r="B2677" i="113"/>
  <c r="B2678" i="113"/>
  <c r="B2679" i="113"/>
  <c r="B2680" i="113"/>
  <c r="B2681" i="113"/>
  <c r="B2682" i="113"/>
  <c r="B2683" i="113"/>
  <c r="B2684" i="113"/>
  <c r="B2685" i="113"/>
  <c r="B2686" i="113"/>
  <c r="B2687" i="113"/>
  <c r="B2688" i="113"/>
  <c r="B2689" i="113"/>
  <c r="B2690" i="113"/>
  <c r="B2691" i="113"/>
  <c r="B2692" i="113"/>
  <c r="B2693" i="113"/>
  <c r="B2694" i="113"/>
  <c r="B2695" i="113"/>
  <c r="B2696" i="113"/>
  <c r="B2697" i="113"/>
  <c r="B2698" i="113"/>
  <c r="B2699" i="113"/>
  <c r="B2700" i="113"/>
  <c r="B2701" i="113"/>
  <c r="B2702" i="113"/>
  <c r="B2703" i="113"/>
  <c r="B2704" i="113"/>
  <c r="B2705" i="113"/>
  <c r="B2706" i="113"/>
  <c r="B2707" i="113"/>
  <c r="B2708" i="113"/>
  <c r="B2709" i="113"/>
  <c r="B2710" i="113"/>
  <c r="B2711" i="113"/>
  <c r="B2712" i="113"/>
  <c r="B2713" i="113"/>
  <c r="B2714" i="113"/>
  <c r="B2715" i="113"/>
  <c r="B2716" i="113"/>
  <c r="B2717" i="113"/>
  <c r="B2718" i="113"/>
  <c r="B2719" i="113"/>
  <c r="B2720" i="113"/>
  <c r="B2721" i="113"/>
  <c r="B2722" i="113"/>
  <c r="B2723" i="113"/>
  <c r="B2724" i="113"/>
  <c r="B2725" i="113"/>
  <c r="B2726" i="113"/>
  <c r="B2727" i="113"/>
  <c r="B2728" i="113"/>
  <c r="B2729" i="113"/>
  <c r="B2730" i="113"/>
  <c r="B2731" i="113"/>
  <c r="B2732" i="113"/>
  <c r="B2733" i="113"/>
  <c r="B2734" i="113"/>
  <c r="B2735" i="113"/>
  <c r="B2736" i="113"/>
  <c r="B2737" i="113"/>
  <c r="B2738" i="113"/>
  <c r="B2739" i="113"/>
  <c r="B2740" i="113"/>
  <c r="B2741" i="113"/>
  <c r="B2742" i="113"/>
  <c r="B2743" i="113"/>
  <c r="B2744" i="113"/>
  <c r="B2745" i="113"/>
  <c r="B2746" i="113"/>
  <c r="B2747" i="113"/>
  <c r="B2748" i="113"/>
  <c r="B2749" i="113"/>
  <c r="B2750" i="113"/>
  <c r="B2751" i="113"/>
  <c r="B2752" i="113"/>
  <c r="B2753" i="113"/>
  <c r="B2754" i="113"/>
  <c r="B2755" i="113"/>
  <c r="B2756" i="113"/>
  <c r="B2757" i="113"/>
  <c r="B2758" i="113"/>
  <c r="B2759" i="113"/>
  <c r="B2760" i="113"/>
  <c r="B2761" i="113"/>
  <c r="B2762" i="113"/>
  <c r="B2763" i="113"/>
  <c r="B2764" i="113"/>
  <c r="B2765" i="113"/>
  <c r="B2766" i="113"/>
  <c r="B2767" i="113"/>
  <c r="B2768" i="113"/>
  <c r="B2769" i="113"/>
  <c r="B2770" i="113"/>
  <c r="B2771" i="113"/>
  <c r="B2772" i="113"/>
  <c r="B2773" i="113"/>
  <c r="B2774" i="113"/>
  <c r="B2775" i="113"/>
  <c r="B2776" i="113"/>
  <c r="B2777" i="113"/>
  <c r="B2778" i="113"/>
  <c r="B2779" i="113"/>
  <c r="B2780" i="113"/>
  <c r="B2781" i="113"/>
  <c r="B2782" i="113"/>
  <c r="B2783" i="113"/>
  <c r="B2784" i="113"/>
  <c r="B2785" i="113"/>
  <c r="B2786" i="113"/>
  <c r="B2787" i="113"/>
  <c r="B2788" i="113"/>
  <c r="B2789" i="113"/>
  <c r="B2790" i="113"/>
  <c r="B2791" i="113"/>
  <c r="B2792" i="113"/>
  <c r="B2793" i="113"/>
  <c r="B2794" i="113"/>
  <c r="B2795" i="113"/>
  <c r="B2796" i="113"/>
  <c r="B2797" i="113"/>
  <c r="B2798" i="113"/>
  <c r="B2799" i="113"/>
  <c r="B2800" i="113"/>
  <c r="B2801" i="113"/>
  <c r="B2802" i="113"/>
  <c r="B2803" i="113"/>
  <c r="B2804" i="113"/>
  <c r="B2805" i="113"/>
  <c r="B2806" i="113"/>
  <c r="B2807" i="113"/>
  <c r="B2808" i="113"/>
  <c r="B2809" i="113"/>
  <c r="B2810" i="113"/>
  <c r="B2811" i="113"/>
  <c r="B2812" i="113"/>
  <c r="B2813" i="113"/>
  <c r="B2814" i="113"/>
  <c r="B2815" i="113"/>
  <c r="B2816" i="113"/>
  <c r="B2817" i="113"/>
  <c r="B2818" i="113"/>
  <c r="B2819" i="113"/>
  <c r="B2820" i="113"/>
  <c r="B2821" i="113"/>
  <c r="B2822" i="113"/>
  <c r="B2823" i="113"/>
  <c r="B2824" i="113"/>
  <c r="B2825" i="113"/>
  <c r="B2826" i="113"/>
  <c r="B2827" i="113"/>
  <c r="B2828" i="113"/>
  <c r="B2829" i="113"/>
  <c r="B2830" i="113"/>
  <c r="B2831" i="113"/>
  <c r="B2832" i="113"/>
  <c r="B2833" i="113"/>
  <c r="B2834" i="113"/>
  <c r="B2835" i="113"/>
  <c r="B2836" i="113"/>
  <c r="B2837" i="113"/>
  <c r="B2838" i="113"/>
  <c r="B2839" i="113"/>
  <c r="B2840" i="113"/>
  <c r="B2841" i="113"/>
  <c r="B2842" i="113"/>
  <c r="B2843" i="113"/>
  <c r="B2844" i="113"/>
  <c r="B2845" i="113"/>
  <c r="B2846" i="113"/>
  <c r="B2847" i="113"/>
  <c r="B2848" i="113"/>
  <c r="B2849" i="113"/>
  <c r="B2850" i="113"/>
  <c r="B2851" i="113"/>
  <c r="B2852" i="113"/>
  <c r="B2853" i="113"/>
  <c r="B2854" i="113"/>
  <c r="B2855" i="113"/>
  <c r="B2856" i="113"/>
  <c r="B2857" i="113"/>
  <c r="B2858" i="113"/>
  <c r="B2859" i="113"/>
  <c r="B2860" i="113"/>
  <c r="B2861" i="113"/>
  <c r="B2862" i="113"/>
  <c r="B2863" i="113"/>
  <c r="B2864" i="113"/>
  <c r="B2865" i="113"/>
  <c r="B2866" i="113"/>
  <c r="B2867" i="113"/>
  <c r="B2868" i="113"/>
  <c r="B2869" i="113"/>
  <c r="B2870" i="113"/>
  <c r="B2871" i="113"/>
  <c r="B2872" i="113"/>
  <c r="B2873" i="113"/>
  <c r="B2874" i="113"/>
  <c r="B2875" i="113"/>
  <c r="B2876" i="113"/>
  <c r="B2877" i="113"/>
  <c r="B2878" i="113"/>
  <c r="B2879" i="113"/>
  <c r="B2880" i="113"/>
  <c r="B2881" i="113"/>
  <c r="B2882" i="113"/>
  <c r="B2883" i="113"/>
  <c r="B2884" i="113"/>
  <c r="B2885" i="113"/>
  <c r="B2886" i="113"/>
  <c r="B2887" i="113"/>
  <c r="B2888" i="113"/>
  <c r="B2889" i="113"/>
  <c r="B2890" i="113"/>
  <c r="B2891" i="113"/>
  <c r="B2892" i="113"/>
  <c r="B2893" i="113"/>
  <c r="B2894" i="113"/>
  <c r="B2895" i="113"/>
  <c r="B2896" i="113"/>
  <c r="B2897" i="113"/>
  <c r="B2898" i="113"/>
  <c r="B2899" i="113"/>
  <c r="B2900" i="113"/>
  <c r="B2901" i="113"/>
  <c r="B2902" i="113"/>
  <c r="B2903" i="113"/>
  <c r="B2904" i="113"/>
  <c r="B2905" i="113"/>
  <c r="B2906" i="113"/>
  <c r="B2907" i="113"/>
  <c r="B2908" i="113"/>
  <c r="B2909" i="113"/>
  <c r="B2910" i="113"/>
  <c r="B2911" i="113"/>
  <c r="B2912" i="113"/>
  <c r="B2913" i="113"/>
  <c r="B2914" i="113"/>
  <c r="B2915" i="113"/>
  <c r="B2916" i="113"/>
  <c r="B2917" i="113"/>
  <c r="B2918" i="113"/>
  <c r="B2919" i="113"/>
  <c r="B2920" i="113"/>
  <c r="B2921" i="113"/>
  <c r="B2922" i="113"/>
  <c r="B2923" i="113"/>
  <c r="B2924" i="113"/>
  <c r="B2925" i="113"/>
  <c r="B2926" i="113"/>
  <c r="B2927" i="113"/>
  <c r="B2928" i="113"/>
  <c r="B2929" i="113"/>
  <c r="B2930" i="113"/>
  <c r="B2931" i="113"/>
  <c r="B2932" i="113"/>
  <c r="B2933" i="113"/>
  <c r="B2934" i="113"/>
  <c r="B2935" i="113"/>
  <c r="B2936" i="113"/>
  <c r="B2937" i="113"/>
  <c r="B2938" i="113"/>
  <c r="B2939" i="113"/>
  <c r="B2940" i="113"/>
  <c r="B2941" i="113"/>
  <c r="B2942" i="113"/>
  <c r="B2943" i="113"/>
  <c r="B2944" i="113"/>
  <c r="B2945" i="113"/>
  <c r="B2946" i="113"/>
  <c r="B2947" i="113"/>
  <c r="B2948" i="113"/>
  <c r="B2949" i="113"/>
  <c r="B2950" i="113"/>
  <c r="B2951" i="113"/>
  <c r="B2952" i="113"/>
  <c r="B2953" i="113"/>
  <c r="B2954" i="113"/>
  <c r="B2955" i="113"/>
  <c r="B2956" i="113"/>
  <c r="B2957" i="113"/>
  <c r="B2958" i="113"/>
  <c r="B2959" i="113"/>
  <c r="B2960" i="113"/>
  <c r="B2961" i="113"/>
  <c r="B2962" i="113"/>
  <c r="B2963" i="113"/>
  <c r="B2964" i="113"/>
  <c r="B2965" i="113"/>
  <c r="B2966" i="113"/>
  <c r="B2967" i="113"/>
  <c r="B2968" i="113"/>
  <c r="B2969" i="113"/>
  <c r="B2970" i="113"/>
  <c r="B2971" i="113"/>
  <c r="B2972" i="113"/>
  <c r="B2973" i="113"/>
  <c r="B2974" i="113"/>
  <c r="B2975" i="113"/>
  <c r="B2976" i="113"/>
  <c r="B2977" i="113"/>
  <c r="B2978" i="113"/>
  <c r="B2979" i="113"/>
  <c r="B2980" i="113"/>
  <c r="B2981" i="113"/>
  <c r="B2982" i="113"/>
  <c r="B2983" i="113"/>
  <c r="B2984" i="113"/>
  <c r="B2985" i="113"/>
  <c r="B2986" i="113"/>
  <c r="B2987" i="113"/>
  <c r="B2988" i="113"/>
  <c r="B2989" i="113"/>
  <c r="B2990" i="113"/>
  <c r="B2991" i="113"/>
  <c r="B2992" i="113"/>
  <c r="B2993" i="113"/>
  <c r="B2994" i="113"/>
  <c r="B2995" i="113"/>
  <c r="B2996" i="113"/>
  <c r="B2997" i="113"/>
  <c r="B2998" i="113"/>
  <c r="B2999" i="113"/>
  <c r="B3000" i="113"/>
  <c r="B3001" i="113"/>
  <c r="B3002" i="113"/>
  <c r="B3003" i="113"/>
  <c r="B3004" i="113"/>
  <c r="B3005" i="113"/>
  <c r="B3006" i="113"/>
  <c r="B3007" i="113"/>
  <c r="B3008" i="113"/>
  <c r="B3009" i="113"/>
  <c r="B3010" i="113"/>
  <c r="B3011" i="113"/>
  <c r="B3012" i="113"/>
  <c r="B3013" i="113"/>
  <c r="B3014" i="113"/>
  <c r="B3015" i="113"/>
  <c r="B3016" i="113"/>
  <c r="B3017" i="113"/>
  <c r="B3018" i="113"/>
  <c r="B3019" i="113"/>
  <c r="B3020" i="113"/>
  <c r="B3021" i="113"/>
  <c r="B3022" i="113"/>
  <c r="B3023" i="113"/>
  <c r="B3024" i="113"/>
  <c r="B3025" i="113"/>
  <c r="B3026" i="113"/>
  <c r="B3027" i="113"/>
  <c r="B3028" i="113"/>
  <c r="B3029" i="113"/>
  <c r="B3030" i="113"/>
  <c r="B3031" i="113"/>
  <c r="B3032" i="113"/>
  <c r="B3033" i="113"/>
  <c r="B3034" i="113"/>
  <c r="B3035" i="113"/>
  <c r="B3036" i="113"/>
  <c r="B3037" i="113"/>
  <c r="B3038" i="113"/>
  <c r="B3039" i="113"/>
  <c r="B3040" i="113"/>
  <c r="B3041" i="113"/>
  <c r="B3042" i="113"/>
  <c r="B3043" i="113"/>
  <c r="B3044" i="113"/>
  <c r="B3045" i="113"/>
  <c r="B3046" i="113"/>
  <c r="B3047" i="113"/>
  <c r="B3048" i="113"/>
  <c r="B3049" i="113"/>
  <c r="B3050" i="113"/>
  <c r="B3051" i="113"/>
  <c r="B3052" i="113"/>
  <c r="B3053" i="113"/>
  <c r="B3054" i="113"/>
  <c r="B3055" i="113"/>
  <c r="B3056" i="113"/>
  <c r="B3057" i="113"/>
  <c r="B3058" i="113"/>
  <c r="B3059" i="113"/>
  <c r="B3060" i="113"/>
  <c r="B3061" i="113"/>
  <c r="B3062" i="113"/>
  <c r="B3063" i="113"/>
  <c r="B3064" i="113"/>
  <c r="B3065" i="113"/>
  <c r="B3066" i="113"/>
  <c r="B3067" i="113"/>
  <c r="B3068" i="113"/>
  <c r="B3069" i="113"/>
  <c r="B3070" i="113"/>
  <c r="B3071" i="113"/>
  <c r="B3072" i="113"/>
  <c r="B3073" i="113"/>
  <c r="B3074" i="113"/>
  <c r="B3075" i="113"/>
  <c r="B3076" i="113"/>
  <c r="B3077" i="113"/>
  <c r="B3078" i="113"/>
  <c r="B3079" i="113"/>
  <c r="B3080" i="113"/>
  <c r="B3081" i="113"/>
  <c r="B3082" i="113"/>
  <c r="B3083" i="113"/>
  <c r="B3084" i="113"/>
  <c r="B3085" i="113"/>
  <c r="B3086" i="113"/>
  <c r="B3087" i="113"/>
  <c r="B3088" i="113"/>
  <c r="B3089" i="113"/>
  <c r="B3090" i="113"/>
  <c r="B3091" i="113"/>
  <c r="B3092" i="113"/>
  <c r="B3093" i="113"/>
  <c r="B3094" i="113"/>
  <c r="B3095" i="113"/>
  <c r="B3096" i="113"/>
  <c r="B3097" i="113"/>
  <c r="B3098" i="113"/>
  <c r="B3099" i="113"/>
  <c r="B3100" i="113"/>
  <c r="B3101" i="113"/>
  <c r="B3102" i="113"/>
  <c r="B3103" i="113"/>
  <c r="B3104" i="113"/>
  <c r="B3105" i="113"/>
  <c r="B3106" i="113"/>
  <c r="B3107" i="113"/>
  <c r="B3108" i="113"/>
  <c r="B3109" i="113"/>
  <c r="B3110" i="113"/>
  <c r="B3111" i="113"/>
  <c r="B3112" i="113"/>
  <c r="B3113" i="113"/>
  <c r="B3114" i="113"/>
  <c r="B3115" i="113"/>
  <c r="B3116" i="113"/>
  <c r="B3117" i="113"/>
  <c r="B3118" i="113"/>
  <c r="B3119" i="113"/>
  <c r="B3120" i="113"/>
  <c r="B3121" i="113"/>
  <c r="B3122" i="113"/>
  <c r="B3123" i="113"/>
  <c r="B3124" i="113"/>
  <c r="B3125" i="113"/>
  <c r="B3126" i="113"/>
  <c r="B3127" i="113"/>
  <c r="B3128" i="113"/>
  <c r="B3129" i="113"/>
  <c r="B3130" i="113"/>
  <c r="B3131" i="113"/>
  <c r="B3132" i="113"/>
  <c r="B3133" i="113"/>
  <c r="B3134" i="113"/>
  <c r="B3135" i="113"/>
  <c r="B3136" i="113"/>
  <c r="B3137" i="113"/>
  <c r="B3138" i="113"/>
  <c r="B3139" i="113"/>
  <c r="B3140" i="113"/>
  <c r="B3141" i="113"/>
  <c r="B3142" i="113"/>
  <c r="B3143" i="113"/>
  <c r="B3144" i="113"/>
  <c r="B3145" i="113"/>
  <c r="B3146" i="113"/>
  <c r="B3147" i="113"/>
  <c r="B3148" i="113"/>
  <c r="B3149" i="113"/>
  <c r="B3150" i="113"/>
  <c r="B3151" i="113"/>
  <c r="B3152" i="113"/>
  <c r="B3153" i="113"/>
  <c r="B3154" i="113"/>
  <c r="B3155" i="113"/>
  <c r="B3156" i="113"/>
  <c r="B3157" i="113"/>
  <c r="B3158" i="113"/>
  <c r="B3159" i="113"/>
  <c r="B3160" i="113"/>
  <c r="B3161" i="113"/>
  <c r="B3162" i="113"/>
  <c r="B3163" i="113"/>
  <c r="B3164" i="113"/>
  <c r="B3165" i="113"/>
  <c r="B3166" i="113"/>
  <c r="B3167" i="113"/>
  <c r="B3168" i="113"/>
  <c r="B3169" i="113"/>
  <c r="B3170" i="113"/>
  <c r="B3171" i="113"/>
  <c r="B3172" i="113"/>
  <c r="B3173" i="113"/>
  <c r="B3174" i="113"/>
  <c r="B3175" i="113"/>
  <c r="B3176" i="113"/>
  <c r="B3177" i="113"/>
  <c r="B3178" i="113"/>
  <c r="B3179" i="113"/>
  <c r="B3180" i="113"/>
  <c r="B3181" i="113"/>
  <c r="B3182" i="113"/>
  <c r="B3183" i="113"/>
  <c r="B3184" i="113"/>
  <c r="B3185" i="113"/>
  <c r="B3186" i="113"/>
  <c r="B3187" i="113"/>
  <c r="B3188" i="113"/>
  <c r="B3189" i="113"/>
  <c r="B3190" i="113"/>
  <c r="B3191" i="113"/>
  <c r="B3192" i="113"/>
  <c r="B3193" i="113"/>
  <c r="B3194" i="113"/>
  <c r="B3195" i="113"/>
  <c r="B3196" i="113"/>
  <c r="B3197" i="113"/>
  <c r="B3198" i="113"/>
  <c r="B3199" i="113"/>
  <c r="B3200" i="113"/>
  <c r="B3201" i="113"/>
  <c r="B3202" i="113"/>
  <c r="B3203" i="113"/>
  <c r="B3204" i="113"/>
  <c r="B3205" i="113"/>
  <c r="B3206" i="113"/>
  <c r="B3207" i="113"/>
  <c r="B3208" i="113"/>
  <c r="B3209" i="113"/>
  <c r="B3210" i="113"/>
  <c r="B3211" i="113"/>
  <c r="B3212" i="113"/>
  <c r="B3213" i="113"/>
  <c r="B3214" i="113"/>
  <c r="B3215" i="113"/>
  <c r="B3216" i="113"/>
  <c r="B3217" i="113"/>
  <c r="B3218" i="113"/>
  <c r="B3219" i="113"/>
  <c r="B3220" i="113"/>
  <c r="B3221" i="113"/>
  <c r="B3222" i="113"/>
  <c r="B3223" i="113"/>
  <c r="B3224" i="113"/>
  <c r="B3225" i="113"/>
  <c r="B3226" i="113"/>
  <c r="B3227" i="113"/>
  <c r="B3228" i="113"/>
  <c r="B3229" i="113"/>
  <c r="B3230" i="113"/>
  <c r="B3231" i="113"/>
  <c r="B3232" i="113"/>
  <c r="B3233" i="113"/>
  <c r="B3234" i="113"/>
  <c r="B3235" i="113"/>
  <c r="B3236" i="113"/>
  <c r="B3237" i="113"/>
  <c r="B3238" i="113"/>
  <c r="B3239" i="113"/>
  <c r="B3240" i="113"/>
  <c r="B3241" i="113"/>
  <c r="B3242" i="113"/>
  <c r="B3243" i="113"/>
  <c r="B3244" i="113"/>
  <c r="B3245" i="113"/>
  <c r="B3246" i="113"/>
  <c r="B3247" i="113"/>
  <c r="B3248" i="113"/>
  <c r="B3249" i="113"/>
  <c r="B3250" i="113"/>
  <c r="B3251" i="113"/>
  <c r="B3252" i="113"/>
  <c r="B3253" i="113"/>
  <c r="B3254" i="113"/>
  <c r="B3255" i="113"/>
  <c r="B3256" i="113"/>
  <c r="B3257" i="113"/>
  <c r="B3258" i="113"/>
  <c r="B3259" i="113"/>
  <c r="B3260" i="113"/>
  <c r="B3261" i="113"/>
  <c r="B3262" i="113"/>
  <c r="B3263" i="113"/>
  <c r="B3264" i="113"/>
  <c r="B3265" i="113"/>
  <c r="B3266" i="113"/>
  <c r="B3267" i="113"/>
  <c r="B3268" i="113"/>
  <c r="B3269" i="113"/>
  <c r="B3270" i="113"/>
  <c r="B3271" i="113"/>
  <c r="B3272" i="113"/>
  <c r="B3273" i="113"/>
  <c r="B3274" i="113"/>
  <c r="B3275" i="113"/>
  <c r="B3276" i="113"/>
  <c r="B3277" i="113"/>
  <c r="B3278" i="113"/>
  <c r="B3279" i="113"/>
  <c r="B3280" i="113"/>
  <c r="B3281" i="113"/>
  <c r="B3282" i="113"/>
  <c r="B3283" i="113"/>
  <c r="B3284" i="113"/>
  <c r="B3285" i="113"/>
  <c r="B3286" i="113"/>
  <c r="B3287" i="113"/>
  <c r="B3288" i="113"/>
  <c r="B3289" i="113"/>
  <c r="B3290" i="113"/>
  <c r="B3291" i="113"/>
  <c r="B3292" i="113"/>
  <c r="B3293" i="113"/>
  <c r="B3294" i="113"/>
  <c r="B3295" i="113"/>
  <c r="B3296" i="113"/>
  <c r="B3297" i="113"/>
  <c r="B3298" i="113"/>
  <c r="B3299" i="113"/>
  <c r="B3300" i="113"/>
  <c r="B3301" i="113"/>
  <c r="B3302" i="113"/>
  <c r="B3303" i="113"/>
  <c r="B3304" i="113"/>
  <c r="B3305" i="113"/>
  <c r="B3306" i="113"/>
  <c r="B3307" i="113"/>
  <c r="B3308" i="113"/>
  <c r="B3309" i="113"/>
  <c r="B3310" i="113"/>
  <c r="B3311" i="113"/>
  <c r="B3312" i="113"/>
  <c r="B3313" i="113"/>
  <c r="B3314" i="113"/>
  <c r="B3315" i="113"/>
  <c r="B3316" i="113"/>
  <c r="B3317" i="113"/>
  <c r="B3318" i="113"/>
  <c r="B3319" i="113"/>
  <c r="B3320" i="113"/>
  <c r="B3321" i="113"/>
  <c r="B3322" i="113"/>
  <c r="B3323" i="113"/>
  <c r="K325" i="135" l="1"/>
  <c r="E264" i="135" l="1"/>
  <c r="E238" i="135" l="1"/>
  <c r="G106" i="113" l="1"/>
  <c r="E212" i="135" l="1"/>
  <c r="E181" i="135"/>
  <c r="E153" i="135"/>
  <c r="G136" i="135"/>
  <c r="O139" i="135" s="1"/>
  <c r="L143" i="135" s="1"/>
  <c r="G135" i="135"/>
  <c r="G162" i="135" s="1"/>
  <c r="G109" i="135"/>
  <c r="O112" i="135" s="1"/>
  <c r="L116" i="135" s="1"/>
  <c r="G108" i="135"/>
  <c r="L96" i="135"/>
  <c r="G90" i="135"/>
  <c r="G89" i="135"/>
  <c r="I75" i="135"/>
  <c r="O63" i="135"/>
  <c r="L62" i="135" s="1"/>
  <c r="C61" i="135"/>
  <c r="C60" i="135"/>
  <c r="L58" i="135"/>
  <c r="I52" i="135"/>
  <c r="F51" i="135"/>
  <c r="C41" i="135"/>
  <c r="C40" i="135"/>
  <c r="L38" i="135"/>
  <c r="F31" i="135"/>
  <c r="K26" i="135"/>
  <c r="G25" i="135"/>
  <c r="K47" i="135" s="1"/>
  <c r="F19" i="135"/>
  <c r="I20" i="135" s="1"/>
  <c r="K20" i="135" s="1"/>
  <c r="I15" i="135"/>
  <c r="K15" i="135" s="1"/>
  <c r="L12" i="135"/>
  <c r="O21" i="135" s="1"/>
  <c r="P21" i="135" s="1"/>
  <c r="M9" i="135"/>
  <c r="M7" i="135"/>
  <c r="F111" i="135" l="1"/>
  <c r="G46" i="135"/>
  <c r="I72" i="135" s="1"/>
  <c r="L74" i="135" s="1"/>
  <c r="O74" i="135" s="1"/>
  <c r="C62" i="135"/>
  <c r="C42" i="135"/>
  <c r="K52" i="135"/>
  <c r="I32" i="135"/>
  <c r="K32" i="135" s="1"/>
  <c r="F91" i="135"/>
  <c r="G193" i="135"/>
  <c r="G219" i="135" s="1"/>
  <c r="G245" i="135" s="1"/>
  <c r="G271" i="135" s="1"/>
  <c r="G299" i="135" s="1"/>
  <c r="G164" i="135"/>
  <c r="F138" i="135"/>
  <c r="M17" i="135"/>
  <c r="O20" i="135"/>
  <c r="M14" i="135"/>
  <c r="G327" i="135" l="1"/>
  <c r="L24" i="135"/>
  <c r="M46" i="135" s="1"/>
  <c r="I112" i="135"/>
  <c r="K112" i="135" s="1"/>
  <c r="I76" i="135"/>
  <c r="I79" i="135" s="1"/>
  <c r="G86" i="135" s="1"/>
  <c r="I87" i="135" s="1"/>
  <c r="K87" i="135" s="1"/>
  <c r="I92" i="135"/>
  <c r="K92" i="135" s="1"/>
  <c r="L45" i="135"/>
  <c r="G195" i="135"/>
  <c r="L171" i="135"/>
  <c r="O167" i="135"/>
  <c r="I139" i="135"/>
  <c r="K139" i="135" s="1"/>
  <c r="F166" i="135"/>
  <c r="F197" i="135" l="1"/>
  <c r="I198" i="135" s="1"/>
  <c r="K198" i="135" s="1"/>
  <c r="G221" i="135"/>
  <c r="O34" i="135"/>
  <c r="P34" i="135" s="1"/>
  <c r="M25" i="135"/>
  <c r="M29" i="135"/>
  <c r="L39" i="135"/>
  <c r="L41" i="135" s="1"/>
  <c r="O54" i="135"/>
  <c r="P54" i="135" s="1"/>
  <c r="M49" i="135"/>
  <c r="L59" i="135"/>
  <c r="L61" i="135" s="1"/>
  <c r="L65" i="135" s="1"/>
  <c r="L67" i="135" s="1"/>
  <c r="L85" i="135"/>
  <c r="M91" i="135" s="1"/>
  <c r="G105" i="135"/>
  <c r="G132" i="135" s="1"/>
  <c r="I133" i="135" s="1"/>
  <c r="I167" i="135"/>
  <c r="K167" i="135" s="1"/>
  <c r="O198" i="135"/>
  <c r="L202" i="135"/>
  <c r="L228" i="135" l="1"/>
  <c r="O224" i="135"/>
  <c r="G247" i="135" s="1"/>
  <c r="F223" i="135"/>
  <c r="L104" i="135"/>
  <c r="M106" i="135" s="1"/>
  <c r="I106" i="135"/>
  <c r="K106" i="135" s="1"/>
  <c r="M86" i="135"/>
  <c r="L98" i="135"/>
  <c r="L100" i="135" s="1"/>
  <c r="O94" i="135"/>
  <c r="P94" i="135" s="1"/>
  <c r="G159" i="135"/>
  <c r="L131" i="135"/>
  <c r="O250" i="135" l="1"/>
  <c r="G273" i="135"/>
  <c r="G301" i="135" s="1"/>
  <c r="F249" i="135"/>
  <c r="L254" i="135"/>
  <c r="I224" i="135"/>
  <c r="K224" i="135" s="1"/>
  <c r="I116" i="135"/>
  <c r="M111" i="135"/>
  <c r="L120" i="135"/>
  <c r="O114" i="135"/>
  <c r="P114" i="135" s="1"/>
  <c r="L118" i="135"/>
  <c r="G190" i="135"/>
  <c r="G216" i="135" s="1"/>
  <c r="L158" i="135"/>
  <c r="M160" i="135" s="1"/>
  <c r="I160" i="135"/>
  <c r="L147" i="135"/>
  <c r="P141" i="135"/>
  <c r="L145" i="135"/>
  <c r="O141" i="135"/>
  <c r="M138" i="135"/>
  <c r="M133" i="135"/>
  <c r="K133" i="135"/>
  <c r="I143" i="135"/>
  <c r="L308" i="135" l="1"/>
  <c r="O304" i="135"/>
  <c r="G329" i="135" s="1"/>
  <c r="F303" i="135"/>
  <c r="L280" i="135"/>
  <c r="O276" i="135"/>
  <c r="F275" i="135"/>
  <c r="I250" i="135"/>
  <c r="K250" i="135" s="1"/>
  <c r="I276" i="135"/>
  <c r="I243" i="135"/>
  <c r="L241" i="135"/>
  <c r="L215" i="135"/>
  <c r="I217" i="135"/>
  <c r="I228" i="135" s="1"/>
  <c r="L175" i="135"/>
  <c r="L173" i="135"/>
  <c r="O169" i="135"/>
  <c r="P169" i="135" s="1"/>
  <c r="M166" i="135"/>
  <c r="K160" i="135"/>
  <c r="I171" i="135"/>
  <c r="L189" i="135"/>
  <c r="I191" i="135"/>
  <c r="I304" i="135" l="1"/>
  <c r="L295" i="135"/>
  <c r="L336" i="135"/>
  <c r="O332" i="135"/>
  <c r="F331" i="135"/>
  <c r="L267" i="135"/>
  <c r="M275" i="135"/>
  <c r="K276" i="135"/>
  <c r="I280" i="135"/>
  <c r="O278" i="135" s="1"/>
  <c r="P278" i="135" s="1"/>
  <c r="I254" i="135"/>
  <c r="O252" i="135" s="1"/>
  <c r="P252" i="135" s="1"/>
  <c r="K243" i="135"/>
  <c r="M217" i="135"/>
  <c r="M243" i="135"/>
  <c r="L258" i="135"/>
  <c r="L256" i="135"/>
  <c r="M249" i="135"/>
  <c r="K217" i="135"/>
  <c r="O226" i="135"/>
  <c r="P226" i="135" s="1"/>
  <c r="L230" i="135"/>
  <c r="L232" i="135"/>
  <c r="M223" i="135"/>
  <c r="L206" i="135"/>
  <c r="L204" i="135"/>
  <c r="M197" i="135"/>
  <c r="K191" i="135"/>
  <c r="I202" i="135"/>
  <c r="O200" i="135" s="1"/>
  <c r="P200" i="135" s="1"/>
  <c r="M191" i="135"/>
  <c r="I332" i="135" l="1"/>
  <c r="L323" i="135"/>
  <c r="L312" i="135"/>
  <c r="L310" i="135"/>
  <c r="O295" i="135"/>
  <c r="M297" i="135"/>
  <c r="M303" i="135"/>
  <c r="K304" i="135"/>
  <c r="I308" i="135"/>
  <c r="O306" i="135" s="1"/>
  <c r="P306" i="135" s="1"/>
  <c r="L284" i="135"/>
  <c r="O267" i="135"/>
  <c r="M269" i="135"/>
  <c r="L282" i="135"/>
  <c r="G4078" i="113"/>
  <c r="G3" i="113" s="1"/>
  <c r="O323" i="135" l="1"/>
  <c r="L338" i="135"/>
  <c r="L340" i="135"/>
  <c r="M325" i="135"/>
  <c r="M331" i="135"/>
  <c r="K332" i="135"/>
  <c r="I336" i="135"/>
  <c r="O334" i="135" s="1"/>
  <c r="P334" i="135" s="1"/>
  <c r="N4078" i="113"/>
  <c r="J3" i="113" l="1"/>
  <c r="J4" i="113"/>
  <c r="J5" i="113"/>
  <c r="J6" i="113"/>
  <c r="J7" i="113"/>
  <c r="J8" i="113"/>
  <c r="J9" i="113"/>
  <c r="J10" i="113"/>
  <c r="J11" i="113"/>
  <c r="J12" i="113"/>
  <c r="J13" i="113"/>
  <c r="J14" i="113"/>
  <c r="J15" i="113"/>
  <c r="J16" i="113"/>
  <c r="J17" i="113"/>
  <c r="J18" i="113"/>
  <c r="J19" i="113"/>
  <c r="J20" i="113"/>
  <c r="J21" i="113"/>
  <c r="J22" i="113"/>
  <c r="J23" i="113"/>
  <c r="J24" i="113"/>
  <c r="J25" i="113"/>
  <c r="J26" i="113"/>
  <c r="J27" i="113"/>
  <c r="J28" i="113"/>
  <c r="J29" i="113"/>
  <c r="J30" i="113"/>
  <c r="J31" i="113"/>
  <c r="J32" i="113"/>
  <c r="J33" i="113"/>
  <c r="J34" i="113"/>
  <c r="J35" i="113"/>
  <c r="J36" i="113"/>
  <c r="J37" i="113"/>
  <c r="J38" i="113"/>
  <c r="J39" i="113"/>
  <c r="J40" i="113"/>
  <c r="J41" i="113"/>
  <c r="J42" i="113"/>
  <c r="J43" i="113"/>
  <c r="J44" i="113"/>
  <c r="J45" i="113"/>
  <c r="J46" i="113"/>
  <c r="J47" i="113"/>
  <c r="J48" i="113"/>
  <c r="J49" i="113"/>
  <c r="J50" i="113"/>
  <c r="J51" i="113"/>
  <c r="J52" i="113"/>
  <c r="J53" i="113"/>
  <c r="K3" i="113"/>
  <c r="K4" i="113"/>
  <c r="E9" i="1" s="1"/>
  <c r="K5" i="113"/>
  <c r="E10" i="1" s="1"/>
  <c r="K6" i="113"/>
  <c r="E11" i="1" s="1"/>
  <c r="K7" i="113"/>
  <c r="E12" i="1" s="1"/>
  <c r="K8" i="113"/>
  <c r="E13" i="1" s="1"/>
  <c r="K9" i="113"/>
  <c r="E14" i="1" s="1"/>
  <c r="K10" i="113"/>
  <c r="E15" i="1" s="1"/>
  <c r="K11" i="113"/>
  <c r="E16" i="1" s="1"/>
  <c r="K12" i="113"/>
  <c r="E17" i="1" s="1"/>
  <c r="K13" i="113"/>
  <c r="K14" i="113"/>
  <c r="E19" i="1" s="1"/>
  <c r="K15" i="113"/>
  <c r="E20" i="1" s="1"/>
  <c r="K16" i="113"/>
  <c r="E21" i="1" s="1"/>
  <c r="K17" i="113"/>
  <c r="E22" i="1" s="1"/>
  <c r="K18" i="113"/>
  <c r="E23" i="1" s="1"/>
  <c r="K19" i="113"/>
  <c r="E24" i="1" s="1"/>
  <c r="K20" i="113"/>
  <c r="E25" i="1" s="1"/>
  <c r="K21" i="113"/>
  <c r="E26" i="1" s="1"/>
  <c r="K22" i="113"/>
  <c r="E27" i="1" s="1"/>
  <c r="K23" i="113"/>
  <c r="E28" i="1" s="1"/>
  <c r="K24" i="113"/>
  <c r="E29" i="1" s="1"/>
  <c r="K25" i="113"/>
  <c r="E30" i="1" s="1"/>
  <c r="K26" i="113"/>
  <c r="E31" i="1" s="1"/>
  <c r="K27" i="113"/>
  <c r="E32" i="1" s="1"/>
  <c r="K28" i="113"/>
  <c r="E33" i="1" s="1"/>
  <c r="K29" i="113"/>
  <c r="E34" i="1" s="1"/>
  <c r="K30" i="113"/>
  <c r="E35" i="1" s="1"/>
  <c r="K31" i="113"/>
  <c r="E36" i="1" s="1"/>
  <c r="K32" i="113"/>
  <c r="E37" i="1" s="1"/>
  <c r="K33" i="113"/>
  <c r="E38" i="1" s="1"/>
  <c r="K34" i="113"/>
  <c r="E39" i="1" s="1"/>
  <c r="K35" i="113"/>
  <c r="E40" i="1" s="1"/>
  <c r="K36" i="113"/>
  <c r="E41" i="1" s="1"/>
  <c r="K37" i="113"/>
  <c r="E42" i="1" s="1"/>
  <c r="K38" i="113"/>
  <c r="E43" i="1" s="1"/>
  <c r="K39" i="113"/>
  <c r="E44" i="1" s="1"/>
  <c r="K40" i="113"/>
  <c r="E45" i="1" s="1"/>
  <c r="K41" i="113"/>
  <c r="E46" i="1" s="1"/>
  <c r="K42" i="113"/>
  <c r="E47" i="1" s="1"/>
  <c r="K43" i="113"/>
  <c r="E48" i="1" s="1"/>
  <c r="K44" i="113"/>
  <c r="E49" i="1" s="1"/>
  <c r="K45" i="113"/>
  <c r="E50" i="1" s="1"/>
  <c r="K46" i="113"/>
  <c r="E51" i="1" s="1"/>
  <c r="K47" i="113"/>
  <c r="E52" i="1" s="1"/>
  <c r="K48" i="113"/>
  <c r="E53" i="1" s="1"/>
  <c r="K49" i="113"/>
  <c r="E54" i="1" s="1"/>
  <c r="K50" i="113"/>
  <c r="E55" i="1" s="1"/>
  <c r="K51" i="113"/>
  <c r="E56" i="1" s="1"/>
  <c r="K52" i="113"/>
  <c r="E57" i="1" s="1"/>
  <c r="K53" i="113"/>
  <c r="E58" i="1" s="1"/>
  <c r="L3" i="113"/>
  <c r="F8" i="1" s="1"/>
  <c r="L4" i="113"/>
  <c r="F9" i="1" s="1"/>
  <c r="L5" i="113"/>
  <c r="F10" i="1" s="1"/>
  <c r="L6" i="113"/>
  <c r="F11" i="1" s="1"/>
  <c r="L7" i="113"/>
  <c r="F12" i="1" s="1"/>
  <c r="L8" i="113"/>
  <c r="F13" i="1" s="1"/>
  <c r="L9" i="113"/>
  <c r="F14" i="1" s="1"/>
  <c r="L10" i="113"/>
  <c r="F15" i="1" s="1"/>
  <c r="L11" i="113"/>
  <c r="F16" i="1" s="1"/>
  <c r="L12" i="113"/>
  <c r="F17" i="1" s="1"/>
  <c r="L13" i="113"/>
  <c r="F18" i="1" s="1"/>
  <c r="L14" i="113"/>
  <c r="F19" i="1" s="1"/>
  <c r="L15" i="113"/>
  <c r="F20" i="1" s="1"/>
  <c r="L16" i="113"/>
  <c r="F21" i="1" s="1"/>
  <c r="L17" i="113"/>
  <c r="F22" i="1" s="1"/>
  <c r="L18" i="113"/>
  <c r="F23" i="1" s="1"/>
  <c r="L19" i="113"/>
  <c r="F24" i="1" s="1"/>
  <c r="L20" i="113"/>
  <c r="F25" i="1" s="1"/>
  <c r="L21" i="113"/>
  <c r="F26" i="1" s="1"/>
  <c r="L22" i="113"/>
  <c r="F27" i="1" s="1"/>
  <c r="L23" i="113"/>
  <c r="F28" i="1" s="1"/>
  <c r="L24" i="113"/>
  <c r="F29" i="1" s="1"/>
  <c r="L25" i="113"/>
  <c r="F30" i="1" s="1"/>
  <c r="L26" i="113"/>
  <c r="F31" i="1" s="1"/>
  <c r="L27" i="113"/>
  <c r="F32" i="1" s="1"/>
  <c r="L28" i="113"/>
  <c r="F33" i="1" s="1"/>
  <c r="L29" i="113"/>
  <c r="F34" i="1" s="1"/>
  <c r="L30" i="113"/>
  <c r="F35" i="1" s="1"/>
  <c r="L31" i="113"/>
  <c r="F36" i="1" s="1"/>
  <c r="L32" i="113"/>
  <c r="F37" i="1" s="1"/>
  <c r="L33" i="113"/>
  <c r="F38" i="1" s="1"/>
  <c r="L34" i="113"/>
  <c r="F39" i="1" s="1"/>
  <c r="L35" i="113"/>
  <c r="F40" i="1" s="1"/>
  <c r="L36" i="113"/>
  <c r="F41" i="1" s="1"/>
  <c r="L37" i="113"/>
  <c r="F42" i="1" s="1"/>
  <c r="L38" i="113"/>
  <c r="F43" i="1" s="1"/>
  <c r="L39" i="113"/>
  <c r="F44" i="1" s="1"/>
  <c r="L40" i="113"/>
  <c r="F45" i="1" s="1"/>
  <c r="F46" i="1"/>
  <c r="L42" i="113"/>
  <c r="F47" i="1" s="1"/>
  <c r="L43" i="113"/>
  <c r="F48" i="1" s="1"/>
  <c r="L44" i="113"/>
  <c r="F49" i="1" s="1"/>
  <c r="L45" i="113"/>
  <c r="F50" i="1" s="1"/>
  <c r="L46" i="113"/>
  <c r="F51" i="1" s="1"/>
  <c r="L47" i="113"/>
  <c r="F52" i="1" s="1"/>
  <c r="L48" i="113"/>
  <c r="F53" i="1" s="1"/>
  <c r="L49" i="113"/>
  <c r="F54" i="1" s="1"/>
  <c r="L50" i="113"/>
  <c r="F55" i="1" s="1"/>
  <c r="L51" i="113"/>
  <c r="F56" i="1" s="1"/>
  <c r="L52" i="113"/>
  <c r="F57" i="1" s="1"/>
  <c r="L53" i="113"/>
  <c r="F58" i="1" s="1"/>
  <c r="N3" i="113"/>
  <c r="H8" i="1" s="1"/>
  <c r="N4" i="113"/>
  <c r="H9" i="1" s="1"/>
  <c r="N5" i="113"/>
  <c r="H10" i="1" s="1"/>
  <c r="N6" i="113"/>
  <c r="H11" i="1" s="1"/>
  <c r="N7" i="113"/>
  <c r="H12" i="1" s="1"/>
  <c r="H13" i="1"/>
  <c r="H14" i="1"/>
  <c r="N10" i="113"/>
  <c r="H15" i="1" s="1"/>
  <c r="N11" i="113"/>
  <c r="H16" i="1" s="1"/>
  <c r="N12" i="113"/>
  <c r="H17" i="1" s="1"/>
  <c r="N14" i="113"/>
  <c r="H19" i="1" s="1"/>
  <c r="N91" i="113"/>
  <c r="H96" i="1" s="1"/>
  <c r="N16" i="113"/>
  <c r="H21" i="1" s="1"/>
  <c r="N17" i="113"/>
  <c r="H22" i="1" s="1"/>
  <c r="N18" i="113"/>
  <c r="H23" i="1" s="1"/>
  <c r="N19" i="113"/>
  <c r="H24" i="1" s="1"/>
  <c r="N20" i="113"/>
  <c r="H25" i="1" s="1"/>
  <c r="N21" i="113"/>
  <c r="H26" i="1" s="1"/>
  <c r="N22" i="113"/>
  <c r="H27" i="1" s="1"/>
  <c r="N23" i="113"/>
  <c r="H28" i="1" s="1"/>
  <c r="N24" i="113"/>
  <c r="H29" i="1" s="1"/>
  <c r="N25" i="113"/>
  <c r="H30" i="1" s="1"/>
  <c r="N26" i="113"/>
  <c r="H31" i="1" s="1"/>
  <c r="N27" i="113"/>
  <c r="H32" i="1" s="1"/>
  <c r="N28" i="113"/>
  <c r="H33" i="1" s="1"/>
  <c r="N29" i="113"/>
  <c r="H34" i="1" s="1"/>
  <c r="N30" i="113"/>
  <c r="H35" i="1" s="1"/>
  <c r="N31" i="113"/>
  <c r="H36" i="1" s="1"/>
  <c r="N32" i="113"/>
  <c r="H37" i="1" s="1"/>
  <c r="N33" i="113"/>
  <c r="H38" i="1" s="1"/>
  <c r="N34" i="113"/>
  <c r="H39" i="1" s="1"/>
  <c r="N35" i="113"/>
  <c r="H40" i="1" s="1"/>
  <c r="N36" i="113"/>
  <c r="H41" i="1" s="1"/>
  <c r="N37" i="113"/>
  <c r="H42" i="1" s="1"/>
  <c r="N38" i="113"/>
  <c r="H43" i="1" s="1"/>
  <c r="N39" i="113"/>
  <c r="H44" i="1" s="1"/>
  <c r="N40" i="113"/>
  <c r="H45" i="1" s="1"/>
  <c r="N41" i="113"/>
  <c r="H46" i="1" s="1"/>
  <c r="N42" i="113"/>
  <c r="H47" i="1" s="1"/>
  <c r="N43" i="113"/>
  <c r="H48" i="1" s="1"/>
  <c r="N44" i="113"/>
  <c r="H49" i="1" s="1"/>
  <c r="N45" i="113"/>
  <c r="H50" i="1" s="1"/>
  <c r="N46" i="113"/>
  <c r="H51" i="1" s="1"/>
  <c r="N47" i="113"/>
  <c r="H52" i="1" s="1"/>
  <c r="N48" i="113"/>
  <c r="H53" i="1" s="1"/>
  <c r="N49" i="113"/>
  <c r="H54" i="1" s="1"/>
  <c r="N50" i="113"/>
  <c r="H55" i="1" s="1"/>
  <c r="N51" i="113"/>
  <c r="H56" i="1" s="1"/>
  <c r="N52" i="113"/>
  <c r="H57" i="1" s="1"/>
  <c r="N53" i="113"/>
  <c r="H58" i="1" s="1"/>
  <c r="J54" i="113"/>
  <c r="J55" i="113"/>
  <c r="K54" i="113"/>
  <c r="E59" i="1" s="1"/>
  <c r="K55" i="113"/>
  <c r="E60" i="1" s="1"/>
  <c r="L54" i="113"/>
  <c r="F59" i="1" s="1"/>
  <c r="L55" i="113"/>
  <c r="F60" i="1" s="1"/>
  <c r="N54" i="113"/>
  <c r="H59" i="1" s="1"/>
  <c r="N55" i="113"/>
  <c r="H60" i="1" s="1"/>
  <c r="J56" i="113"/>
  <c r="J57" i="113"/>
  <c r="J58" i="113"/>
  <c r="J59" i="113"/>
  <c r="J60" i="113"/>
  <c r="J61" i="113"/>
  <c r="J62" i="113"/>
  <c r="J63" i="113"/>
  <c r="J64" i="113"/>
  <c r="J65" i="113"/>
  <c r="K56" i="113"/>
  <c r="E61" i="1" s="1"/>
  <c r="K57" i="113"/>
  <c r="E62" i="1" s="1"/>
  <c r="K58" i="113"/>
  <c r="E63" i="1" s="1"/>
  <c r="K59" i="113"/>
  <c r="E64" i="1" s="1"/>
  <c r="K60" i="113"/>
  <c r="E65" i="1" s="1"/>
  <c r="K61" i="113"/>
  <c r="E66" i="1" s="1"/>
  <c r="K62" i="113"/>
  <c r="E67" i="1" s="1"/>
  <c r="K63" i="113"/>
  <c r="E68" i="1" s="1"/>
  <c r="K64" i="113"/>
  <c r="E69" i="1" s="1"/>
  <c r="K65" i="113"/>
  <c r="L56" i="113"/>
  <c r="F61" i="1" s="1"/>
  <c r="L57" i="113"/>
  <c r="F62" i="1" s="1"/>
  <c r="L58" i="113"/>
  <c r="F63" i="1" s="1"/>
  <c r="L59" i="113"/>
  <c r="F64" i="1" s="1"/>
  <c r="L60" i="113"/>
  <c r="F65" i="1" s="1"/>
  <c r="L61" i="113"/>
  <c r="F66" i="1" s="1"/>
  <c r="L62" i="113"/>
  <c r="F67" i="1" s="1"/>
  <c r="L63" i="113"/>
  <c r="F68" i="1" s="1"/>
  <c r="L64" i="113"/>
  <c r="F69" i="1" s="1"/>
  <c r="L65" i="113"/>
  <c r="N56" i="113"/>
  <c r="H61" i="1" s="1"/>
  <c r="N57" i="113"/>
  <c r="H62" i="1" s="1"/>
  <c r="N58" i="113"/>
  <c r="H63" i="1" s="1"/>
  <c r="N59" i="113"/>
  <c r="H64" i="1" s="1"/>
  <c r="N60" i="113"/>
  <c r="H65" i="1" s="1"/>
  <c r="N61" i="113"/>
  <c r="H66" i="1" s="1"/>
  <c r="N62" i="113"/>
  <c r="H67" i="1" s="1"/>
  <c r="N63" i="113"/>
  <c r="H68" i="1" s="1"/>
  <c r="N64" i="113"/>
  <c r="H69" i="1" s="1"/>
  <c r="N65" i="113"/>
  <c r="H70" i="1" s="1"/>
  <c r="J66" i="113"/>
  <c r="J67" i="113"/>
  <c r="J68" i="113"/>
  <c r="K66" i="113"/>
  <c r="E71" i="1" s="1"/>
  <c r="K67" i="113"/>
  <c r="E72" i="1" s="1"/>
  <c r="K68" i="113"/>
  <c r="E73" i="1" s="1"/>
  <c r="L66" i="113"/>
  <c r="F71" i="1" s="1"/>
  <c r="L67" i="113"/>
  <c r="F72" i="1" s="1"/>
  <c r="L68" i="113"/>
  <c r="F73" i="1" s="1"/>
  <c r="N66" i="113"/>
  <c r="H71" i="1" s="1"/>
  <c r="N67" i="113"/>
  <c r="H72" i="1" s="1"/>
  <c r="N68" i="113"/>
  <c r="H73" i="1" s="1"/>
  <c r="J69" i="113"/>
  <c r="J70" i="113"/>
  <c r="J71" i="113"/>
  <c r="J72" i="113"/>
  <c r="J73" i="113"/>
  <c r="J74" i="113"/>
  <c r="J75" i="113"/>
  <c r="J76" i="113"/>
  <c r="J77" i="113"/>
  <c r="J78" i="113"/>
  <c r="J79" i="113"/>
  <c r="J80" i="113"/>
  <c r="J81" i="113"/>
  <c r="J82" i="113"/>
  <c r="J83" i="113"/>
  <c r="J84" i="113"/>
  <c r="J85" i="113"/>
  <c r="J86" i="113"/>
  <c r="J87" i="113"/>
  <c r="J88" i="113"/>
  <c r="J89" i="113"/>
  <c r="J90" i="113"/>
  <c r="J91" i="113"/>
  <c r="J92" i="113"/>
  <c r="J93" i="113"/>
  <c r="J94" i="113"/>
  <c r="J95" i="113"/>
  <c r="J96" i="113"/>
  <c r="J97" i="113"/>
  <c r="J98" i="113"/>
  <c r="J99" i="113"/>
  <c r="J100" i="113"/>
  <c r="J101" i="113"/>
  <c r="J102" i="113"/>
  <c r="J103" i="113"/>
  <c r="J104" i="113"/>
  <c r="J105" i="113"/>
  <c r="J106" i="113"/>
  <c r="K69" i="113"/>
  <c r="E74" i="1" s="1"/>
  <c r="K70" i="113"/>
  <c r="E75" i="1" s="1"/>
  <c r="K71" i="113"/>
  <c r="E76" i="1" s="1"/>
  <c r="K72" i="113"/>
  <c r="E77" i="1" s="1"/>
  <c r="K73" i="113"/>
  <c r="E78" i="1" s="1"/>
  <c r="K74" i="113"/>
  <c r="E79" i="1" s="1"/>
  <c r="K75" i="113"/>
  <c r="E80" i="1" s="1"/>
  <c r="K76" i="113"/>
  <c r="E81" i="1" s="1"/>
  <c r="K77" i="113"/>
  <c r="E82" i="1" s="1"/>
  <c r="K78" i="113"/>
  <c r="E83" i="1" s="1"/>
  <c r="K79" i="113"/>
  <c r="E84" i="1" s="1"/>
  <c r="K80" i="113"/>
  <c r="E85" i="1" s="1"/>
  <c r="K81" i="113"/>
  <c r="E86" i="1" s="1"/>
  <c r="K82" i="113"/>
  <c r="E87" i="1" s="1"/>
  <c r="K83" i="113"/>
  <c r="E88" i="1" s="1"/>
  <c r="K84" i="113"/>
  <c r="E89" i="1" s="1"/>
  <c r="K85" i="113"/>
  <c r="E90" i="1" s="1"/>
  <c r="K86" i="113"/>
  <c r="E91" i="1" s="1"/>
  <c r="K87" i="113"/>
  <c r="E92" i="1" s="1"/>
  <c r="K88" i="113"/>
  <c r="E93" i="1" s="1"/>
  <c r="K89" i="113"/>
  <c r="E94" i="1" s="1"/>
  <c r="K90" i="113"/>
  <c r="E95" i="1" s="1"/>
  <c r="K91" i="113"/>
  <c r="E96" i="1" s="1"/>
  <c r="K92" i="113"/>
  <c r="E97" i="1" s="1"/>
  <c r="K93" i="113"/>
  <c r="E98" i="1" s="1"/>
  <c r="K94" i="113"/>
  <c r="E99" i="1" s="1"/>
  <c r="K95" i="113"/>
  <c r="E100" i="1" s="1"/>
  <c r="K96" i="113"/>
  <c r="E101" i="1" s="1"/>
  <c r="K97" i="113"/>
  <c r="E102" i="1" s="1"/>
  <c r="K98" i="113"/>
  <c r="E103" i="1" s="1"/>
  <c r="K99" i="113"/>
  <c r="E104" i="1" s="1"/>
  <c r="K100" i="113"/>
  <c r="E105" i="1" s="1"/>
  <c r="K101" i="113"/>
  <c r="E106" i="1" s="1"/>
  <c r="K102" i="113"/>
  <c r="E107" i="1" s="1"/>
  <c r="K103" i="113"/>
  <c r="E108" i="1" s="1"/>
  <c r="K104" i="113"/>
  <c r="E109" i="1" s="1"/>
  <c r="K105" i="113"/>
  <c r="E110" i="1" s="1"/>
  <c r="K106" i="113"/>
  <c r="E111" i="1" s="1"/>
  <c r="L69" i="113"/>
  <c r="F74" i="1" s="1"/>
  <c r="L70" i="113"/>
  <c r="F75" i="1" s="1"/>
  <c r="L71" i="113"/>
  <c r="F76" i="1" s="1"/>
  <c r="L72" i="113"/>
  <c r="F77" i="1" s="1"/>
  <c r="L73" i="113"/>
  <c r="F78" i="1" s="1"/>
  <c r="L74" i="113"/>
  <c r="F79" i="1" s="1"/>
  <c r="L75" i="113"/>
  <c r="F80" i="1" s="1"/>
  <c r="L76" i="113"/>
  <c r="F81" i="1" s="1"/>
  <c r="L77" i="113"/>
  <c r="F82" i="1" s="1"/>
  <c r="L78" i="113"/>
  <c r="L79" i="113"/>
  <c r="F84" i="1" s="1"/>
  <c r="L80" i="113"/>
  <c r="F85" i="1" s="1"/>
  <c r="L81" i="113"/>
  <c r="F86" i="1" s="1"/>
  <c r="L82" i="113"/>
  <c r="F87" i="1" s="1"/>
  <c r="L83" i="113"/>
  <c r="F88" i="1" s="1"/>
  <c r="L84" i="113"/>
  <c r="F89" i="1" s="1"/>
  <c r="L85" i="113"/>
  <c r="F90" i="1" s="1"/>
  <c r="L86" i="113"/>
  <c r="F91" i="1" s="1"/>
  <c r="L87" i="113"/>
  <c r="F92" i="1" s="1"/>
  <c r="L88" i="113"/>
  <c r="F93" i="1" s="1"/>
  <c r="L89" i="113"/>
  <c r="F94" i="1" s="1"/>
  <c r="L90" i="113"/>
  <c r="F95" i="1" s="1"/>
  <c r="L91" i="113"/>
  <c r="F96" i="1" s="1"/>
  <c r="L92" i="113"/>
  <c r="F97" i="1" s="1"/>
  <c r="L93" i="113"/>
  <c r="F98" i="1" s="1"/>
  <c r="L94" i="113"/>
  <c r="F99" i="1" s="1"/>
  <c r="L95" i="113"/>
  <c r="F100" i="1" s="1"/>
  <c r="L96" i="113"/>
  <c r="F101" i="1" s="1"/>
  <c r="L97" i="113"/>
  <c r="F102" i="1" s="1"/>
  <c r="L98" i="113"/>
  <c r="F103" i="1" s="1"/>
  <c r="L99" i="113"/>
  <c r="F104" i="1" s="1"/>
  <c r="L100" i="113"/>
  <c r="F105" i="1" s="1"/>
  <c r="L101" i="113"/>
  <c r="F106" i="1" s="1"/>
  <c r="L102" i="113"/>
  <c r="F107" i="1" s="1"/>
  <c r="L103" i="113"/>
  <c r="F108" i="1" s="1"/>
  <c r="L104" i="113"/>
  <c r="F109" i="1" s="1"/>
  <c r="L105" i="113"/>
  <c r="L106" i="113"/>
  <c r="F111" i="1" s="1"/>
  <c r="N69" i="113"/>
  <c r="H74" i="1" s="1"/>
  <c r="N70" i="113"/>
  <c r="H75" i="1" s="1"/>
  <c r="N71" i="113"/>
  <c r="H76" i="1" s="1"/>
  <c r="N72" i="113"/>
  <c r="H77" i="1" s="1"/>
  <c r="N73" i="113"/>
  <c r="H78" i="1" s="1"/>
  <c r="N74" i="113"/>
  <c r="H79" i="1" s="1"/>
  <c r="N75" i="113"/>
  <c r="H80" i="1" s="1"/>
  <c r="N76" i="113"/>
  <c r="H81" i="1" s="1"/>
  <c r="N77" i="113"/>
  <c r="H82" i="1" s="1"/>
  <c r="N78" i="113"/>
  <c r="H83" i="1" s="1"/>
  <c r="N79" i="113"/>
  <c r="H84" i="1" s="1"/>
  <c r="N80" i="113"/>
  <c r="H85" i="1" s="1"/>
  <c r="N81" i="113"/>
  <c r="H86" i="1" s="1"/>
  <c r="N82" i="113"/>
  <c r="H87" i="1" s="1"/>
  <c r="N83" i="113"/>
  <c r="H88" i="1" s="1"/>
  <c r="N84" i="113"/>
  <c r="H89" i="1" s="1"/>
  <c r="N85" i="113"/>
  <c r="H90" i="1" s="1"/>
  <c r="N86" i="113"/>
  <c r="H91" i="1" s="1"/>
  <c r="N87" i="113"/>
  <c r="H92" i="1" s="1"/>
  <c r="N88" i="113"/>
  <c r="H93" i="1" s="1"/>
  <c r="N89" i="113"/>
  <c r="H94" i="1" s="1"/>
  <c r="N90" i="113"/>
  <c r="H95" i="1" s="1"/>
  <c r="N92" i="113"/>
  <c r="H97" i="1" s="1"/>
  <c r="N93" i="113"/>
  <c r="H98" i="1" s="1"/>
  <c r="N94" i="113"/>
  <c r="H99" i="1" s="1"/>
  <c r="N95" i="113"/>
  <c r="H100" i="1" s="1"/>
  <c r="N96" i="113"/>
  <c r="H101" i="1" s="1"/>
  <c r="N97" i="113"/>
  <c r="H102" i="1" s="1"/>
  <c r="N98" i="113"/>
  <c r="H103" i="1" s="1"/>
  <c r="N99" i="113"/>
  <c r="H104" i="1" s="1"/>
  <c r="N100" i="113"/>
  <c r="H105" i="1" s="1"/>
  <c r="N101" i="113"/>
  <c r="H106" i="1" s="1"/>
  <c r="N102" i="113"/>
  <c r="H107" i="1" s="1"/>
  <c r="N103" i="113"/>
  <c r="H108" i="1" s="1"/>
  <c r="N104" i="113"/>
  <c r="H109" i="1" s="1"/>
  <c r="N105" i="113"/>
  <c r="H110" i="1" s="1"/>
  <c r="N106" i="113"/>
  <c r="H111" i="1" s="1"/>
  <c r="C59" i="1"/>
  <c r="C60" i="1"/>
  <c r="C61" i="1"/>
  <c r="C62" i="1"/>
  <c r="C63"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G4" i="113"/>
  <c r="D9" i="1" s="1"/>
  <c r="G5" i="113"/>
  <c r="D10" i="1" s="1"/>
  <c r="G6" i="113"/>
  <c r="D11" i="1" s="1"/>
  <c r="G7" i="113"/>
  <c r="D12" i="1" s="1"/>
  <c r="G8" i="113"/>
  <c r="D13" i="1" s="1"/>
  <c r="G9" i="113"/>
  <c r="D14" i="1" s="1"/>
  <c r="G10" i="113"/>
  <c r="D15" i="1" s="1"/>
  <c r="G11" i="113"/>
  <c r="D16" i="1" s="1"/>
  <c r="G12" i="113"/>
  <c r="D17" i="1" s="1"/>
  <c r="G13" i="113"/>
  <c r="D18" i="1" s="1"/>
  <c r="G14" i="113"/>
  <c r="D19" i="1" s="1"/>
  <c r="G15" i="113"/>
  <c r="D20" i="1" s="1"/>
  <c r="G16" i="113"/>
  <c r="D21" i="1" s="1"/>
  <c r="G17" i="113"/>
  <c r="D22" i="1" s="1"/>
  <c r="G18" i="113"/>
  <c r="D23" i="1" s="1"/>
  <c r="G19" i="113"/>
  <c r="D24" i="1" s="1"/>
  <c r="G20" i="113"/>
  <c r="D25" i="1" s="1"/>
  <c r="G21" i="113"/>
  <c r="D26" i="1" s="1"/>
  <c r="G22" i="113"/>
  <c r="D27" i="1" s="1"/>
  <c r="G23" i="113"/>
  <c r="D28" i="1" s="1"/>
  <c r="G24" i="113"/>
  <c r="D29" i="1" s="1"/>
  <c r="G25" i="113"/>
  <c r="D30" i="1" s="1"/>
  <c r="G26" i="113"/>
  <c r="D31" i="1" s="1"/>
  <c r="G27" i="113"/>
  <c r="D32" i="1" s="1"/>
  <c r="G28" i="113"/>
  <c r="D33" i="1" s="1"/>
  <c r="G29" i="113"/>
  <c r="D34" i="1" s="1"/>
  <c r="G30" i="113"/>
  <c r="D35" i="1" s="1"/>
  <c r="G31" i="113"/>
  <c r="D36" i="1" s="1"/>
  <c r="G32" i="113"/>
  <c r="D37" i="1" s="1"/>
  <c r="G33" i="113"/>
  <c r="D38" i="1" s="1"/>
  <c r="G34" i="113"/>
  <c r="D39" i="1" s="1"/>
  <c r="G35" i="113"/>
  <c r="D40" i="1" s="1"/>
  <c r="G36" i="113"/>
  <c r="D41" i="1" s="1"/>
  <c r="G37" i="113"/>
  <c r="D42" i="1" s="1"/>
  <c r="G38" i="113"/>
  <c r="D43" i="1" s="1"/>
  <c r="G39" i="113"/>
  <c r="D44" i="1" s="1"/>
  <c r="G40" i="113"/>
  <c r="D45" i="1" s="1"/>
  <c r="G41" i="113"/>
  <c r="D46" i="1" s="1"/>
  <c r="G42" i="113"/>
  <c r="D47" i="1" s="1"/>
  <c r="G43" i="113"/>
  <c r="D48" i="1" s="1"/>
  <c r="G44" i="113"/>
  <c r="D49" i="1" s="1"/>
  <c r="G45" i="113"/>
  <c r="D50" i="1" s="1"/>
  <c r="G46" i="113"/>
  <c r="D51" i="1" s="1"/>
  <c r="G47" i="113"/>
  <c r="D52" i="1" s="1"/>
  <c r="G48" i="113"/>
  <c r="D53" i="1" s="1"/>
  <c r="G49" i="113"/>
  <c r="D54" i="1" s="1"/>
  <c r="G50" i="113"/>
  <c r="D55" i="1" s="1"/>
  <c r="G51" i="113"/>
  <c r="D56" i="1" s="1"/>
  <c r="G52" i="113"/>
  <c r="D57" i="1" s="1"/>
  <c r="G53" i="113"/>
  <c r="D58" i="1" s="1"/>
  <c r="G54" i="113"/>
  <c r="D59" i="1" s="1"/>
  <c r="G55" i="113"/>
  <c r="D60" i="1" s="1"/>
  <c r="G56" i="113"/>
  <c r="D61" i="1" s="1"/>
  <c r="G57" i="113"/>
  <c r="D62" i="1" s="1"/>
  <c r="G58" i="113"/>
  <c r="D63" i="1" s="1"/>
  <c r="G59" i="113"/>
  <c r="D64" i="1" s="1"/>
  <c r="G60" i="113"/>
  <c r="D65" i="1" s="1"/>
  <c r="G61" i="113"/>
  <c r="D66" i="1" s="1"/>
  <c r="G62" i="113"/>
  <c r="D67" i="1" s="1"/>
  <c r="G63" i="113"/>
  <c r="D68" i="1" s="1"/>
  <c r="G64" i="113"/>
  <c r="D69" i="1" s="1"/>
  <c r="G65" i="113"/>
  <c r="D70" i="1" s="1"/>
  <c r="G66" i="113"/>
  <c r="D71" i="1" s="1"/>
  <c r="G67" i="113"/>
  <c r="D72" i="1" s="1"/>
  <c r="G68" i="113"/>
  <c r="D73" i="1" s="1"/>
  <c r="G69" i="113"/>
  <c r="D74" i="1" s="1"/>
  <c r="G70" i="113"/>
  <c r="G71" i="113"/>
  <c r="D76" i="1" s="1"/>
  <c r="G72" i="113"/>
  <c r="D77" i="1" s="1"/>
  <c r="G73" i="113"/>
  <c r="D78" i="1" s="1"/>
  <c r="G74" i="113"/>
  <c r="D79" i="1" s="1"/>
  <c r="G75" i="113"/>
  <c r="D80" i="1" s="1"/>
  <c r="G76" i="113"/>
  <c r="D81" i="1" s="1"/>
  <c r="G77" i="113"/>
  <c r="D82" i="1" s="1"/>
  <c r="G78" i="113"/>
  <c r="D83" i="1" s="1"/>
  <c r="G79" i="113"/>
  <c r="D84" i="1" s="1"/>
  <c r="G80" i="113"/>
  <c r="D85" i="1" s="1"/>
  <c r="G81" i="113"/>
  <c r="D86" i="1" s="1"/>
  <c r="G82" i="113"/>
  <c r="D87" i="1" s="1"/>
  <c r="G83" i="113"/>
  <c r="D88" i="1" s="1"/>
  <c r="G84" i="113"/>
  <c r="D89" i="1" s="1"/>
  <c r="G85" i="113"/>
  <c r="D90" i="1" s="1"/>
  <c r="G86" i="113"/>
  <c r="D91" i="1" s="1"/>
  <c r="G87" i="113"/>
  <c r="D92" i="1" s="1"/>
  <c r="G88" i="113"/>
  <c r="D93" i="1" s="1"/>
  <c r="G89" i="113"/>
  <c r="D94" i="1" s="1"/>
  <c r="G90" i="113"/>
  <c r="D95" i="1" s="1"/>
  <c r="G91" i="113"/>
  <c r="D96" i="1" s="1"/>
  <c r="G92" i="113"/>
  <c r="D97" i="1" s="1"/>
  <c r="G93" i="113"/>
  <c r="D98" i="1" s="1"/>
  <c r="G94" i="113"/>
  <c r="D99" i="1" s="1"/>
  <c r="G95" i="113"/>
  <c r="D100" i="1" s="1"/>
  <c r="G96" i="113"/>
  <c r="D101" i="1" s="1"/>
  <c r="G97" i="113"/>
  <c r="D102" i="1" s="1"/>
  <c r="G98" i="113"/>
  <c r="D103" i="1" s="1"/>
  <c r="G99" i="113"/>
  <c r="D104" i="1" s="1"/>
  <c r="G100" i="113"/>
  <c r="D105" i="1" s="1"/>
  <c r="G101" i="113"/>
  <c r="D106" i="1" s="1"/>
  <c r="G102" i="113"/>
  <c r="D107" i="1" s="1"/>
  <c r="G103" i="113"/>
  <c r="D108" i="1" s="1"/>
  <c r="G104" i="113"/>
  <c r="D109" i="1" s="1"/>
  <c r="G105" i="113"/>
  <c r="D110" i="1" s="1"/>
  <c r="D111" i="1"/>
  <c r="D8" i="1"/>
  <c r="A2522" i="113"/>
  <c r="A2523" i="113"/>
  <c r="A2524" i="113"/>
  <c r="A2525" i="113"/>
  <c r="A2526" i="113"/>
  <c r="A2527" i="113"/>
  <c r="A2528" i="113"/>
  <c r="A2529" i="113"/>
  <c r="A2530" i="113"/>
  <c r="A2531" i="113"/>
  <c r="A2532" i="113"/>
  <c r="A2533" i="113"/>
  <c r="A2534" i="113"/>
  <c r="A2535" i="113"/>
  <c r="A2536" i="113"/>
  <c r="A2537" i="113"/>
  <c r="A2538" i="113"/>
  <c r="A2539" i="113"/>
  <c r="A2540" i="113"/>
  <c r="A2541" i="113"/>
  <c r="A2542" i="113"/>
  <c r="A2543" i="113"/>
  <c r="A2544" i="113"/>
  <c r="A2545" i="113"/>
  <c r="A2546" i="113"/>
  <c r="A2547" i="113"/>
  <c r="A2548" i="113"/>
  <c r="A2549" i="113"/>
  <c r="A2550" i="113"/>
  <c r="A2551" i="113"/>
  <c r="A2552" i="113"/>
  <c r="A2553" i="113"/>
  <c r="A2554" i="113"/>
  <c r="A2555" i="113"/>
  <c r="A2556" i="113"/>
  <c r="A2557" i="113"/>
  <c r="A2558" i="113"/>
  <c r="A2559" i="113"/>
  <c r="A2560" i="113"/>
  <c r="A2561" i="113"/>
  <c r="A2562" i="113"/>
  <c r="A2563" i="113"/>
  <c r="A2564" i="113"/>
  <c r="A2565" i="113"/>
  <c r="A2566" i="113"/>
  <c r="A2567" i="113"/>
  <c r="A2568" i="113"/>
  <c r="A2569" i="113"/>
  <c r="A2570" i="113"/>
  <c r="A2571" i="113"/>
  <c r="A2572" i="113"/>
  <c r="A2573" i="113"/>
  <c r="A2574" i="113"/>
  <c r="A2575" i="113"/>
  <c r="A2576" i="113"/>
  <c r="A2577" i="113"/>
  <c r="A2578" i="113"/>
  <c r="A2579" i="113"/>
  <c r="A2580" i="113"/>
  <c r="A2581" i="113"/>
  <c r="A2582" i="113"/>
  <c r="A2583" i="113"/>
  <c r="A2584" i="113"/>
  <c r="A2585" i="113"/>
  <c r="A2586" i="113"/>
  <c r="A2587" i="113"/>
  <c r="A2588" i="113"/>
  <c r="A2589" i="113"/>
  <c r="A2590" i="113"/>
  <c r="A2591" i="113"/>
  <c r="A2592" i="113"/>
  <c r="A2593" i="113"/>
  <c r="A2594" i="113"/>
  <c r="A2595" i="113"/>
  <c r="A2596" i="113"/>
  <c r="A2597" i="113"/>
  <c r="A2598" i="113"/>
  <c r="A2599" i="113"/>
  <c r="A2600" i="113"/>
  <c r="A2601" i="113"/>
  <c r="A2602" i="113"/>
  <c r="A2603" i="113"/>
  <c r="A2604" i="113"/>
  <c r="A2605" i="113"/>
  <c r="A2606" i="113"/>
  <c r="A2607" i="113"/>
  <c r="A2608" i="113"/>
  <c r="A2609" i="113"/>
  <c r="A2610" i="113"/>
  <c r="A2611" i="113"/>
  <c r="A2612" i="113"/>
  <c r="A2613" i="113"/>
  <c r="A2614" i="113"/>
  <c r="A2615" i="113"/>
  <c r="A2616" i="113"/>
  <c r="A2617" i="113"/>
  <c r="A2618" i="113"/>
  <c r="A2619" i="113"/>
  <c r="A2620" i="113"/>
  <c r="A2621" i="113"/>
  <c r="A2622" i="113"/>
  <c r="A2623" i="113"/>
  <c r="A2624" i="113"/>
  <c r="A2625" i="113"/>
  <c r="A2626" i="113"/>
  <c r="A2627" i="113"/>
  <c r="A2628" i="113"/>
  <c r="A2629" i="113"/>
  <c r="A2630" i="113"/>
  <c r="A2631" i="113"/>
  <c r="A2632" i="113"/>
  <c r="A2633" i="113"/>
  <c r="A2634" i="113"/>
  <c r="A2635" i="113"/>
  <c r="A2636" i="113"/>
  <c r="A2637" i="113"/>
  <c r="A2638" i="113"/>
  <c r="A2639" i="113"/>
  <c r="A2640" i="113"/>
  <c r="A2641" i="113"/>
  <c r="A2642" i="113"/>
  <c r="A2643" i="113"/>
  <c r="A2644" i="113"/>
  <c r="A2645" i="113"/>
  <c r="A2646" i="113"/>
  <c r="A2647" i="113"/>
  <c r="A2648" i="113"/>
  <c r="A2649" i="113"/>
  <c r="A2650" i="113"/>
  <c r="A2651" i="113"/>
  <c r="A2652" i="113"/>
  <c r="A2653" i="113"/>
  <c r="A2654" i="113"/>
  <c r="A2655" i="113"/>
  <c r="A2656" i="113"/>
  <c r="A2657" i="113"/>
  <c r="A2658" i="113"/>
  <c r="A2659" i="113"/>
  <c r="A2660" i="113"/>
  <c r="A2661" i="113"/>
  <c r="A2662" i="113"/>
  <c r="A2663" i="113"/>
  <c r="A2664" i="113"/>
  <c r="A2665" i="113"/>
  <c r="A2666" i="113"/>
  <c r="A2667" i="113"/>
  <c r="A2668" i="113"/>
  <c r="A2669" i="113"/>
  <c r="A2670" i="113"/>
  <c r="A2671" i="113"/>
  <c r="A2672" i="113"/>
  <c r="A2673" i="113"/>
  <c r="A2674" i="113"/>
  <c r="A2675" i="113"/>
  <c r="A2676" i="113"/>
  <c r="A2677" i="113"/>
  <c r="A2678" i="113"/>
  <c r="A2679" i="113"/>
  <c r="A2680" i="113"/>
  <c r="A2681" i="113"/>
  <c r="A2682" i="113"/>
  <c r="A2683" i="113"/>
  <c r="A2684" i="113"/>
  <c r="A2685" i="113"/>
  <c r="A2686" i="113"/>
  <c r="A2687" i="113"/>
  <c r="A2688" i="113"/>
  <c r="A2689" i="113"/>
  <c r="A2690" i="113"/>
  <c r="A2691" i="113"/>
  <c r="A2692" i="113"/>
  <c r="A2693" i="113"/>
  <c r="A2694" i="113"/>
  <c r="A2695" i="113"/>
  <c r="A2696" i="113"/>
  <c r="A2697" i="113"/>
  <c r="A2698" i="113"/>
  <c r="A2699" i="113"/>
  <c r="A2700" i="113"/>
  <c r="A2701" i="113"/>
  <c r="A2702" i="113"/>
  <c r="A2703" i="113"/>
  <c r="A2704" i="113"/>
  <c r="A2705" i="113"/>
  <c r="A2706" i="113"/>
  <c r="A2707" i="113"/>
  <c r="A2708" i="113"/>
  <c r="A2709" i="113"/>
  <c r="A2710" i="113"/>
  <c r="A2711" i="113"/>
  <c r="A2712" i="113"/>
  <c r="A2713" i="113"/>
  <c r="A2714" i="113"/>
  <c r="A2715" i="113"/>
  <c r="A2716" i="113"/>
  <c r="A2717" i="113"/>
  <c r="A2718" i="113"/>
  <c r="A2719" i="113"/>
  <c r="A2720" i="113"/>
  <c r="A2721" i="113"/>
  <c r="A2722" i="113"/>
  <c r="A2723" i="113"/>
  <c r="A2724" i="113"/>
  <c r="A2725" i="113"/>
  <c r="A2726" i="113"/>
  <c r="A2727" i="113"/>
  <c r="A2728" i="113"/>
  <c r="A2729" i="113"/>
  <c r="A2730" i="113"/>
  <c r="A2731" i="113"/>
  <c r="A2732" i="113"/>
  <c r="A2733" i="113"/>
  <c r="A2734" i="113"/>
  <c r="A2735" i="113"/>
  <c r="A2736" i="113"/>
  <c r="A2737" i="113"/>
  <c r="A2738" i="113"/>
  <c r="A2739" i="113"/>
  <c r="A2740" i="113"/>
  <c r="A2741" i="113"/>
  <c r="A2742" i="113"/>
  <c r="A2743" i="113"/>
  <c r="A2744" i="113"/>
  <c r="A2745" i="113"/>
  <c r="A2746" i="113"/>
  <c r="A2747" i="113"/>
  <c r="A2748" i="113"/>
  <c r="A2749" i="113"/>
  <c r="A2750" i="113"/>
  <c r="A2751" i="113"/>
  <c r="A2752" i="113"/>
  <c r="A2753" i="113"/>
  <c r="A2754" i="113"/>
  <c r="A2755" i="113"/>
  <c r="A2756" i="113"/>
  <c r="A2757" i="113"/>
  <c r="A2758" i="113"/>
  <c r="A2759" i="113"/>
  <c r="A2760" i="113"/>
  <c r="A2761" i="113"/>
  <c r="A2762" i="113"/>
  <c r="A2763" i="113"/>
  <c r="A2764" i="113"/>
  <c r="A2765" i="113"/>
  <c r="A2766" i="113"/>
  <c r="A2767" i="113"/>
  <c r="A2768" i="113"/>
  <c r="A2769" i="113"/>
  <c r="A2770" i="113"/>
  <c r="A2771" i="113"/>
  <c r="A2772" i="113"/>
  <c r="A2773" i="113"/>
  <c r="A2774" i="113"/>
  <c r="A2775" i="113"/>
  <c r="A2776" i="113"/>
  <c r="A2777" i="113"/>
  <c r="A2778" i="113"/>
  <c r="A2779" i="113"/>
  <c r="A2780" i="113"/>
  <c r="A2781" i="113"/>
  <c r="A2782" i="113"/>
  <c r="A2783" i="113"/>
  <c r="A2784" i="113"/>
  <c r="A2785" i="113"/>
  <c r="A2786" i="113"/>
  <c r="A2787" i="113"/>
  <c r="A2788" i="113"/>
  <c r="A2789" i="113"/>
  <c r="A2790" i="113"/>
  <c r="A2791" i="113"/>
  <c r="A2792" i="113"/>
  <c r="A2793" i="113"/>
  <c r="A2794" i="113"/>
  <c r="A2795" i="113"/>
  <c r="A2796" i="113"/>
  <c r="A2797" i="113"/>
  <c r="A2798" i="113"/>
  <c r="A2799" i="113"/>
  <c r="A2800" i="113"/>
  <c r="A2801" i="113"/>
  <c r="A2802" i="113"/>
  <c r="A2803" i="113"/>
  <c r="A2804" i="113"/>
  <c r="A2805" i="113"/>
  <c r="A2806" i="113"/>
  <c r="A2807" i="113"/>
  <c r="A2808" i="113"/>
  <c r="A2809" i="113"/>
  <c r="A2810" i="113"/>
  <c r="A2811" i="113"/>
  <c r="A2812" i="113"/>
  <c r="A2813" i="113"/>
  <c r="A2814" i="113"/>
  <c r="A2815" i="113"/>
  <c r="A2816" i="113"/>
  <c r="A2817" i="113"/>
  <c r="A2818" i="113"/>
  <c r="A2819" i="113"/>
  <c r="A2820" i="113"/>
  <c r="A2821" i="113"/>
  <c r="A2822" i="113"/>
  <c r="A2823" i="113"/>
  <c r="A2824" i="113"/>
  <c r="A2825" i="113"/>
  <c r="A2826" i="113"/>
  <c r="A2827" i="113"/>
  <c r="A2828" i="113"/>
  <c r="A2829" i="113"/>
  <c r="A2830" i="113"/>
  <c r="A2831" i="113"/>
  <c r="A2832" i="113"/>
  <c r="A2833" i="113"/>
  <c r="A2834" i="113"/>
  <c r="A2835" i="113"/>
  <c r="A2836" i="113"/>
  <c r="A2837" i="113"/>
  <c r="A2838" i="113"/>
  <c r="A2839" i="113"/>
  <c r="A2840" i="113"/>
  <c r="A2841" i="113"/>
  <c r="A2842" i="113"/>
  <c r="A2843" i="113"/>
  <c r="A2844" i="113"/>
  <c r="A2845" i="113"/>
  <c r="A2846" i="113"/>
  <c r="A2847" i="113"/>
  <c r="A2848" i="113"/>
  <c r="A2849" i="113"/>
  <c r="A2850" i="113"/>
  <c r="A2851" i="113"/>
  <c r="A2852" i="113"/>
  <c r="A2853" i="113"/>
  <c r="A2854" i="113"/>
  <c r="A2855" i="113"/>
  <c r="A2856" i="113"/>
  <c r="A2857" i="113"/>
  <c r="A2858" i="113"/>
  <c r="A2859" i="113"/>
  <c r="A2860" i="113"/>
  <c r="A2861" i="113"/>
  <c r="A2862" i="113"/>
  <c r="A2863" i="113"/>
  <c r="A2864" i="113"/>
  <c r="A2865" i="113"/>
  <c r="A2866" i="113"/>
  <c r="A2867" i="113"/>
  <c r="A2868" i="113"/>
  <c r="A2869" i="113"/>
  <c r="A2870" i="113"/>
  <c r="A2871" i="113"/>
  <c r="A2872" i="113"/>
  <c r="A2873" i="113"/>
  <c r="A2874" i="113"/>
  <c r="A2875" i="113"/>
  <c r="A2876" i="113"/>
  <c r="A2877" i="113"/>
  <c r="A2878" i="113"/>
  <c r="A2879" i="113"/>
  <c r="A2880" i="113"/>
  <c r="A2881" i="113"/>
  <c r="A2882" i="113"/>
  <c r="A2883" i="113"/>
  <c r="A2884" i="113"/>
  <c r="A2885" i="113"/>
  <c r="A2886" i="113"/>
  <c r="A2887" i="113"/>
  <c r="A2888" i="113"/>
  <c r="A2889" i="113"/>
  <c r="A2890" i="113"/>
  <c r="A2891" i="113"/>
  <c r="A2892" i="113"/>
  <c r="A2893" i="113"/>
  <c r="A2894" i="113"/>
  <c r="A2895" i="113"/>
  <c r="A2896" i="113"/>
  <c r="A2897" i="113"/>
  <c r="A2898" i="113"/>
  <c r="A2899" i="113"/>
  <c r="A2900" i="113"/>
  <c r="A2901" i="113"/>
  <c r="A2902" i="113"/>
  <c r="A2903" i="113"/>
  <c r="A2904" i="113"/>
  <c r="A2905" i="113"/>
  <c r="A2906" i="113"/>
  <c r="A2907" i="113"/>
  <c r="A2908" i="113"/>
  <c r="A2909" i="113"/>
  <c r="A2910" i="113"/>
  <c r="A2911" i="113"/>
  <c r="A2912" i="113"/>
  <c r="A2913" i="113"/>
  <c r="A2914" i="113"/>
  <c r="A2915" i="113"/>
  <c r="A2916" i="113"/>
  <c r="A2917" i="113"/>
  <c r="A2918" i="113"/>
  <c r="A2919" i="113"/>
  <c r="A2920" i="113"/>
  <c r="A2921" i="113"/>
  <c r="A2922" i="113"/>
  <c r="A2923" i="113"/>
  <c r="A2924" i="113"/>
  <c r="A2925" i="113"/>
  <c r="A2926" i="113"/>
  <c r="A2927" i="113"/>
  <c r="A2928" i="113"/>
  <c r="A2929" i="113"/>
  <c r="A2930" i="113"/>
  <c r="A2931" i="113"/>
  <c r="A2932" i="113"/>
  <c r="A2933" i="113"/>
  <c r="A2934" i="113"/>
  <c r="A2935" i="113"/>
  <c r="A2936" i="113"/>
  <c r="A2937" i="113"/>
  <c r="A2938" i="113"/>
  <c r="A2939" i="113"/>
  <c r="A2940" i="113"/>
  <c r="A2941" i="113"/>
  <c r="A2942" i="113"/>
  <c r="A2943" i="113"/>
  <c r="A2944" i="113"/>
  <c r="A2945" i="113"/>
  <c r="A2946" i="113"/>
  <c r="A2947" i="113"/>
  <c r="A2948" i="113"/>
  <c r="A2949" i="113"/>
  <c r="A2950" i="113"/>
  <c r="A2951" i="113"/>
  <c r="A2952" i="113"/>
  <c r="A2953" i="113"/>
  <c r="A2954" i="113"/>
  <c r="A2955" i="113"/>
  <c r="A2956" i="113"/>
  <c r="A2957" i="113"/>
  <c r="A2958" i="113"/>
  <c r="A2959" i="113"/>
  <c r="A2960" i="113"/>
  <c r="A2961" i="113"/>
  <c r="A2962" i="113"/>
  <c r="A2963" i="113"/>
  <c r="A2964" i="113"/>
  <c r="A2965" i="113"/>
  <c r="A2966" i="113"/>
  <c r="A2967" i="113"/>
  <c r="A2968" i="113"/>
  <c r="A2969" i="113"/>
  <c r="A2970" i="113"/>
  <c r="A2971" i="113"/>
  <c r="A2972" i="113"/>
  <c r="A2973" i="113"/>
  <c r="A2974" i="113"/>
  <c r="A2975" i="113"/>
  <c r="A2976" i="113"/>
  <c r="A2977" i="113"/>
  <c r="A2978" i="113"/>
  <c r="A2979" i="113"/>
  <c r="A2980" i="113"/>
  <c r="A2981" i="113"/>
  <c r="A2982" i="113"/>
  <c r="A2983" i="113"/>
  <c r="A2984" i="113"/>
  <c r="A2985" i="113"/>
  <c r="A2986" i="113"/>
  <c r="A2987" i="113"/>
  <c r="A2988" i="113"/>
  <c r="A2989" i="113"/>
  <c r="A2990" i="113"/>
  <c r="A2991" i="113"/>
  <c r="A2992" i="113"/>
  <c r="A2993" i="113"/>
  <c r="A2994" i="113"/>
  <c r="A2995" i="113"/>
  <c r="A2996" i="113"/>
  <c r="A2997" i="113"/>
  <c r="A2998" i="113"/>
  <c r="A2999" i="113"/>
  <c r="A3000" i="113"/>
  <c r="A3001" i="113"/>
  <c r="A3002" i="113"/>
  <c r="A3003" i="113"/>
  <c r="A3004" i="113"/>
  <c r="A3005" i="113"/>
  <c r="A3006" i="113"/>
  <c r="A3007" i="113"/>
  <c r="A3008" i="113"/>
  <c r="A3009" i="113"/>
  <c r="A3010" i="113"/>
  <c r="A3011" i="113"/>
  <c r="A3012" i="113"/>
  <c r="A3013" i="113"/>
  <c r="A3014" i="113"/>
  <c r="A3015" i="113"/>
  <c r="A3016" i="113"/>
  <c r="A3017" i="113"/>
  <c r="A3018" i="113"/>
  <c r="A3019" i="113"/>
  <c r="A3020" i="113"/>
  <c r="A3021" i="113"/>
  <c r="A3022" i="113"/>
  <c r="A3023" i="113"/>
  <c r="A3024" i="113"/>
  <c r="A3025" i="113"/>
  <c r="A3026" i="113"/>
  <c r="A3027" i="113"/>
  <c r="A3028" i="113"/>
  <c r="A3029" i="113"/>
  <c r="A3030" i="113"/>
  <c r="A3031" i="113"/>
  <c r="A3032" i="113"/>
  <c r="A3033" i="113"/>
  <c r="A3034" i="113"/>
  <c r="A3035" i="113"/>
  <c r="A3036" i="113"/>
  <c r="A3037" i="113"/>
  <c r="A3038" i="113"/>
  <c r="A3039" i="113"/>
  <c r="A3040" i="113"/>
  <c r="A3041" i="113"/>
  <c r="A3042" i="113"/>
  <c r="A3043" i="113"/>
  <c r="A3044" i="113"/>
  <c r="A3045" i="113"/>
  <c r="A3046" i="113"/>
  <c r="A3047" i="113"/>
  <c r="A3048" i="113"/>
  <c r="A3049" i="113"/>
  <c r="A3050" i="113"/>
  <c r="A3051" i="113"/>
  <c r="A3052" i="113"/>
  <c r="A3053" i="113"/>
  <c r="A3054" i="113"/>
  <c r="A3055" i="113"/>
  <c r="A3056" i="113"/>
  <c r="A3057" i="113"/>
  <c r="A3058" i="113"/>
  <c r="A3059" i="113"/>
  <c r="A3060" i="113"/>
  <c r="A3061" i="113"/>
  <c r="A3062" i="113"/>
  <c r="A3063" i="113"/>
  <c r="A3064" i="113"/>
  <c r="A3065" i="113"/>
  <c r="A3066" i="113"/>
  <c r="A3067" i="113"/>
  <c r="A3068" i="113"/>
  <c r="A3069" i="113"/>
  <c r="A3070" i="113"/>
  <c r="A3071" i="113"/>
  <c r="A3072" i="113"/>
  <c r="A3073" i="113"/>
  <c r="A3074" i="113"/>
  <c r="A3075" i="113"/>
  <c r="A3076" i="113"/>
  <c r="A3077" i="113"/>
  <c r="A3078" i="113"/>
  <c r="A3079" i="113"/>
  <c r="A3080" i="113"/>
  <c r="A3081" i="113"/>
  <c r="A3082" i="113"/>
  <c r="A3083" i="113"/>
  <c r="A3084" i="113"/>
  <c r="A3085" i="113"/>
  <c r="A3086" i="113"/>
  <c r="A3087" i="113"/>
  <c r="A3088" i="113"/>
  <c r="A3089" i="113"/>
  <c r="A3090" i="113"/>
  <c r="A3091" i="113"/>
  <c r="A3092" i="113"/>
  <c r="A3093" i="113"/>
  <c r="A3094" i="113"/>
  <c r="A3095" i="113"/>
  <c r="A3096" i="113"/>
  <c r="A3097" i="113"/>
  <c r="A3098" i="113"/>
  <c r="A3099" i="113"/>
  <c r="A3100" i="113"/>
  <c r="A3101" i="113"/>
  <c r="A3102" i="113"/>
  <c r="A3103" i="113"/>
  <c r="A3104" i="113"/>
  <c r="A3105" i="113"/>
  <c r="A3106" i="113"/>
  <c r="A3107" i="113"/>
  <c r="A3108" i="113"/>
  <c r="A3109" i="113"/>
  <c r="A3110" i="113"/>
  <c r="A3111" i="113"/>
  <c r="A3112" i="113"/>
  <c r="A3113" i="113"/>
  <c r="A3114" i="113"/>
  <c r="A3115" i="113"/>
  <c r="A3116" i="113"/>
  <c r="A3117" i="113"/>
  <c r="A3118" i="113"/>
  <c r="A3119" i="113"/>
  <c r="A3120" i="113"/>
  <c r="A3121" i="113"/>
  <c r="A3122" i="113"/>
  <c r="A3123" i="113"/>
  <c r="A3124" i="113"/>
  <c r="A3125" i="113"/>
  <c r="A3126" i="113"/>
  <c r="A3127" i="113"/>
  <c r="A3128" i="113"/>
  <c r="A3129" i="113"/>
  <c r="A3130" i="113"/>
  <c r="A3131" i="113"/>
  <c r="A3132" i="113"/>
  <c r="A3133" i="113"/>
  <c r="A3134" i="113"/>
  <c r="A3135" i="113"/>
  <c r="A3136" i="113"/>
  <c r="A3137" i="113"/>
  <c r="A3138" i="113"/>
  <c r="A3139" i="113"/>
  <c r="A3140" i="113"/>
  <c r="A3141" i="113"/>
  <c r="A3142" i="113"/>
  <c r="A3143" i="113"/>
  <c r="A3144" i="113"/>
  <c r="A3145" i="113"/>
  <c r="A3146" i="113"/>
  <c r="A3147" i="113"/>
  <c r="A3148" i="113"/>
  <c r="A3149" i="113"/>
  <c r="A3150" i="113"/>
  <c r="A3151" i="113"/>
  <c r="A3152" i="113"/>
  <c r="A3153" i="113"/>
  <c r="A3154" i="113"/>
  <c r="A3155" i="113"/>
  <c r="A3156" i="113"/>
  <c r="A3157" i="113"/>
  <c r="A3158" i="113"/>
  <c r="A3159" i="113"/>
  <c r="A3160" i="113"/>
  <c r="A3161" i="113"/>
  <c r="A3162" i="113"/>
  <c r="A3163" i="113"/>
  <c r="A3164" i="113"/>
  <c r="A3165" i="113"/>
  <c r="A3166" i="113"/>
  <c r="A3167" i="113"/>
  <c r="A3168" i="113"/>
  <c r="A3169" i="113"/>
  <c r="A3170" i="113"/>
  <c r="A3171" i="113"/>
  <c r="A3172" i="113"/>
  <c r="A3173" i="113"/>
  <c r="A3174" i="113"/>
  <c r="A3175" i="113"/>
  <c r="A3176" i="113"/>
  <c r="A3177" i="113"/>
  <c r="A3178" i="113"/>
  <c r="A3179" i="113"/>
  <c r="A3180" i="113"/>
  <c r="A3181" i="113"/>
  <c r="A3182" i="113"/>
  <c r="A3183" i="113"/>
  <c r="A3184" i="113"/>
  <c r="A3185" i="113"/>
  <c r="A3186" i="113"/>
  <c r="A3187" i="113"/>
  <c r="A3188" i="113"/>
  <c r="A3189" i="113"/>
  <c r="A3190" i="113"/>
  <c r="A3191" i="113"/>
  <c r="A3192" i="113"/>
  <c r="A3193" i="113"/>
  <c r="A3194" i="113"/>
  <c r="A3195" i="113"/>
  <c r="A3196" i="113"/>
  <c r="A3197" i="113"/>
  <c r="A3198" i="113"/>
  <c r="A3199" i="113"/>
  <c r="A3200" i="113"/>
  <c r="A3201" i="113"/>
  <c r="A3202" i="113"/>
  <c r="A3203" i="113"/>
  <c r="A3204" i="113"/>
  <c r="A3205" i="113"/>
  <c r="A3206" i="113"/>
  <c r="A3207" i="113"/>
  <c r="A3208" i="113"/>
  <c r="A3209" i="113"/>
  <c r="A3210" i="113"/>
  <c r="A3211" i="113"/>
  <c r="A3212" i="113"/>
  <c r="A3213" i="113"/>
  <c r="A3214" i="113"/>
  <c r="A3215" i="113"/>
  <c r="A3216" i="113"/>
  <c r="A3217" i="113"/>
  <c r="A3218" i="113"/>
  <c r="A3219" i="113"/>
  <c r="A3220" i="113"/>
  <c r="A3221" i="113"/>
  <c r="A3222" i="113"/>
  <c r="A3223" i="113"/>
  <c r="A3224" i="113"/>
  <c r="A3225" i="113"/>
  <c r="A3226" i="113"/>
  <c r="A3227" i="113"/>
  <c r="A3228" i="113"/>
  <c r="A3229" i="113"/>
  <c r="A3230" i="113"/>
  <c r="A3231" i="113"/>
  <c r="A3232" i="113"/>
  <c r="A3233" i="113"/>
  <c r="A3234" i="113"/>
  <c r="A3235" i="113"/>
  <c r="A3236" i="113"/>
  <c r="A3237" i="113"/>
  <c r="A3238" i="113"/>
  <c r="A3239" i="113"/>
  <c r="A3240" i="113"/>
  <c r="A3241" i="113"/>
  <c r="A3242" i="113"/>
  <c r="A3243" i="113"/>
  <c r="A3244" i="113"/>
  <c r="A3245" i="113"/>
  <c r="A3246" i="113"/>
  <c r="A3247" i="113"/>
  <c r="A3248" i="113"/>
  <c r="A3249" i="113"/>
  <c r="A3250" i="113"/>
  <c r="A3251" i="113"/>
  <c r="A3252" i="113"/>
  <c r="A3253" i="113"/>
  <c r="A3254" i="113"/>
  <c r="A3255" i="113"/>
  <c r="A3256" i="113"/>
  <c r="A3257" i="113"/>
  <c r="A3258" i="113"/>
  <c r="A3259" i="113"/>
  <c r="A3260" i="113"/>
  <c r="A3261" i="113"/>
  <c r="A3262" i="113"/>
  <c r="A3263" i="113"/>
  <c r="A3264" i="113"/>
  <c r="A3265" i="113"/>
  <c r="A3266" i="113"/>
  <c r="A3267" i="113"/>
  <c r="A3268" i="113"/>
  <c r="A3269" i="113"/>
  <c r="A3270" i="113"/>
  <c r="A3271" i="113"/>
  <c r="A3272" i="113"/>
  <c r="A3273" i="113"/>
  <c r="A3274" i="113"/>
  <c r="A3275" i="113"/>
  <c r="A3276" i="113"/>
  <c r="A3277" i="113"/>
  <c r="A3278" i="113"/>
  <c r="A3279" i="113"/>
  <c r="A3280" i="113"/>
  <c r="A3281" i="113"/>
  <c r="A3282" i="113"/>
  <c r="A3283" i="113"/>
  <c r="A3284" i="113"/>
  <c r="A3285" i="113"/>
  <c r="A3286" i="113"/>
  <c r="A3287" i="113"/>
  <c r="A3288" i="113"/>
  <c r="A3289" i="113"/>
  <c r="A3290" i="113"/>
  <c r="A3291" i="113"/>
  <c r="A3292" i="113"/>
  <c r="A3293" i="113"/>
  <c r="A3294" i="113"/>
  <c r="A3295" i="113"/>
  <c r="A3296" i="113"/>
  <c r="A3297" i="113"/>
  <c r="A3298" i="113"/>
  <c r="A3299" i="113"/>
  <c r="A3300" i="113"/>
  <c r="A3301" i="113"/>
  <c r="A3302" i="113"/>
  <c r="A3303" i="113"/>
  <c r="A3304" i="113"/>
  <c r="A3305" i="113"/>
  <c r="A3306" i="113"/>
  <c r="A3307" i="113"/>
  <c r="A3308" i="113"/>
  <c r="A3309" i="113"/>
  <c r="A3310" i="113"/>
  <c r="A3311" i="113"/>
  <c r="A3312" i="113"/>
  <c r="A3313" i="113"/>
  <c r="A3314" i="113"/>
  <c r="A3315" i="113"/>
  <c r="A3316" i="113"/>
  <c r="A3317" i="113"/>
  <c r="A3318" i="113"/>
  <c r="A3319" i="113"/>
  <c r="A3320" i="113"/>
  <c r="A3321" i="113"/>
  <c r="A3322" i="113"/>
  <c r="A3323" i="113"/>
  <c r="J4078" i="113"/>
  <c r="K4078" i="113"/>
  <c r="L4078" i="113"/>
  <c r="I4078" i="113"/>
  <c r="A2255" i="113"/>
  <c r="A2256" i="113"/>
  <c r="A2257" i="113"/>
  <c r="A2258" i="113"/>
  <c r="A2259" i="113"/>
  <c r="A2260" i="113"/>
  <c r="A2261" i="113"/>
  <c r="A2262" i="113"/>
  <c r="A2263" i="113"/>
  <c r="A2264" i="113"/>
  <c r="A2265" i="113"/>
  <c r="A2266" i="113"/>
  <c r="A2267" i="113"/>
  <c r="A2268" i="113"/>
  <c r="A2269" i="113"/>
  <c r="A2270" i="113"/>
  <c r="A2271" i="113"/>
  <c r="A2272" i="113"/>
  <c r="A2273" i="113"/>
  <c r="A2274" i="113"/>
  <c r="A2275" i="113"/>
  <c r="A2276" i="113"/>
  <c r="A2277" i="113"/>
  <c r="A2278" i="113"/>
  <c r="A2279" i="113"/>
  <c r="A2280" i="113"/>
  <c r="A2281" i="113"/>
  <c r="A2282" i="113"/>
  <c r="A2283" i="113"/>
  <c r="A2284" i="113"/>
  <c r="A2285" i="113"/>
  <c r="A2286" i="113"/>
  <c r="A2287" i="113"/>
  <c r="A2288" i="113"/>
  <c r="A2289" i="113"/>
  <c r="A2290" i="113"/>
  <c r="A2291" i="113"/>
  <c r="A2292" i="113"/>
  <c r="A2293" i="113"/>
  <c r="A2294" i="113"/>
  <c r="A2295" i="113"/>
  <c r="A2296" i="113"/>
  <c r="A2297" i="113"/>
  <c r="A2298" i="113"/>
  <c r="A2299" i="113"/>
  <c r="A2300" i="113"/>
  <c r="A2301" i="113"/>
  <c r="A2302" i="113"/>
  <c r="A2303" i="113"/>
  <c r="A2304" i="113"/>
  <c r="A2305" i="113"/>
  <c r="A2306" i="113"/>
  <c r="A2307" i="113"/>
  <c r="A2308" i="113"/>
  <c r="A2309" i="113"/>
  <c r="A2310" i="113"/>
  <c r="A2311" i="113"/>
  <c r="A2312" i="113"/>
  <c r="A2313" i="113"/>
  <c r="A2314" i="113"/>
  <c r="A2315" i="113"/>
  <c r="A2316" i="113"/>
  <c r="A2317" i="113"/>
  <c r="A2318" i="113"/>
  <c r="A2319" i="113"/>
  <c r="A2320" i="113"/>
  <c r="A2321" i="113"/>
  <c r="A2322" i="113"/>
  <c r="A2323" i="113"/>
  <c r="A2324" i="113"/>
  <c r="A2325" i="113"/>
  <c r="A2326" i="113"/>
  <c r="A2327" i="113"/>
  <c r="A2328" i="113"/>
  <c r="A2329" i="113"/>
  <c r="A2330" i="113"/>
  <c r="A2331" i="113"/>
  <c r="A2332" i="113"/>
  <c r="A2333" i="113"/>
  <c r="A2334" i="113"/>
  <c r="A2335" i="113"/>
  <c r="A2336" i="113"/>
  <c r="A2337" i="113"/>
  <c r="A2338" i="113"/>
  <c r="A2339" i="113"/>
  <c r="A2340" i="113"/>
  <c r="A2341" i="113"/>
  <c r="A2342" i="113"/>
  <c r="A2343" i="113"/>
  <c r="A2344" i="113"/>
  <c r="A2345" i="113"/>
  <c r="A2346" i="113"/>
  <c r="A2347" i="113"/>
  <c r="A2348" i="113"/>
  <c r="A2349" i="113"/>
  <c r="A2350" i="113"/>
  <c r="A2351" i="113"/>
  <c r="A2352" i="113"/>
  <c r="A2353" i="113"/>
  <c r="A2354" i="113"/>
  <c r="A2355" i="113"/>
  <c r="A2356" i="113"/>
  <c r="A2357" i="113"/>
  <c r="A2358" i="113"/>
  <c r="A2359" i="113"/>
  <c r="A2360" i="113"/>
  <c r="A2361" i="113"/>
  <c r="A2362" i="113"/>
  <c r="A2363" i="113"/>
  <c r="A2364" i="113"/>
  <c r="A2365" i="113"/>
  <c r="A2366" i="113"/>
  <c r="A2367" i="113"/>
  <c r="A2368" i="113"/>
  <c r="A2369" i="113"/>
  <c r="A2370" i="113"/>
  <c r="A2371" i="113"/>
  <c r="A2372" i="113"/>
  <c r="A2373" i="113"/>
  <c r="A2374" i="113"/>
  <c r="A2375" i="113"/>
  <c r="A2376" i="113"/>
  <c r="A2377" i="113"/>
  <c r="A2378" i="113"/>
  <c r="A2379" i="113"/>
  <c r="A2380" i="113"/>
  <c r="A2381" i="113"/>
  <c r="A2382" i="113"/>
  <c r="A2383" i="113"/>
  <c r="A2384" i="113"/>
  <c r="A2385" i="113"/>
  <c r="A2386" i="113"/>
  <c r="A2387" i="113"/>
  <c r="A2388" i="113"/>
  <c r="A2389" i="113"/>
  <c r="A2390" i="113"/>
  <c r="A2391" i="113"/>
  <c r="A2392" i="113"/>
  <c r="A2393" i="113"/>
  <c r="A2394" i="113"/>
  <c r="A2395" i="113"/>
  <c r="A2396" i="113"/>
  <c r="A2397" i="113"/>
  <c r="A2398" i="113"/>
  <c r="A2399" i="113"/>
  <c r="A2400" i="113"/>
  <c r="A2401" i="113"/>
  <c r="A2402" i="113"/>
  <c r="A2403" i="113"/>
  <c r="A2404" i="113"/>
  <c r="A2405" i="113"/>
  <c r="A2406" i="113"/>
  <c r="A2407" i="113"/>
  <c r="A2408" i="113"/>
  <c r="A2409" i="113"/>
  <c r="A2410" i="113"/>
  <c r="A2411" i="113"/>
  <c r="A2412" i="113"/>
  <c r="A2413" i="113"/>
  <c r="A2414" i="113"/>
  <c r="A2415" i="113"/>
  <c r="A2416" i="113"/>
  <c r="A2417" i="113"/>
  <c r="A2418" i="113"/>
  <c r="A2419" i="113"/>
  <c r="A2420" i="113"/>
  <c r="A2421" i="113"/>
  <c r="A2422" i="113"/>
  <c r="A2423" i="113"/>
  <c r="A2424" i="113"/>
  <c r="A2425" i="113"/>
  <c r="A2426" i="113"/>
  <c r="A2427" i="113"/>
  <c r="A2428" i="113"/>
  <c r="A2429" i="113"/>
  <c r="A2430" i="113"/>
  <c r="A2431" i="113"/>
  <c r="A2432" i="113"/>
  <c r="A2433" i="113"/>
  <c r="A2434" i="113"/>
  <c r="A2435" i="113"/>
  <c r="A2436" i="113"/>
  <c r="A2437" i="113"/>
  <c r="A2438" i="113"/>
  <c r="A2439" i="113"/>
  <c r="A2440" i="113"/>
  <c r="A2441" i="113"/>
  <c r="A2442" i="113"/>
  <c r="A2443" i="113"/>
  <c r="A2444" i="113"/>
  <c r="A2445" i="113"/>
  <c r="A2446" i="113"/>
  <c r="A2447" i="113"/>
  <c r="A2448" i="113"/>
  <c r="A2449" i="113"/>
  <c r="A2450" i="113"/>
  <c r="A2451" i="113"/>
  <c r="A2452" i="113"/>
  <c r="A2453" i="113"/>
  <c r="A2454" i="113"/>
  <c r="A2455" i="113"/>
  <c r="A2456" i="113"/>
  <c r="A2457" i="113"/>
  <c r="A2458" i="113"/>
  <c r="A2459" i="113"/>
  <c r="A2460" i="113"/>
  <c r="A2461" i="113"/>
  <c r="A2462" i="113"/>
  <c r="A2463" i="113"/>
  <c r="A2464" i="113"/>
  <c r="A2465" i="113"/>
  <c r="A2466" i="113"/>
  <c r="A2467" i="113"/>
  <c r="A2468" i="113"/>
  <c r="A2469" i="113"/>
  <c r="A2470" i="113"/>
  <c r="A2471" i="113"/>
  <c r="A2472" i="113"/>
  <c r="A2473" i="113"/>
  <c r="A2474" i="113"/>
  <c r="A2475" i="113"/>
  <c r="A2476" i="113"/>
  <c r="A2477" i="113"/>
  <c r="A2478" i="113"/>
  <c r="A2479" i="113"/>
  <c r="A2480" i="113"/>
  <c r="A2481" i="113"/>
  <c r="A2482" i="113"/>
  <c r="A2483" i="113"/>
  <c r="A2484" i="113"/>
  <c r="A2485" i="113"/>
  <c r="A2486" i="113"/>
  <c r="A2487" i="113"/>
  <c r="A2488" i="113"/>
  <c r="A2489" i="113"/>
  <c r="A2490" i="113"/>
  <c r="A2491" i="113"/>
  <c r="A2492" i="113"/>
  <c r="A2493" i="113"/>
  <c r="A2494" i="113"/>
  <c r="A2495" i="113"/>
  <c r="A2496" i="113"/>
  <c r="A2497" i="113"/>
  <c r="A2498" i="113"/>
  <c r="A2499" i="113"/>
  <c r="A2500" i="113"/>
  <c r="A2501" i="113"/>
  <c r="A2502" i="113"/>
  <c r="A2503" i="113"/>
  <c r="A2504" i="113"/>
  <c r="A2505" i="113"/>
  <c r="A2506" i="113"/>
  <c r="A2507" i="113"/>
  <c r="A2508" i="113"/>
  <c r="A2509" i="113"/>
  <c r="A2510" i="113"/>
  <c r="A2511" i="113"/>
  <c r="A2512" i="113"/>
  <c r="A2513" i="113"/>
  <c r="A2514" i="113"/>
  <c r="A2515" i="113"/>
  <c r="A2516" i="113"/>
  <c r="A2517" i="113"/>
  <c r="A2518" i="113"/>
  <c r="A2519" i="113"/>
  <c r="A2520" i="113"/>
  <c r="A2521" i="113"/>
  <c r="A1746" i="113"/>
  <c r="A1747" i="113"/>
  <c r="A1748" i="113"/>
  <c r="A1749" i="113"/>
  <c r="A1750" i="113"/>
  <c r="A1751" i="113"/>
  <c r="A1752" i="113"/>
  <c r="A1753" i="113"/>
  <c r="A1754" i="113"/>
  <c r="A1755" i="113"/>
  <c r="A1756" i="113"/>
  <c r="A1757" i="113"/>
  <c r="A1758" i="113"/>
  <c r="A1759" i="113"/>
  <c r="A1760" i="113"/>
  <c r="A1761" i="113"/>
  <c r="A1762" i="113"/>
  <c r="A1763" i="113"/>
  <c r="A1764" i="113"/>
  <c r="A1765" i="113"/>
  <c r="A1766" i="113"/>
  <c r="A1767" i="113"/>
  <c r="A1768" i="113"/>
  <c r="A1769" i="113"/>
  <c r="A1770" i="113"/>
  <c r="A1771" i="113"/>
  <c r="A1772" i="113"/>
  <c r="A1773" i="113"/>
  <c r="A1774" i="113"/>
  <c r="A1775" i="113"/>
  <c r="A1776" i="113"/>
  <c r="A1777" i="113"/>
  <c r="A1778" i="113"/>
  <c r="A1779" i="113"/>
  <c r="A1780" i="113"/>
  <c r="A1781" i="113"/>
  <c r="A1782" i="113"/>
  <c r="A1783" i="113"/>
  <c r="A1784" i="113"/>
  <c r="A1785" i="113"/>
  <c r="A1786" i="113"/>
  <c r="A1787" i="113"/>
  <c r="A1788" i="113"/>
  <c r="A1789" i="113"/>
  <c r="A1790" i="113"/>
  <c r="A1791" i="113"/>
  <c r="A1792" i="113"/>
  <c r="A1793" i="113"/>
  <c r="A1794" i="113"/>
  <c r="A1795" i="113"/>
  <c r="A1796" i="113"/>
  <c r="A1797" i="113"/>
  <c r="A1798" i="113"/>
  <c r="A1799" i="113"/>
  <c r="A1800" i="113"/>
  <c r="A1801" i="113"/>
  <c r="A1802" i="113"/>
  <c r="A1803" i="113"/>
  <c r="A1804" i="113"/>
  <c r="A1805" i="113"/>
  <c r="A1806" i="113"/>
  <c r="A1807" i="113"/>
  <c r="A1808" i="113"/>
  <c r="A1809" i="113"/>
  <c r="A1810" i="113"/>
  <c r="A1811" i="113"/>
  <c r="A1812" i="113"/>
  <c r="A1813" i="113"/>
  <c r="A1814" i="113"/>
  <c r="A1815" i="113"/>
  <c r="A1816" i="113"/>
  <c r="A1817" i="113"/>
  <c r="A1818" i="113"/>
  <c r="A1819" i="113"/>
  <c r="A1820" i="113"/>
  <c r="A1821" i="113"/>
  <c r="A1822" i="113"/>
  <c r="A1823" i="113"/>
  <c r="A1824" i="113"/>
  <c r="A1825" i="113"/>
  <c r="A1826" i="113"/>
  <c r="A1827" i="113"/>
  <c r="A1828" i="113"/>
  <c r="A1829" i="113"/>
  <c r="A1830" i="113"/>
  <c r="A1831" i="113"/>
  <c r="A1832" i="113"/>
  <c r="A1833" i="113"/>
  <c r="A1834" i="113"/>
  <c r="A1835" i="113"/>
  <c r="A1836" i="113"/>
  <c r="A1837" i="113"/>
  <c r="A1838" i="113"/>
  <c r="A1839" i="113"/>
  <c r="A1840" i="113"/>
  <c r="A1841" i="113"/>
  <c r="A1842" i="113"/>
  <c r="A1843" i="113"/>
  <c r="A1844" i="113"/>
  <c r="A1845" i="113"/>
  <c r="A1846" i="113"/>
  <c r="A1847" i="113"/>
  <c r="A1848" i="113"/>
  <c r="A1849" i="113"/>
  <c r="A1850" i="113"/>
  <c r="A1851" i="113"/>
  <c r="A1852" i="113"/>
  <c r="A1853" i="113"/>
  <c r="A1854" i="113"/>
  <c r="A1855" i="113"/>
  <c r="A1856" i="113"/>
  <c r="A1857" i="113"/>
  <c r="A1858" i="113"/>
  <c r="A1859" i="113"/>
  <c r="A1860" i="113"/>
  <c r="A1861" i="113"/>
  <c r="A1862" i="113"/>
  <c r="A1863" i="113"/>
  <c r="A1864" i="113"/>
  <c r="A1865" i="113"/>
  <c r="A1866" i="113"/>
  <c r="A1867" i="113"/>
  <c r="A1868" i="113"/>
  <c r="A1869" i="113"/>
  <c r="A1870" i="113"/>
  <c r="A1871" i="113"/>
  <c r="A1872" i="113"/>
  <c r="A1873" i="113"/>
  <c r="A1874" i="113"/>
  <c r="A1875" i="113"/>
  <c r="A1876" i="113"/>
  <c r="A1877" i="113"/>
  <c r="A1878" i="113"/>
  <c r="A1879" i="113"/>
  <c r="A1880" i="113"/>
  <c r="A1881" i="113"/>
  <c r="A1882" i="113"/>
  <c r="A1883" i="113"/>
  <c r="A1884" i="113"/>
  <c r="A1885" i="113"/>
  <c r="A1886" i="113"/>
  <c r="A1887" i="113"/>
  <c r="A1888" i="113"/>
  <c r="A1889" i="113"/>
  <c r="A1890" i="113"/>
  <c r="A1891" i="113"/>
  <c r="A1892" i="113"/>
  <c r="A1893" i="113"/>
  <c r="A1894" i="113"/>
  <c r="A1895" i="113"/>
  <c r="A1896" i="113"/>
  <c r="A1897" i="113"/>
  <c r="A1898" i="113"/>
  <c r="A1899" i="113"/>
  <c r="A1900" i="113"/>
  <c r="A1901" i="113"/>
  <c r="A1902" i="113"/>
  <c r="A1903" i="113"/>
  <c r="A1904" i="113"/>
  <c r="A1905" i="113"/>
  <c r="A1906" i="113"/>
  <c r="A1907" i="113"/>
  <c r="A1908" i="113"/>
  <c r="A1909" i="113"/>
  <c r="A1910" i="113"/>
  <c r="A1911" i="113"/>
  <c r="A1912" i="113"/>
  <c r="A1913" i="113"/>
  <c r="A1914" i="113"/>
  <c r="A1915" i="113"/>
  <c r="A1916" i="113"/>
  <c r="A1917" i="113"/>
  <c r="A1918" i="113"/>
  <c r="A1919" i="113"/>
  <c r="A1920" i="113"/>
  <c r="A1921" i="113"/>
  <c r="A1922" i="113"/>
  <c r="A1923" i="113"/>
  <c r="A1924" i="113"/>
  <c r="A1925" i="113"/>
  <c r="A1926" i="113"/>
  <c r="A1927" i="113"/>
  <c r="A1928" i="113"/>
  <c r="A1929" i="113"/>
  <c r="A1930" i="113"/>
  <c r="A1931" i="113"/>
  <c r="A1932" i="113"/>
  <c r="A1933" i="113"/>
  <c r="A1934" i="113"/>
  <c r="A1935" i="113"/>
  <c r="A1936" i="113"/>
  <c r="A1937" i="113"/>
  <c r="A1938" i="113"/>
  <c r="A1939" i="113"/>
  <c r="A1940" i="113"/>
  <c r="A1941" i="113"/>
  <c r="A1942" i="113"/>
  <c r="A1943" i="113"/>
  <c r="A1944" i="113"/>
  <c r="A1945" i="113"/>
  <c r="A1946" i="113"/>
  <c r="A1947" i="113"/>
  <c r="A1948" i="113"/>
  <c r="A1949" i="113"/>
  <c r="A1950" i="113"/>
  <c r="A1951" i="113"/>
  <c r="A1952" i="113"/>
  <c r="A1953" i="113"/>
  <c r="A1954" i="113"/>
  <c r="A1955" i="113"/>
  <c r="A1956" i="113"/>
  <c r="A1957" i="113"/>
  <c r="A1958" i="113"/>
  <c r="A1959" i="113"/>
  <c r="A1960" i="113"/>
  <c r="A1961" i="113"/>
  <c r="A1962" i="113"/>
  <c r="A1963" i="113"/>
  <c r="A1964" i="113"/>
  <c r="A1965" i="113"/>
  <c r="A1966" i="113"/>
  <c r="A1967" i="113"/>
  <c r="A1968" i="113"/>
  <c r="A1969" i="113"/>
  <c r="A1970" i="113"/>
  <c r="A1971" i="113"/>
  <c r="A1972" i="113"/>
  <c r="A1973" i="113"/>
  <c r="A1974" i="113"/>
  <c r="A1975" i="113"/>
  <c r="A1976" i="113"/>
  <c r="A1977" i="113"/>
  <c r="A1978" i="113"/>
  <c r="A1979" i="113"/>
  <c r="A1980" i="113"/>
  <c r="A1981" i="113"/>
  <c r="A1982" i="113"/>
  <c r="A1983" i="113"/>
  <c r="A1984" i="113"/>
  <c r="A1985" i="113"/>
  <c r="A1986" i="113"/>
  <c r="A1987" i="113"/>
  <c r="A1988" i="113"/>
  <c r="A1989" i="113"/>
  <c r="A1990" i="113"/>
  <c r="A1991" i="113"/>
  <c r="A1992" i="113"/>
  <c r="A1993" i="113"/>
  <c r="A1994" i="113"/>
  <c r="A1995" i="113"/>
  <c r="A1996" i="113"/>
  <c r="A1997" i="113"/>
  <c r="A1998" i="113"/>
  <c r="A1999" i="113"/>
  <c r="A2000" i="113"/>
  <c r="A2001" i="113"/>
  <c r="A2002" i="113"/>
  <c r="A2003" i="113"/>
  <c r="A2004" i="113"/>
  <c r="A2005" i="113"/>
  <c r="A2006" i="113"/>
  <c r="A2007" i="113"/>
  <c r="A2008" i="113"/>
  <c r="A2009" i="113"/>
  <c r="A2010" i="113"/>
  <c r="A2011" i="113"/>
  <c r="A2012" i="113"/>
  <c r="A2013" i="113"/>
  <c r="A2014" i="113"/>
  <c r="A2015" i="113"/>
  <c r="A2016" i="113"/>
  <c r="A2017" i="113"/>
  <c r="A2018" i="113"/>
  <c r="A2019" i="113"/>
  <c r="A2020" i="113"/>
  <c r="A2021" i="113"/>
  <c r="A2022" i="113"/>
  <c r="A2023" i="113"/>
  <c r="A2024" i="113"/>
  <c r="A2025" i="113"/>
  <c r="A2026" i="113"/>
  <c r="A2027" i="113"/>
  <c r="A2028" i="113"/>
  <c r="A2029" i="113"/>
  <c r="A2030" i="113"/>
  <c r="A2031" i="113"/>
  <c r="A2032" i="113"/>
  <c r="A2033" i="113"/>
  <c r="A2034" i="113"/>
  <c r="A2035" i="113"/>
  <c r="A2036" i="113"/>
  <c r="A2037" i="113"/>
  <c r="A2038" i="113"/>
  <c r="A2039" i="113"/>
  <c r="A2040" i="113"/>
  <c r="A2041" i="113"/>
  <c r="A2042" i="113"/>
  <c r="A2043" i="113"/>
  <c r="A2044" i="113"/>
  <c r="A2045" i="113"/>
  <c r="A2046" i="113"/>
  <c r="A2047" i="113"/>
  <c r="A2048" i="113"/>
  <c r="A2049" i="113"/>
  <c r="A2050" i="113"/>
  <c r="A2051" i="113"/>
  <c r="A2052" i="113"/>
  <c r="A2053" i="113"/>
  <c r="A2054" i="113"/>
  <c r="A2055" i="113"/>
  <c r="A2056" i="113"/>
  <c r="A2057" i="113"/>
  <c r="A2058" i="113"/>
  <c r="A2059" i="113"/>
  <c r="A2060" i="113"/>
  <c r="A2061" i="113"/>
  <c r="A2062" i="113"/>
  <c r="A2063" i="113"/>
  <c r="A2064" i="113"/>
  <c r="A2065" i="113"/>
  <c r="A2066" i="113"/>
  <c r="A2067" i="113"/>
  <c r="A2068" i="113"/>
  <c r="A2069" i="113"/>
  <c r="A2070" i="113"/>
  <c r="A2071" i="113"/>
  <c r="A2072" i="113"/>
  <c r="A2073" i="113"/>
  <c r="A2074" i="113"/>
  <c r="A2075" i="113"/>
  <c r="A2076" i="113"/>
  <c r="A2077" i="113"/>
  <c r="A2078" i="113"/>
  <c r="A2079" i="113"/>
  <c r="A2080" i="113"/>
  <c r="A2081" i="113"/>
  <c r="A2082" i="113"/>
  <c r="A2083" i="113"/>
  <c r="A2084" i="113"/>
  <c r="A2085" i="113"/>
  <c r="A2086" i="113"/>
  <c r="A2087" i="113"/>
  <c r="A2088" i="113"/>
  <c r="A2089" i="113"/>
  <c r="A2090" i="113"/>
  <c r="A2091" i="113"/>
  <c r="A2092" i="113"/>
  <c r="A2093" i="113"/>
  <c r="A2094" i="113"/>
  <c r="A2095" i="113"/>
  <c r="A2096" i="113"/>
  <c r="A2097" i="113"/>
  <c r="A2098" i="113"/>
  <c r="A2099" i="113"/>
  <c r="A2100" i="113"/>
  <c r="A2101" i="113"/>
  <c r="A2102" i="113"/>
  <c r="A2103" i="113"/>
  <c r="A2104" i="113"/>
  <c r="A2105" i="113"/>
  <c r="A2106" i="113"/>
  <c r="A2107" i="113"/>
  <c r="A2108" i="113"/>
  <c r="A2109" i="113"/>
  <c r="A2110" i="113"/>
  <c r="A2111" i="113"/>
  <c r="A2112" i="113"/>
  <c r="A2113" i="113"/>
  <c r="A2114" i="113"/>
  <c r="A2115" i="113"/>
  <c r="A2116" i="113"/>
  <c r="A2117" i="113"/>
  <c r="A2118" i="113"/>
  <c r="A2119" i="113"/>
  <c r="A2120" i="113"/>
  <c r="A2121" i="113"/>
  <c r="A2122" i="113"/>
  <c r="A2123" i="113"/>
  <c r="A2124" i="113"/>
  <c r="A2125" i="113"/>
  <c r="A2126" i="113"/>
  <c r="A2127" i="113"/>
  <c r="A2128" i="113"/>
  <c r="A2129" i="113"/>
  <c r="A2130" i="113"/>
  <c r="A2131" i="113"/>
  <c r="A2132" i="113"/>
  <c r="A2133" i="113"/>
  <c r="A2134" i="113"/>
  <c r="A2135" i="113"/>
  <c r="A2136" i="113"/>
  <c r="A2137" i="113"/>
  <c r="A2138" i="113"/>
  <c r="A2139" i="113"/>
  <c r="A2140" i="113"/>
  <c r="A2141" i="113"/>
  <c r="A2142" i="113"/>
  <c r="A2143" i="113"/>
  <c r="A2144" i="113"/>
  <c r="A2145" i="113"/>
  <c r="A2146" i="113"/>
  <c r="A2147" i="113"/>
  <c r="A2148" i="113"/>
  <c r="A2149" i="113"/>
  <c r="A2150" i="113"/>
  <c r="A2151" i="113"/>
  <c r="A2152" i="113"/>
  <c r="A2153" i="113"/>
  <c r="A2154" i="113"/>
  <c r="A2155" i="113"/>
  <c r="A2156" i="113"/>
  <c r="A2157" i="113"/>
  <c r="A2158" i="113"/>
  <c r="A2159" i="113"/>
  <c r="A2160" i="113"/>
  <c r="A2161" i="113"/>
  <c r="A2162" i="113"/>
  <c r="A2163" i="113"/>
  <c r="A2164" i="113"/>
  <c r="A2165" i="113"/>
  <c r="A2166" i="113"/>
  <c r="A2167" i="113"/>
  <c r="A2168" i="113"/>
  <c r="A2169" i="113"/>
  <c r="A2170" i="113"/>
  <c r="A2171" i="113"/>
  <c r="A2172" i="113"/>
  <c r="A2173" i="113"/>
  <c r="A2174" i="113"/>
  <c r="A2175" i="113"/>
  <c r="A2176" i="113"/>
  <c r="A2177" i="113"/>
  <c r="A2178" i="113"/>
  <c r="A2179" i="113"/>
  <c r="A2180" i="113"/>
  <c r="A2181" i="113"/>
  <c r="A2182" i="113"/>
  <c r="A2183" i="113"/>
  <c r="A2184" i="113"/>
  <c r="A2185" i="113"/>
  <c r="A2186" i="113"/>
  <c r="A2187" i="113"/>
  <c r="A2188" i="113"/>
  <c r="A2189" i="113"/>
  <c r="A2190" i="113"/>
  <c r="A2191" i="113"/>
  <c r="A2192" i="113"/>
  <c r="A2193" i="113"/>
  <c r="A2194" i="113"/>
  <c r="A2195" i="113"/>
  <c r="A2196" i="113"/>
  <c r="A2197" i="113"/>
  <c r="A2198" i="113"/>
  <c r="A2199" i="113"/>
  <c r="A2200" i="113"/>
  <c r="A2201" i="113"/>
  <c r="A2202" i="113"/>
  <c r="A2203" i="113"/>
  <c r="A2204" i="113"/>
  <c r="A2205" i="113"/>
  <c r="A2206" i="113"/>
  <c r="A2207" i="113"/>
  <c r="A2208" i="113"/>
  <c r="A2209" i="113"/>
  <c r="A2210" i="113"/>
  <c r="A2211" i="113"/>
  <c r="A2212" i="113"/>
  <c r="A2213" i="113"/>
  <c r="A2214" i="113"/>
  <c r="A2215" i="113"/>
  <c r="A2216" i="113"/>
  <c r="A2217" i="113"/>
  <c r="A2218" i="113"/>
  <c r="A2219" i="113"/>
  <c r="A2220" i="113"/>
  <c r="A2221" i="113"/>
  <c r="A2222" i="113"/>
  <c r="A2223" i="113"/>
  <c r="A2224" i="113"/>
  <c r="A2225" i="113"/>
  <c r="A2226" i="113"/>
  <c r="A2227" i="113"/>
  <c r="A2228" i="113"/>
  <c r="A2229" i="113"/>
  <c r="A2230" i="113"/>
  <c r="A2231" i="113"/>
  <c r="A2232" i="113"/>
  <c r="A2233" i="113"/>
  <c r="A2234" i="113"/>
  <c r="A2235" i="113"/>
  <c r="A2236" i="113"/>
  <c r="A2237" i="113"/>
  <c r="A2238" i="113"/>
  <c r="A2239" i="113"/>
  <c r="A2240" i="113"/>
  <c r="A2241" i="113"/>
  <c r="A2242" i="113"/>
  <c r="A2243" i="113"/>
  <c r="A2244" i="113"/>
  <c r="A2245" i="113"/>
  <c r="A2246" i="113"/>
  <c r="A2247" i="113"/>
  <c r="A2248" i="113"/>
  <c r="A2249" i="113"/>
  <c r="A2250" i="113"/>
  <c r="A2251" i="113"/>
  <c r="A2252" i="113"/>
  <c r="A2253" i="113"/>
  <c r="A2254" i="113"/>
  <c r="A1692" i="113"/>
  <c r="A1693" i="113"/>
  <c r="A1694" i="113"/>
  <c r="A1695" i="113"/>
  <c r="A1696" i="113"/>
  <c r="A1697" i="113"/>
  <c r="A1698" i="113"/>
  <c r="A1699" i="113"/>
  <c r="A1700" i="113"/>
  <c r="A1701" i="113"/>
  <c r="A1702" i="113"/>
  <c r="A1703" i="113"/>
  <c r="A1704" i="113"/>
  <c r="A1705" i="113"/>
  <c r="A1706" i="113"/>
  <c r="A1707" i="113"/>
  <c r="A1708" i="113"/>
  <c r="A1709" i="113"/>
  <c r="A1710" i="113"/>
  <c r="A1711" i="113"/>
  <c r="A1712" i="113"/>
  <c r="A1713" i="113"/>
  <c r="A1714" i="113"/>
  <c r="A1715" i="113"/>
  <c r="A1716" i="113"/>
  <c r="A1717" i="113"/>
  <c r="A1718" i="113"/>
  <c r="A1719" i="113"/>
  <c r="A1720" i="113"/>
  <c r="A1721" i="113"/>
  <c r="A1722" i="113"/>
  <c r="A1723" i="113"/>
  <c r="A1724" i="113"/>
  <c r="A1725" i="113"/>
  <c r="A1726" i="113"/>
  <c r="A1727" i="113"/>
  <c r="A1728" i="113"/>
  <c r="A1729" i="113"/>
  <c r="A1730" i="113"/>
  <c r="A1731" i="113"/>
  <c r="A1732" i="113"/>
  <c r="A1733" i="113"/>
  <c r="A1734" i="113"/>
  <c r="A1735" i="113"/>
  <c r="A1736" i="113"/>
  <c r="A1737" i="113"/>
  <c r="A1738" i="113"/>
  <c r="A1739" i="113"/>
  <c r="A1740" i="113"/>
  <c r="A1741" i="113"/>
  <c r="A1742" i="113"/>
  <c r="A1743" i="113"/>
  <c r="A1744" i="113"/>
  <c r="A1745" i="113"/>
  <c r="A317" i="113"/>
  <c r="A318" i="113"/>
  <c r="A319" i="113"/>
  <c r="A320" i="113"/>
  <c r="A321" i="113"/>
  <c r="A322" i="113"/>
  <c r="A323" i="113"/>
  <c r="A324" i="113"/>
  <c r="A325" i="113"/>
  <c r="A326" i="113"/>
  <c r="A327" i="113"/>
  <c r="A328" i="113"/>
  <c r="A329" i="113"/>
  <c r="A330" i="113"/>
  <c r="A331" i="113"/>
  <c r="A332" i="113"/>
  <c r="A333" i="113"/>
  <c r="A334" i="113"/>
  <c r="A335" i="113"/>
  <c r="A336" i="113"/>
  <c r="A337" i="113"/>
  <c r="A338" i="113"/>
  <c r="A339" i="113"/>
  <c r="A340" i="113"/>
  <c r="A341" i="113"/>
  <c r="A342" i="113"/>
  <c r="A343" i="113"/>
  <c r="A344" i="113"/>
  <c r="A345" i="113"/>
  <c r="A346" i="113"/>
  <c r="A347" i="113"/>
  <c r="A348" i="113"/>
  <c r="A349" i="113"/>
  <c r="A350" i="113"/>
  <c r="A351" i="113"/>
  <c r="A352" i="113"/>
  <c r="A353" i="113"/>
  <c r="A354" i="113"/>
  <c r="A355" i="113"/>
  <c r="A356" i="113"/>
  <c r="A357" i="113"/>
  <c r="A358" i="113"/>
  <c r="A359" i="113"/>
  <c r="A360" i="113"/>
  <c r="A361" i="113"/>
  <c r="A362" i="113"/>
  <c r="A363" i="113"/>
  <c r="A364" i="113"/>
  <c r="A365" i="113"/>
  <c r="A366" i="113"/>
  <c r="A367" i="113"/>
  <c r="A368" i="113"/>
  <c r="A369" i="113"/>
  <c r="A370" i="113"/>
  <c r="A371" i="113"/>
  <c r="A372" i="113"/>
  <c r="A373" i="113"/>
  <c r="A374" i="113"/>
  <c r="A375" i="113"/>
  <c r="A376" i="113"/>
  <c r="A377" i="113"/>
  <c r="A378" i="113"/>
  <c r="A379" i="113"/>
  <c r="A380" i="113"/>
  <c r="A381" i="113"/>
  <c r="A382" i="113"/>
  <c r="A383" i="113"/>
  <c r="A384" i="113"/>
  <c r="A385" i="113"/>
  <c r="A386" i="113"/>
  <c r="A387" i="113"/>
  <c r="A388" i="113"/>
  <c r="A389" i="113"/>
  <c r="A390" i="113"/>
  <c r="A391" i="113"/>
  <c r="A392" i="113"/>
  <c r="A393" i="113"/>
  <c r="A394" i="113"/>
  <c r="A395" i="113"/>
  <c r="A396" i="113"/>
  <c r="A397" i="113"/>
  <c r="A398" i="113"/>
  <c r="A399" i="113"/>
  <c r="A400" i="113"/>
  <c r="A401" i="113"/>
  <c r="A402" i="113"/>
  <c r="A403" i="113"/>
  <c r="A404" i="113"/>
  <c r="A405" i="113"/>
  <c r="A406" i="113"/>
  <c r="A407" i="113"/>
  <c r="A408" i="113"/>
  <c r="A409" i="113"/>
  <c r="A410" i="113"/>
  <c r="A411" i="113"/>
  <c r="A412" i="113"/>
  <c r="A413" i="113"/>
  <c r="A414" i="113"/>
  <c r="A415" i="113"/>
  <c r="A416" i="113"/>
  <c r="A417" i="113"/>
  <c r="A418" i="113"/>
  <c r="A419" i="113"/>
  <c r="A420" i="113"/>
  <c r="A421" i="113"/>
  <c r="A422" i="113"/>
  <c r="A423" i="113"/>
  <c r="A424" i="113"/>
  <c r="A425" i="113"/>
  <c r="A426" i="113"/>
  <c r="A427" i="113"/>
  <c r="A428" i="113"/>
  <c r="A429" i="113"/>
  <c r="A430" i="113"/>
  <c r="A431" i="113"/>
  <c r="A432" i="113"/>
  <c r="A433" i="113"/>
  <c r="A434" i="113"/>
  <c r="A435" i="113"/>
  <c r="A436" i="113"/>
  <c r="A437" i="113"/>
  <c r="A438" i="113"/>
  <c r="A439" i="113"/>
  <c r="A440" i="113"/>
  <c r="A441" i="113"/>
  <c r="A442" i="113"/>
  <c r="A443" i="113"/>
  <c r="A444" i="113"/>
  <c r="A445" i="113"/>
  <c r="A446" i="113"/>
  <c r="A447" i="113"/>
  <c r="A448" i="113"/>
  <c r="A449" i="113"/>
  <c r="A450" i="113"/>
  <c r="A451" i="113"/>
  <c r="A452" i="113"/>
  <c r="A453" i="113"/>
  <c r="A454" i="113"/>
  <c r="A455" i="113"/>
  <c r="A456" i="113"/>
  <c r="A457" i="113"/>
  <c r="A458" i="113"/>
  <c r="A459" i="113"/>
  <c r="A460" i="113"/>
  <c r="A461" i="113"/>
  <c r="A462" i="113"/>
  <c r="A463" i="113"/>
  <c r="A464" i="113"/>
  <c r="A465" i="113"/>
  <c r="A466" i="113"/>
  <c r="A467" i="113"/>
  <c r="A468" i="113"/>
  <c r="A469" i="113"/>
  <c r="A470" i="113"/>
  <c r="A471" i="113"/>
  <c r="A472" i="113"/>
  <c r="A473" i="113"/>
  <c r="A474" i="113"/>
  <c r="A475" i="113"/>
  <c r="A476" i="113"/>
  <c r="A477" i="113"/>
  <c r="A478" i="113"/>
  <c r="A479" i="113"/>
  <c r="A480" i="113"/>
  <c r="A481" i="113"/>
  <c r="A482" i="113"/>
  <c r="A483" i="113"/>
  <c r="A484" i="113"/>
  <c r="A485" i="113"/>
  <c r="A486" i="113"/>
  <c r="A487" i="113"/>
  <c r="A488" i="113"/>
  <c r="A489" i="113"/>
  <c r="A490" i="113"/>
  <c r="A491" i="113"/>
  <c r="A492" i="113"/>
  <c r="A493" i="113"/>
  <c r="A494" i="113"/>
  <c r="A495" i="113"/>
  <c r="A496" i="113"/>
  <c r="A497" i="113"/>
  <c r="A498" i="113"/>
  <c r="A499" i="113"/>
  <c r="A500" i="113"/>
  <c r="A501" i="113"/>
  <c r="A502" i="113"/>
  <c r="A503" i="113"/>
  <c r="A504" i="113"/>
  <c r="A505" i="113"/>
  <c r="A506" i="113"/>
  <c r="A507" i="113"/>
  <c r="A508" i="113"/>
  <c r="A509" i="113"/>
  <c r="A510" i="113"/>
  <c r="A511" i="113"/>
  <c r="A512" i="113"/>
  <c r="A513" i="113"/>
  <c r="A514" i="113"/>
  <c r="A515" i="113"/>
  <c r="A516" i="113"/>
  <c r="A517" i="113"/>
  <c r="A518" i="113"/>
  <c r="A519" i="113"/>
  <c r="A520" i="113"/>
  <c r="A521" i="113"/>
  <c r="A522" i="113"/>
  <c r="A523" i="113"/>
  <c r="A524" i="113"/>
  <c r="A525" i="113"/>
  <c r="A526" i="113"/>
  <c r="A527" i="113"/>
  <c r="A528" i="113"/>
  <c r="A529" i="113"/>
  <c r="A530" i="113"/>
  <c r="A531" i="113"/>
  <c r="A532" i="113"/>
  <c r="A533" i="113"/>
  <c r="A534" i="113"/>
  <c r="A535" i="113"/>
  <c r="A536" i="113"/>
  <c r="A537" i="113"/>
  <c r="A538" i="113"/>
  <c r="A539" i="113"/>
  <c r="A540" i="113"/>
  <c r="A541" i="113"/>
  <c r="A542" i="113"/>
  <c r="A543" i="113"/>
  <c r="A544" i="113"/>
  <c r="A545" i="113"/>
  <c r="A546" i="113"/>
  <c r="A547" i="113"/>
  <c r="A548" i="113"/>
  <c r="A549" i="113"/>
  <c r="A550" i="113"/>
  <c r="A551" i="113"/>
  <c r="A552" i="113"/>
  <c r="A553" i="113"/>
  <c r="A554" i="113"/>
  <c r="A555" i="113"/>
  <c r="A556" i="113"/>
  <c r="A557" i="113"/>
  <c r="A558" i="113"/>
  <c r="A559" i="113"/>
  <c r="A560" i="113"/>
  <c r="A561" i="113"/>
  <c r="A562" i="113"/>
  <c r="A563" i="113"/>
  <c r="A564" i="113"/>
  <c r="A565" i="113"/>
  <c r="A566" i="113"/>
  <c r="A567" i="113"/>
  <c r="A568" i="113"/>
  <c r="A569" i="113"/>
  <c r="A570" i="113"/>
  <c r="A571" i="113"/>
  <c r="A572" i="113"/>
  <c r="A573" i="113"/>
  <c r="A574" i="113"/>
  <c r="A575" i="113"/>
  <c r="A576" i="113"/>
  <c r="A577" i="113"/>
  <c r="A578" i="113"/>
  <c r="A579" i="113"/>
  <c r="A580" i="113"/>
  <c r="A581" i="113"/>
  <c r="A582" i="113"/>
  <c r="A583" i="113"/>
  <c r="A584" i="113"/>
  <c r="A585" i="113"/>
  <c r="A586" i="113"/>
  <c r="A587" i="113"/>
  <c r="A588" i="113"/>
  <c r="A589" i="113"/>
  <c r="A590" i="113"/>
  <c r="A591" i="113"/>
  <c r="A592" i="113"/>
  <c r="A593" i="113"/>
  <c r="A594" i="113"/>
  <c r="A595" i="113"/>
  <c r="A596" i="113"/>
  <c r="A597" i="113"/>
  <c r="A598" i="113"/>
  <c r="A599" i="113"/>
  <c r="A600" i="113"/>
  <c r="A601" i="113"/>
  <c r="A602" i="113"/>
  <c r="A603" i="113"/>
  <c r="A604" i="113"/>
  <c r="A605" i="113"/>
  <c r="A606" i="113"/>
  <c r="A607" i="113"/>
  <c r="A608" i="113"/>
  <c r="A609" i="113"/>
  <c r="A610" i="113"/>
  <c r="A611" i="113"/>
  <c r="A612" i="113"/>
  <c r="A613" i="113"/>
  <c r="A614" i="113"/>
  <c r="A615" i="113"/>
  <c r="A616" i="113"/>
  <c r="A617" i="113"/>
  <c r="A618" i="113"/>
  <c r="A619" i="113"/>
  <c r="A620" i="113"/>
  <c r="A621" i="113"/>
  <c r="A622" i="113"/>
  <c r="A623" i="113"/>
  <c r="A624" i="113"/>
  <c r="A625" i="113"/>
  <c r="A626" i="113"/>
  <c r="A627" i="113"/>
  <c r="A628" i="113"/>
  <c r="A629" i="113"/>
  <c r="A630" i="113"/>
  <c r="A631" i="113"/>
  <c r="A632" i="113"/>
  <c r="A633" i="113"/>
  <c r="A634" i="113"/>
  <c r="A635" i="113"/>
  <c r="A636" i="113"/>
  <c r="A637" i="113"/>
  <c r="A638" i="113"/>
  <c r="A639" i="113"/>
  <c r="A640" i="113"/>
  <c r="A641" i="113"/>
  <c r="A642" i="113"/>
  <c r="A643" i="113"/>
  <c r="A644" i="113"/>
  <c r="A645" i="113"/>
  <c r="A646" i="113"/>
  <c r="A647" i="113"/>
  <c r="A648" i="113"/>
  <c r="A649" i="113"/>
  <c r="A650" i="113"/>
  <c r="A651" i="113"/>
  <c r="A652" i="113"/>
  <c r="A653" i="113"/>
  <c r="A654" i="113"/>
  <c r="A655" i="113"/>
  <c r="A656" i="113"/>
  <c r="A657" i="113"/>
  <c r="A658" i="113"/>
  <c r="A659" i="113"/>
  <c r="A660" i="113"/>
  <c r="A661" i="113"/>
  <c r="A662" i="113"/>
  <c r="A663" i="113"/>
  <c r="A664" i="113"/>
  <c r="A665" i="113"/>
  <c r="A666" i="113"/>
  <c r="A667" i="113"/>
  <c r="A668" i="113"/>
  <c r="A669" i="113"/>
  <c r="A670" i="113"/>
  <c r="A671" i="113"/>
  <c r="A672" i="113"/>
  <c r="A673" i="113"/>
  <c r="A674" i="113"/>
  <c r="A675" i="113"/>
  <c r="A676" i="113"/>
  <c r="A677" i="113"/>
  <c r="A678" i="113"/>
  <c r="A679" i="113"/>
  <c r="A680" i="113"/>
  <c r="A681" i="113"/>
  <c r="A682" i="113"/>
  <c r="A683" i="113"/>
  <c r="A684" i="113"/>
  <c r="A685" i="113"/>
  <c r="A686" i="113"/>
  <c r="A687" i="113"/>
  <c r="A688" i="113"/>
  <c r="A689" i="113"/>
  <c r="A690" i="113"/>
  <c r="A691" i="113"/>
  <c r="A692" i="113"/>
  <c r="A693" i="113"/>
  <c r="A694" i="113"/>
  <c r="A695" i="113"/>
  <c r="A696" i="113"/>
  <c r="A697" i="113"/>
  <c r="A698" i="113"/>
  <c r="A699" i="113"/>
  <c r="A700" i="113"/>
  <c r="A701" i="113"/>
  <c r="A702" i="113"/>
  <c r="A703" i="113"/>
  <c r="A704" i="113"/>
  <c r="A705" i="113"/>
  <c r="A706" i="113"/>
  <c r="A707" i="113"/>
  <c r="A708" i="113"/>
  <c r="A709" i="113"/>
  <c r="A710" i="113"/>
  <c r="A711" i="113"/>
  <c r="A712" i="113"/>
  <c r="A713" i="113"/>
  <c r="A714" i="113"/>
  <c r="A715" i="113"/>
  <c r="A716" i="113"/>
  <c r="A717" i="113"/>
  <c r="A718" i="113"/>
  <c r="A719" i="113"/>
  <c r="A720" i="113"/>
  <c r="A721" i="113"/>
  <c r="A722" i="113"/>
  <c r="A723" i="113"/>
  <c r="A724" i="113"/>
  <c r="A725" i="113"/>
  <c r="A726" i="113"/>
  <c r="A727" i="113"/>
  <c r="A728" i="113"/>
  <c r="A729" i="113"/>
  <c r="A730" i="113"/>
  <c r="A731" i="113"/>
  <c r="A732" i="113"/>
  <c r="A733" i="113"/>
  <c r="A734" i="113"/>
  <c r="A735" i="113"/>
  <c r="A736" i="113"/>
  <c r="A737" i="113"/>
  <c r="A738" i="113"/>
  <c r="A739" i="113"/>
  <c r="A740" i="113"/>
  <c r="A741" i="113"/>
  <c r="A742" i="113"/>
  <c r="A743" i="113"/>
  <c r="A744" i="113"/>
  <c r="A745" i="113"/>
  <c r="A746" i="113"/>
  <c r="A747" i="113"/>
  <c r="A748" i="113"/>
  <c r="A749" i="113"/>
  <c r="A750" i="113"/>
  <c r="A751" i="113"/>
  <c r="A752" i="113"/>
  <c r="A753" i="113"/>
  <c r="A754" i="113"/>
  <c r="A755" i="113"/>
  <c r="A756" i="113"/>
  <c r="A757" i="113"/>
  <c r="A758" i="113"/>
  <c r="A759" i="113"/>
  <c r="A760" i="113"/>
  <c r="A761" i="113"/>
  <c r="A762" i="113"/>
  <c r="A763" i="113"/>
  <c r="A764" i="113"/>
  <c r="A765" i="113"/>
  <c r="A766" i="113"/>
  <c r="A767" i="113"/>
  <c r="A768" i="113"/>
  <c r="A769" i="113"/>
  <c r="A770" i="113"/>
  <c r="A771" i="113"/>
  <c r="A772" i="113"/>
  <c r="A773" i="113"/>
  <c r="A774" i="113"/>
  <c r="A775" i="113"/>
  <c r="A776" i="113"/>
  <c r="A777" i="113"/>
  <c r="A778" i="113"/>
  <c r="A779" i="113"/>
  <c r="A780" i="113"/>
  <c r="A781" i="113"/>
  <c r="A782" i="113"/>
  <c r="A783" i="113"/>
  <c r="A784" i="113"/>
  <c r="A785" i="113"/>
  <c r="A786" i="113"/>
  <c r="A787" i="113"/>
  <c r="A788" i="113"/>
  <c r="A789" i="113"/>
  <c r="A790" i="113"/>
  <c r="A791" i="113"/>
  <c r="A792" i="113"/>
  <c r="A793" i="113"/>
  <c r="A794" i="113"/>
  <c r="A795" i="113"/>
  <c r="A796" i="113"/>
  <c r="A797" i="113"/>
  <c r="A798" i="113"/>
  <c r="A799" i="113"/>
  <c r="A800" i="113"/>
  <c r="A801" i="113"/>
  <c r="A802" i="113"/>
  <c r="A803" i="113"/>
  <c r="A804" i="113"/>
  <c r="A805" i="113"/>
  <c r="A806" i="113"/>
  <c r="A807" i="113"/>
  <c r="A808" i="113"/>
  <c r="A809" i="113"/>
  <c r="A810" i="113"/>
  <c r="A811" i="113"/>
  <c r="A812" i="113"/>
  <c r="A813" i="113"/>
  <c r="A814" i="113"/>
  <c r="A815" i="113"/>
  <c r="A816" i="113"/>
  <c r="A817" i="113"/>
  <c r="A818" i="113"/>
  <c r="A819" i="113"/>
  <c r="A820" i="113"/>
  <c r="A821" i="113"/>
  <c r="A822" i="113"/>
  <c r="A823" i="113"/>
  <c r="A824" i="113"/>
  <c r="A825" i="113"/>
  <c r="A826" i="113"/>
  <c r="A827" i="113"/>
  <c r="A828" i="113"/>
  <c r="A829" i="113"/>
  <c r="A830" i="113"/>
  <c r="A831" i="113"/>
  <c r="A832" i="113"/>
  <c r="A833" i="113"/>
  <c r="A834" i="113"/>
  <c r="A835" i="113"/>
  <c r="A836" i="113"/>
  <c r="A837" i="113"/>
  <c r="A838" i="113"/>
  <c r="A839" i="113"/>
  <c r="A840" i="113"/>
  <c r="A841" i="113"/>
  <c r="A842" i="113"/>
  <c r="A843" i="113"/>
  <c r="A844" i="113"/>
  <c r="A845" i="113"/>
  <c r="A846" i="113"/>
  <c r="A847" i="113"/>
  <c r="A848" i="113"/>
  <c r="A849" i="113"/>
  <c r="A850" i="113"/>
  <c r="A851" i="113"/>
  <c r="A852" i="113"/>
  <c r="A853" i="113"/>
  <c r="A854" i="113"/>
  <c r="A855" i="113"/>
  <c r="A856" i="113"/>
  <c r="A857" i="113"/>
  <c r="A858" i="113"/>
  <c r="A859" i="113"/>
  <c r="A860" i="113"/>
  <c r="A861" i="113"/>
  <c r="A862" i="113"/>
  <c r="A863" i="113"/>
  <c r="A864" i="113"/>
  <c r="A865" i="113"/>
  <c r="A866" i="113"/>
  <c r="A867" i="113"/>
  <c r="A868" i="113"/>
  <c r="A869" i="113"/>
  <c r="A870" i="113"/>
  <c r="A871" i="113"/>
  <c r="A872" i="113"/>
  <c r="A873" i="113"/>
  <c r="A874" i="113"/>
  <c r="A875" i="113"/>
  <c r="A876" i="113"/>
  <c r="A877" i="113"/>
  <c r="A878" i="113"/>
  <c r="A879" i="113"/>
  <c r="A880" i="113"/>
  <c r="A881" i="113"/>
  <c r="A882" i="113"/>
  <c r="A883" i="113"/>
  <c r="A884" i="113"/>
  <c r="A885" i="113"/>
  <c r="A886" i="113"/>
  <c r="A887" i="113"/>
  <c r="A888" i="113"/>
  <c r="A889" i="113"/>
  <c r="A890" i="113"/>
  <c r="A891" i="113"/>
  <c r="A892" i="113"/>
  <c r="A893" i="113"/>
  <c r="A894" i="113"/>
  <c r="A895" i="113"/>
  <c r="A896" i="113"/>
  <c r="A897" i="113"/>
  <c r="A898" i="113"/>
  <c r="A899" i="113"/>
  <c r="A900" i="113"/>
  <c r="A901" i="113"/>
  <c r="A902" i="113"/>
  <c r="A903" i="113"/>
  <c r="A904" i="113"/>
  <c r="A905" i="113"/>
  <c r="A906" i="113"/>
  <c r="A907" i="113"/>
  <c r="A908" i="113"/>
  <c r="A909" i="113"/>
  <c r="A910" i="113"/>
  <c r="A911" i="113"/>
  <c r="A912" i="113"/>
  <c r="A913" i="113"/>
  <c r="A914" i="113"/>
  <c r="A915" i="113"/>
  <c r="A916" i="113"/>
  <c r="A917" i="113"/>
  <c r="A918" i="113"/>
  <c r="A919" i="113"/>
  <c r="A920" i="113"/>
  <c r="A921" i="113"/>
  <c r="A922" i="113"/>
  <c r="A923" i="113"/>
  <c r="A924" i="113"/>
  <c r="A925" i="113"/>
  <c r="A926" i="113"/>
  <c r="A927" i="113"/>
  <c r="A928" i="113"/>
  <c r="A929" i="113"/>
  <c r="A930" i="113"/>
  <c r="A931" i="113"/>
  <c r="A932" i="113"/>
  <c r="A933" i="113"/>
  <c r="A934" i="113"/>
  <c r="A935" i="113"/>
  <c r="A936" i="113"/>
  <c r="A937" i="113"/>
  <c r="A938" i="113"/>
  <c r="A939" i="113"/>
  <c r="A940" i="113"/>
  <c r="A941" i="113"/>
  <c r="A942" i="113"/>
  <c r="A943" i="113"/>
  <c r="A944" i="113"/>
  <c r="A945" i="113"/>
  <c r="A946" i="113"/>
  <c r="A947" i="113"/>
  <c r="A948" i="113"/>
  <c r="A949" i="113"/>
  <c r="A950" i="113"/>
  <c r="A951" i="113"/>
  <c r="A952" i="113"/>
  <c r="A953" i="113"/>
  <c r="A954" i="113"/>
  <c r="A955" i="113"/>
  <c r="A956" i="113"/>
  <c r="A957" i="113"/>
  <c r="A958" i="113"/>
  <c r="A959" i="113"/>
  <c r="A960" i="113"/>
  <c r="A961" i="113"/>
  <c r="A962" i="113"/>
  <c r="A963" i="113"/>
  <c r="A964" i="113"/>
  <c r="A965" i="113"/>
  <c r="A966" i="113"/>
  <c r="A967" i="113"/>
  <c r="A968" i="113"/>
  <c r="A969" i="113"/>
  <c r="A970" i="113"/>
  <c r="A971" i="113"/>
  <c r="A972" i="113"/>
  <c r="A973" i="113"/>
  <c r="A974" i="113"/>
  <c r="A975" i="113"/>
  <c r="A976" i="113"/>
  <c r="A977" i="113"/>
  <c r="A978" i="113"/>
  <c r="A979" i="113"/>
  <c r="A980" i="113"/>
  <c r="A981" i="113"/>
  <c r="A982" i="113"/>
  <c r="A983" i="113"/>
  <c r="A984" i="113"/>
  <c r="A985" i="113"/>
  <c r="A986" i="113"/>
  <c r="A987" i="113"/>
  <c r="A988" i="113"/>
  <c r="A989" i="113"/>
  <c r="A990" i="113"/>
  <c r="A991" i="113"/>
  <c r="A992" i="113"/>
  <c r="A993" i="113"/>
  <c r="A994" i="113"/>
  <c r="A995" i="113"/>
  <c r="A996" i="113"/>
  <c r="A997" i="113"/>
  <c r="A998" i="113"/>
  <c r="A999" i="113"/>
  <c r="A1000" i="113"/>
  <c r="A1001" i="113"/>
  <c r="A1002" i="113"/>
  <c r="A1003" i="113"/>
  <c r="A1004" i="113"/>
  <c r="A1005" i="113"/>
  <c r="A1006" i="113"/>
  <c r="A1007" i="113"/>
  <c r="A1008" i="113"/>
  <c r="A1009" i="113"/>
  <c r="A1010" i="113"/>
  <c r="A1011" i="113"/>
  <c r="A1012" i="113"/>
  <c r="A1013" i="113"/>
  <c r="A1014" i="113"/>
  <c r="A1015" i="113"/>
  <c r="A1016" i="113"/>
  <c r="A1017" i="113"/>
  <c r="A1018" i="113"/>
  <c r="A1019" i="113"/>
  <c r="A1020" i="113"/>
  <c r="A1021" i="113"/>
  <c r="A1022" i="113"/>
  <c r="A1023" i="113"/>
  <c r="A1024" i="113"/>
  <c r="A1025" i="113"/>
  <c r="A1026" i="113"/>
  <c r="A1027" i="113"/>
  <c r="A1028" i="113"/>
  <c r="A1029" i="113"/>
  <c r="A1030" i="113"/>
  <c r="A1031" i="113"/>
  <c r="A1032" i="113"/>
  <c r="A1033" i="113"/>
  <c r="A1034" i="113"/>
  <c r="A1035" i="113"/>
  <c r="A1036" i="113"/>
  <c r="A1037" i="113"/>
  <c r="A1038" i="113"/>
  <c r="A1039" i="113"/>
  <c r="A1040" i="113"/>
  <c r="A1041" i="113"/>
  <c r="A1042" i="113"/>
  <c r="A1043" i="113"/>
  <c r="A1044" i="113"/>
  <c r="A1045" i="113"/>
  <c r="A1046" i="113"/>
  <c r="A1047" i="113"/>
  <c r="A1048" i="113"/>
  <c r="A1049" i="113"/>
  <c r="A1050" i="113"/>
  <c r="A1051" i="113"/>
  <c r="A1052" i="113"/>
  <c r="A1053" i="113"/>
  <c r="A1054" i="113"/>
  <c r="A1055" i="113"/>
  <c r="A1056" i="113"/>
  <c r="A1057" i="113"/>
  <c r="A1058" i="113"/>
  <c r="A1059" i="113"/>
  <c r="A1060" i="113"/>
  <c r="A1061" i="113"/>
  <c r="A1062" i="113"/>
  <c r="A1063" i="113"/>
  <c r="A1064" i="113"/>
  <c r="A1065" i="113"/>
  <c r="A1066" i="113"/>
  <c r="A1067" i="113"/>
  <c r="A1068" i="113"/>
  <c r="A1069" i="113"/>
  <c r="A1070" i="113"/>
  <c r="A1071" i="113"/>
  <c r="A1072" i="113"/>
  <c r="A1073" i="113"/>
  <c r="A1074" i="113"/>
  <c r="A1075" i="113"/>
  <c r="A1076" i="113"/>
  <c r="A1077" i="113"/>
  <c r="A1078" i="113"/>
  <c r="A1079" i="113"/>
  <c r="A1080" i="113"/>
  <c r="A1081" i="113"/>
  <c r="A1082" i="113"/>
  <c r="A1083" i="113"/>
  <c r="A1084" i="113"/>
  <c r="A1085" i="113"/>
  <c r="A1086" i="113"/>
  <c r="A1087" i="113"/>
  <c r="A1088" i="113"/>
  <c r="A1089" i="113"/>
  <c r="A1090" i="113"/>
  <c r="A1091" i="113"/>
  <c r="A1092" i="113"/>
  <c r="A1093" i="113"/>
  <c r="A1094" i="113"/>
  <c r="A1095" i="113"/>
  <c r="A1096" i="113"/>
  <c r="A1097" i="113"/>
  <c r="A1098" i="113"/>
  <c r="A1099" i="113"/>
  <c r="A1100" i="113"/>
  <c r="A1101" i="113"/>
  <c r="A1102" i="113"/>
  <c r="A1103" i="113"/>
  <c r="A1104" i="113"/>
  <c r="A1105" i="113"/>
  <c r="A1106" i="113"/>
  <c r="A1107" i="113"/>
  <c r="A1108" i="113"/>
  <c r="A1109" i="113"/>
  <c r="A1110" i="113"/>
  <c r="A1111" i="113"/>
  <c r="A1112" i="113"/>
  <c r="A1113" i="113"/>
  <c r="A1114" i="113"/>
  <c r="A1115" i="113"/>
  <c r="A1116" i="113"/>
  <c r="A1117" i="113"/>
  <c r="A1118" i="113"/>
  <c r="A1119" i="113"/>
  <c r="A1120" i="113"/>
  <c r="A1121" i="113"/>
  <c r="A1122" i="113"/>
  <c r="A1123" i="113"/>
  <c r="A1124" i="113"/>
  <c r="A1125" i="113"/>
  <c r="A1126" i="113"/>
  <c r="A1127" i="113"/>
  <c r="A1128" i="113"/>
  <c r="A1129" i="113"/>
  <c r="A1130" i="113"/>
  <c r="A1131" i="113"/>
  <c r="A1132" i="113"/>
  <c r="A1133" i="113"/>
  <c r="A1134" i="113"/>
  <c r="A1135" i="113"/>
  <c r="A1136" i="113"/>
  <c r="A1137" i="113"/>
  <c r="A1138" i="113"/>
  <c r="A1139" i="113"/>
  <c r="A1140" i="113"/>
  <c r="A1141" i="113"/>
  <c r="A1142" i="113"/>
  <c r="A1143" i="113"/>
  <c r="A1144" i="113"/>
  <c r="A1145" i="113"/>
  <c r="A1146" i="113"/>
  <c r="A1147" i="113"/>
  <c r="A1148" i="113"/>
  <c r="A1149" i="113"/>
  <c r="A1150" i="113"/>
  <c r="A1151" i="113"/>
  <c r="A1152" i="113"/>
  <c r="A1153" i="113"/>
  <c r="A1154" i="113"/>
  <c r="A1155" i="113"/>
  <c r="A1156" i="113"/>
  <c r="A1157" i="113"/>
  <c r="A1158" i="113"/>
  <c r="A1159" i="113"/>
  <c r="A1160" i="113"/>
  <c r="A1161" i="113"/>
  <c r="A1162" i="113"/>
  <c r="A1163" i="113"/>
  <c r="A1164" i="113"/>
  <c r="A1165" i="113"/>
  <c r="A1166" i="113"/>
  <c r="A1167" i="113"/>
  <c r="A1168" i="113"/>
  <c r="A1169" i="113"/>
  <c r="A1170" i="113"/>
  <c r="A1171" i="113"/>
  <c r="A1172" i="113"/>
  <c r="A1173" i="113"/>
  <c r="A1174" i="113"/>
  <c r="A1175" i="113"/>
  <c r="A1176" i="113"/>
  <c r="A1177" i="113"/>
  <c r="A1178" i="113"/>
  <c r="A1179" i="113"/>
  <c r="A1180" i="113"/>
  <c r="A1181" i="113"/>
  <c r="A1182" i="113"/>
  <c r="A1183" i="113"/>
  <c r="A1184" i="113"/>
  <c r="A1185" i="113"/>
  <c r="A1186" i="113"/>
  <c r="A1187" i="113"/>
  <c r="A1188" i="113"/>
  <c r="A1189" i="113"/>
  <c r="A1190" i="113"/>
  <c r="A1191" i="113"/>
  <c r="A1192" i="113"/>
  <c r="A1193" i="113"/>
  <c r="A1194" i="113"/>
  <c r="A1195" i="113"/>
  <c r="A1196" i="113"/>
  <c r="A1197" i="113"/>
  <c r="A1198" i="113"/>
  <c r="A1199" i="113"/>
  <c r="A1200" i="113"/>
  <c r="A1201" i="113"/>
  <c r="A1202" i="113"/>
  <c r="A1203" i="113"/>
  <c r="A1204" i="113"/>
  <c r="A1205" i="113"/>
  <c r="A1206" i="113"/>
  <c r="A1207" i="113"/>
  <c r="A1208" i="113"/>
  <c r="A1209" i="113"/>
  <c r="A1210" i="113"/>
  <c r="A1211" i="113"/>
  <c r="A1212" i="113"/>
  <c r="A1213" i="113"/>
  <c r="A1214" i="113"/>
  <c r="A1215" i="113"/>
  <c r="A1216" i="113"/>
  <c r="A1217" i="113"/>
  <c r="A1218" i="113"/>
  <c r="A1219" i="113"/>
  <c r="A1220" i="113"/>
  <c r="A1221" i="113"/>
  <c r="A1222" i="113"/>
  <c r="A1223" i="113"/>
  <c r="A1224" i="113"/>
  <c r="A1225" i="113"/>
  <c r="A1226" i="113"/>
  <c r="A1227" i="113"/>
  <c r="A1228" i="113"/>
  <c r="A1229" i="113"/>
  <c r="A1230" i="113"/>
  <c r="A1231" i="113"/>
  <c r="A1232" i="113"/>
  <c r="A1233" i="113"/>
  <c r="A1234" i="113"/>
  <c r="A1235" i="113"/>
  <c r="A1236" i="113"/>
  <c r="A1237" i="113"/>
  <c r="A1238" i="113"/>
  <c r="A1239" i="113"/>
  <c r="A1240" i="113"/>
  <c r="A1241" i="113"/>
  <c r="A1242" i="113"/>
  <c r="A1243" i="113"/>
  <c r="A1244" i="113"/>
  <c r="A1245" i="113"/>
  <c r="A1246" i="113"/>
  <c r="A1247" i="113"/>
  <c r="A1248" i="113"/>
  <c r="A1249" i="113"/>
  <c r="A1250" i="113"/>
  <c r="A1251" i="113"/>
  <c r="A1252" i="113"/>
  <c r="A1253" i="113"/>
  <c r="A1254" i="113"/>
  <c r="A1255" i="113"/>
  <c r="A1256" i="113"/>
  <c r="A1257" i="113"/>
  <c r="A1258" i="113"/>
  <c r="A1259" i="113"/>
  <c r="A1260" i="113"/>
  <c r="A1261" i="113"/>
  <c r="A1262" i="113"/>
  <c r="A1263" i="113"/>
  <c r="A1264" i="113"/>
  <c r="A1265" i="113"/>
  <c r="A1266" i="113"/>
  <c r="A1267" i="113"/>
  <c r="A1268" i="113"/>
  <c r="A1269" i="113"/>
  <c r="A1270" i="113"/>
  <c r="A1271" i="113"/>
  <c r="A1272" i="113"/>
  <c r="A1273" i="113"/>
  <c r="A1274" i="113"/>
  <c r="A1275" i="113"/>
  <c r="A1276" i="113"/>
  <c r="A1277" i="113"/>
  <c r="A1278" i="113"/>
  <c r="A1279" i="113"/>
  <c r="A1280" i="113"/>
  <c r="A1281" i="113"/>
  <c r="A1282" i="113"/>
  <c r="A1283" i="113"/>
  <c r="A1284" i="113"/>
  <c r="A1285" i="113"/>
  <c r="A1286" i="113"/>
  <c r="A1287" i="113"/>
  <c r="A1288" i="113"/>
  <c r="A1289" i="113"/>
  <c r="A1290" i="113"/>
  <c r="A1291" i="113"/>
  <c r="A1292" i="113"/>
  <c r="A1293" i="113"/>
  <c r="A1294" i="113"/>
  <c r="A1295" i="113"/>
  <c r="A1296" i="113"/>
  <c r="A1297" i="113"/>
  <c r="A1298" i="113"/>
  <c r="A1299" i="113"/>
  <c r="A1300" i="113"/>
  <c r="A1301" i="113"/>
  <c r="A1302" i="113"/>
  <c r="A1303" i="113"/>
  <c r="A1304" i="113"/>
  <c r="A1305" i="113"/>
  <c r="A1306" i="113"/>
  <c r="A1307" i="113"/>
  <c r="A1308" i="113"/>
  <c r="A1309" i="113"/>
  <c r="A1310" i="113"/>
  <c r="A1311" i="113"/>
  <c r="A1312" i="113"/>
  <c r="A1313" i="113"/>
  <c r="A1314" i="113"/>
  <c r="A1315" i="113"/>
  <c r="A1316" i="113"/>
  <c r="A1317" i="113"/>
  <c r="A1318" i="113"/>
  <c r="A1319" i="113"/>
  <c r="A1320" i="113"/>
  <c r="A1321" i="113"/>
  <c r="A1322" i="113"/>
  <c r="A1323" i="113"/>
  <c r="A1324" i="113"/>
  <c r="A1325" i="113"/>
  <c r="A1326" i="113"/>
  <c r="A1327" i="113"/>
  <c r="A1328" i="113"/>
  <c r="A1329" i="113"/>
  <c r="A1330" i="113"/>
  <c r="A1331" i="113"/>
  <c r="A1332" i="113"/>
  <c r="A1333" i="113"/>
  <c r="A1334" i="113"/>
  <c r="A1335" i="113"/>
  <c r="A1336" i="113"/>
  <c r="A1337" i="113"/>
  <c r="A1338" i="113"/>
  <c r="A1339" i="113"/>
  <c r="A1340" i="113"/>
  <c r="A1341" i="113"/>
  <c r="A1342" i="113"/>
  <c r="A1343" i="113"/>
  <c r="A1344" i="113"/>
  <c r="A1345" i="113"/>
  <c r="A1346" i="113"/>
  <c r="A1347" i="113"/>
  <c r="A1348" i="113"/>
  <c r="A1349" i="113"/>
  <c r="A1350" i="113"/>
  <c r="A1351" i="113"/>
  <c r="A1352" i="113"/>
  <c r="A1353" i="113"/>
  <c r="A1354" i="113"/>
  <c r="A1355" i="113"/>
  <c r="A1356" i="113"/>
  <c r="A1357" i="113"/>
  <c r="A1358" i="113"/>
  <c r="A1359" i="113"/>
  <c r="A1360" i="113"/>
  <c r="A1361" i="113"/>
  <c r="A1362" i="113"/>
  <c r="A1363" i="113"/>
  <c r="A1364" i="113"/>
  <c r="A1365" i="113"/>
  <c r="A1366" i="113"/>
  <c r="A1367" i="113"/>
  <c r="A1368" i="113"/>
  <c r="A1369" i="113"/>
  <c r="A1370" i="113"/>
  <c r="A1371" i="113"/>
  <c r="A1372" i="113"/>
  <c r="A1373" i="113"/>
  <c r="A1374" i="113"/>
  <c r="A1375" i="113"/>
  <c r="A1376" i="113"/>
  <c r="A1377" i="113"/>
  <c r="A1378" i="113"/>
  <c r="A1379" i="113"/>
  <c r="A1380" i="113"/>
  <c r="A1381" i="113"/>
  <c r="A1382" i="113"/>
  <c r="A1383" i="113"/>
  <c r="A1384" i="113"/>
  <c r="A1385" i="113"/>
  <c r="A1386" i="113"/>
  <c r="A1387" i="113"/>
  <c r="A1388" i="113"/>
  <c r="A1389" i="113"/>
  <c r="A1390" i="113"/>
  <c r="A1391" i="113"/>
  <c r="A1392" i="113"/>
  <c r="A1393" i="113"/>
  <c r="A1394" i="113"/>
  <c r="A1395" i="113"/>
  <c r="A1396" i="113"/>
  <c r="A1397" i="113"/>
  <c r="A1398" i="113"/>
  <c r="A1399" i="113"/>
  <c r="A1400" i="113"/>
  <c r="A1401" i="113"/>
  <c r="A1402" i="113"/>
  <c r="A1403" i="113"/>
  <c r="A1404" i="113"/>
  <c r="A1405" i="113"/>
  <c r="A1406" i="113"/>
  <c r="A1407" i="113"/>
  <c r="A1408" i="113"/>
  <c r="A1409" i="113"/>
  <c r="A1410" i="113"/>
  <c r="A1411" i="113"/>
  <c r="A1412" i="113"/>
  <c r="A1413" i="113"/>
  <c r="A1414" i="113"/>
  <c r="A1415" i="113"/>
  <c r="A1416" i="113"/>
  <c r="A1417" i="113"/>
  <c r="A1418" i="113"/>
  <c r="A1419" i="113"/>
  <c r="A1420" i="113"/>
  <c r="A1421" i="113"/>
  <c r="A1422" i="113"/>
  <c r="A1423" i="113"/>
  <c r="A1424" i="113"/>
  <c r="A1425" i="113"/>
  <c r="A1426" i="113"/>
  <c r="A1427" i="113"/>
  <c r="A1428" i="113"/>
  <c r="A1429" i="113"/>
  <c r="A1430" i="113"/>
  <c r="A1431" i="113"/>
  <c r="A1432" i="113"/>
  <c r="A1433" i="113"/>
  <c r="A1434" i="113"/>
  <c r="A1435" i="113"/>
  <c r="A1436" i="113"/>
  <c r="A1437" i="113"/>
  <c r="A1438" i="113"/>
  <c r="A1439" i="113"/>
  <c r="A1440" i="113"/>
  <c r="A1441" i="113"/>
  <c r="A1442" i="113"/>
  <c r="A1443" i="113"/>
  <c r="A1444" i="113"/>
  <c r="A1445" i="113"/>
  <c r="A1446" i="113"/>
  <c r="A1447" i="113"/>
  <c r="A1448" i="113"/>
  <c r="A1449" i="113"/>
  <c r="A1450" i="113"/>
  <c r="A1451" i="113"/>
  <c r="A1452" i="113"/>
  <c r="A1453" i="113"/>
  <c r="A1454" i="113"/>
  <c r="A1455" i="113"/>
  <c r="A1456" i="113"/>
  <c r="A1457" i="113"/>
  <c r="A1458" i="113"/>
  <c r="A1459" i="113"/>
  <c r="A1460" i="113"/>
  <c r="A1461" i="113"/>
  <c r="A1462" i="113"/>
  <c r="A1463" i="113"/>
  <c r="A1464" i="113"/>
  <c r="A1465" i="113"/>
  <c r="A1466" i="113"/>
  <c r="A1467" i="113"/>
  <c r="A1468" i="113"/>
  <c r="A1469" i="113"/>
  <c r="A1470" i="113"/>
  <c r="A1471" i="113"/>
  <c r="A1472" i="113"/>
  <c r="A1473" i="113"/>
  <c r="A1474" i="113"/>
  <c r="A1475" i="113"/>
  <c r="A1476" i="113"/>
  <c r="A1477" i="113"/>
  <c r="A1478" i="113"/>
  <c r="A1479" i="113"/>
  <c r="A1480" i="113"/>
  <c r="A1481" i="113"/>
  <c r="A1482" i="113"/>
  <c r="A1483" i="113"/>
  <c r="A1484" i="113"/>
  <c r="A1485" i="113"/>
  <c r="A1486" i="113"/>
  <c r="A1487" i="113"/>
  <c r="A1488" i="113"/>
  <c r="A1489" i="113"/>
  <c r="A1490" i="113"/>
  <c r="A1491" i="113"/>
  <c r="A1492" i="113"/>
  <c r="A1493" i="113"/>
  <c r="A1494" i="113"/>
  <c r="A1495" i="113"/>
  <c r="A1496" i="113"/>
  <c r="A1497" i="113"/>
  <c r="A1498" i="113"/>
  <c r="A1499" i="113"/>
  <c r="A1500" i="113"/>
  <c r="A1501" i="113"/>
  <c r="A1502" i="113"/>
  <c r="A1503" i="113"/>
  <c r="A1504" i="113"/>
  <c r="A1505" i="113"/>
  <c r="A1506" i="113"/>
  <c r="A1507" i="113"/>
  <c r="A1508" i="113"/>
  <c r="A1509" i="113"/>
  <c r="A1510" i="113"/>
  <c r="A1511" i="113"/>
  <c r="A1512" i="113"/>
  <c r="A1513" i="113"/>
  <c r="A1514" i="113"/>
  <c r="A1515" i="113"/>
  <c r="A1516" i="113"/>
  <c r="A1517" i="113"/>
  <c r="A1518" i="113"/>
  <c r="A1519" i="113"/>
  <c r="A1520" i="113"/>
  <c r="A1521" i="113"/>
  <c r="A1522" i="113"/>
  <c r="A1523" i="113"/>
  <c r="A1524" i="113"/>
  <c r="A1525" i="113"/>
  <c r="A1526" i="113"/>
  <c r="A1527" i="113"/>
  <c r="A1528" i="113"/>
  <c r="A1529" i="113"/>
  <c r="A1530" i="113"/>
  <c r="A1531" i="113"/>
  <c r="A1532" i="113"/>
  <c r="A1533" i="113"/>
  <c r="A1534" i="113"/>
  <c r="A1535" i="113"/>
  <c r="A1536" i="113"/>
  <c r="A1537" i="113"/>
  <c r="A1538" i="113"/>
  <c r="A1539" i="113"/>
  <c r="A1540" i="113"/>
  <c r="A1541" i="113"/>
  <c r="A1542" i="113"/>
  <c r="A1543" i="113"/>
  <c r="A1544" i="113"/>
  <c r="A1545" i="113"/>
  <c r="A1546" i="113"/>
  <c r="A1547" i="113"/>
  <c r="A1548" i="113"/>
  <c r="A1549" i="113"/>
  <c r="A1550" i="113"/>
  <c r="A1551" i="113"/>
  <c r="A1552" i="113"/>
  <c r="A1553" i="113"/>
  <c r="A1554" i="113"/>
  <c r="A1555" i="113"/>
  <c r="A1556" i="113"/>
  <c r="A1557" i="113"/>
  <c r="A1558" i="113"/>
  <c r="A1559" i="113"/>
  <c r="A1560" i="113"/>
  <c r="A1561" i="113"/>
  <c r="A1562" i="113"/>
  <c r="A1563" i="113"/>
  <c r="A1564" i="113"/>
  <c r="A1565" i="113"/>
  <c r="A1566" i="113"/>
  <c r="A1567" i="113"/>
  <c r="A1568" i="113"/>
  <c r="A1569" i="113"/>
  <c r="A1570" i="113"/>
  <c r="A1571" i="113"/>
  <c r="A1572" i="113"/>
  <c r="A1573" i="113"/>
  <c r="A1574" i="113"/>
  <c r="A1575" i="113"/>
  <c r="A1576" i="113"/>
  <c r="A1577" i="113"/>
  <c r="A1578" i="113"/>
  <c r="A1579" i="113"/>
  <c r="A1580" i="113"/>
  <c r="A1581" i="113"/>
  <c r="A1582" i="113"/>
  <c r="A1583" i="113"/>
  <c r="A1584" i="113"/>
  <c r="A1585" i="113"/>
  <c r="A1586" i="113"/>
  <c r="A1587" i="113"/>
  <c r="A1588" i="113"/>
  <c r="A1589" i="113"/>
  <c r="A1590" i="113"/>
  <c r="A1591" i="113"/>
  <c r="A1592" i="113"/>
  <c r="A1593" i="113"/>
  <c r="A1594" i="113"/>
  <c r="A1595" i="113"/>
  <c r="A1596" i="113"/>
  <c r="A1597" i="113"/>
  <c r="A1598" i="113"/>
  <c r="A1599" i="113"/>
  <c r="A1600" i="113"/>
  <c r="A1601" i="113"/>
  <c r="A1602" i="113"/>
  <c r="A1603" i="113"/>
  <c r="A1604" i="113"/>
  <c r="A1605" i="113"/>
  <c r="A1606" i="113"/>
  <c r="A1607" i="113"/>
  <c r="A1608" i="113"/>
  <c r="A1609" i="113"/>
  <c r="A1610" i="113"/>
  <c r="A1611" i="113"/>
  <c r="A1612" i="113"/>
  <c r="A1613" i="113"/>
  <c r="A1614" i="113"/>
  <c r="A1615" i="113"/>
  <c r="A1616" i="113"/>
  <c r="A1617" i="113"/>
  <c r="A1618" i="113"/>
  <c r="A1619" i="113"/>
  <c r="A1620" i="113"/>
  <c r="A1621" i="113"/>
  <c r="A1622" i="113"/>
  <c r="A1623" i="113"/>
  <c r="A1624" i="113"/>
  <c r="A1625" i="113"/>
  <c r="A1626" i="113"/>
  <c r="A1627" i="113"/>
  <c r="A1628" i="113"/>
  <c r="A1629" i="113"/>
  <c r="A1630" i="113"/>
  <c r="A1631" i="113"/>
  <c r="A1632" i="113"/>
  <c r="A1633" i="113"/>
  <c r="A1634" i="113"/>
  <c r="A1635" i="113"/>
  <c r="A1636" i="113"/>
  <c r="A1637" i="113"/>
  <c r="A1638" i="113"/>
  <c r="A1639" i="113"/>
  <c r="A1640" i="113"/>
  <c r="A1641" i="113"/>
  <c r="A1642" i="113"/>
  <c r="A1643" i="113"/>
  <c r="A1644" i="113"/>
  <c r="A1645" i="113"/>
  <c r="A1646" i="113"/>
  <c r="A1647" i="113"/>
  <c r="A1648" i="113"/>
  <c r="A1649" i="113"/>
  <c r="A1650" i="113"/>
  <c r="A1651" i="113"/>
  <c r="A1652" i="113"/>
  <c r="A1653" i="113"/>
  <c r="A1654" i="113"/>
  <c r="A1655" i="113"/>
  <c r="A1656" i="113"/>
  <c r="A1657" i="113"/>
  <c r="A1658" i="113"/>
  <c r="A1659" i="113"/>
  <c r="A1660" i="113"/>
  <c r="A1661" i="113"/>
  <c r="A1662" i="113"/>
  <c r="A1663" i="113"/>
  <c r="A1664" i="113"/>
  <c r="A1665" i="113"/>
  <c r="A1666" i="113"/>
  <c r="A1667" i="113"/>
  <c r="A1668" i="113"/>
  <c r="A1669" i="113"/>
  <c r="A1670" i="113"/>
  <c r="A1671" i="113"/>
  <c r="A1672" i="113"/>
  <c r="A1673" i="113"/>
  <c r="A1674" i="113"/>
  <c r="A1675" i="113"/>
  <c r="A1676" i="113"/>
  <c r="A1677" i="113"/>
  <c r="A1678" i="113"/>
  <c r="A1679" i="113"/>
  <c r="A1680" i="113"/>
  <c r="A1681" i="113"/>
  <c r="A1682" i="113"/>
  <c r="A1683" i="113"/>
  <c r="A1684" i="113"/>
  <c r="A1685" i="113"/>
  <c r="A1686" i="113"/>
  <c r="A1687" i="113"/>
  <c r="A1688" i="113"/>
  <c r="A1689" i="113"/>
  <c r="A1690" i="113"/>
  <c r="A1691" i="113"/>
  <c r="A141" i="113"/>
  <c r="A142" i="113"/>
  <c r="A143" i="113"/>
  <c r="A144" i="113"/>
  <c r="A145" i="113"/>
  <c r="A146" i="113"/>
  <c r="A147" i="113"/>
  <c r="A148" i="113"/>
  <c r="A149" i="113"/>
  <c r="A150" i="113"/>
  <c r="A151" i="113"/>
  <c r="A152" i="113"/>
  <c r="A153" i="113"/>
  <c r="A154" i="113"/>
  <c r="A155" i="113"/>
  <c r="A156" i="113"/>
  <c r="A157" i="113"/>
  <c r="A158" i="113"/>
  <c r="A159" i="113"/>
  <c r="A160" i="113"/>
  <c r="A161" i="113"/>
  <c r="A162" i="113"/>
  <c r="A163" i="113"/>
  <c r="A164" i="113"/>
  <c r="A165" i="113"/>
  <c r="A166" i="113"/>
  <c r="A167" i="113"/>
  <c r="A168" i="113"/>
  <c r="A169" i="113"/>
  <c r="A170" i="113"/>
  <c r="A171" i="113"/>
  <c r="A172" i="113"/>
  <c r="A173" i="113"/>
  <c r="A174" i="113"/>
  <c r="A175" i="113"/>
  <c r="A176" i="113"/>
  <c r="A177" i="113"/>
  <c r="A178" i="113"/>
  <c r="A179" i="113"/>
  <c r="A180" i="113"/>
  <c r="A181" i="113"/>
  <c r="A182" i="113"/>
  <c r="A183" i="113"/>
  <c r="A184" i="113"/>
  <c r="A185" i="113"/>
  <c r="A186" i="113"/>
  <c r="A187" i="113"/>
  <c r="A188" i="113"/>
  <c r="A189" i="113"/>
  <c r="A190" i="113"/>
  <c r="A191" i="113"/>
  <c r="A192" i="113"/>
  <c r="A193" i="113"/>
  <c r="A194" i="113"/>
  <c r="A195" i="113"/>
  <c r="A196" i="113"/>
  <c r="A197" i="113"/>
  <c r="A198" i="113"/>
  <c r="A199" i="113"/>
  <c r="A200" i="113"/>
  <c r="A201" i="113"/>
  <c r="A202" i="113"/>
  <c r="A203" i="113"/>
  <c r="A204" i="113"/>
  <c r="A205" i="113"/>
  <c r="A206" i="113"/>
  <c r="A207" i="113"/>
  <c r="A208" i="113"/>
  <c r="A209" i="113"/>
  <c r="A210" i="113"/>
  <c r="A211" i="113"/>
  <c r="A212" i="113"/>
  <c r="A213" i="113"/>
  <c r="A214" i="113"/>
  <c r="A215" i="113"/>
  <c r="A216" i="113"/>
  <c r="A217" i="113"/>
  <c r="A218" i="113"/>
  <c r="A219" i="113"/>
  <c r="A220" i="113"/>
  <c r="A221" i="113"/>
  <c r="A222" i="113"/>
  <c r="A223" i="113"/>
  <c r="A224" i="113"/>
  <c r="A225" i="113"/>
  <c r="A226" i="113"/>
  <c r="A227" i="113"/>
  <c r="A228" i="113"/>
  <c r="A229" i="113"/>
  <c r="A230" i="113"/>
  <c r="A231" i="113"/>
  <c r="A232" i="113"/>
  <c r="A233" i="113"/>
  <c r="A234" i="113"/>
  <c r="A235" i="113"/>
  <c r="A236" i="113"/>
  <c r="A237" i="113"/>
  <c r="A238" i="113"/>
  <c r="A239" i="113"/>
  <c r="A240" i="113"/>
  <c r="A241" i="113"/>
  <c r="A242" i="113"/>
  <c r="A243" i="113"/>
  <c r="A244" i="113"/>
  <c r="A245" i="113"/>
  <c r="A246" i="113"/>
  <c r="A247" i="113"/>
  <c r="A248" i="113"/>
  <c r="A249" i="113"/>
  <c r="A250" i="113"/>
  <c r="A251" i="113"/>
  <c r="A252" i="113"/>
  <c r="A253" i="113"/>
  <c r="A254" i="113"/>
  <c r="A255" i="113"/>
  <c r="A256" i="113"/>
  <c r="A257" i="113"/>
  <c r="A258" i="113"/>
  <c r="A259" i="113"/>
  <c r="A260" i="113"/>
  <c r="A261" i="113"/>
  <c r="A262" i="113"/>
  <c r="A263" i="113"/>
  <c r="A264" i="113"/>
  <c r="A265" i="113"/>
  <c r="A266" i="113"/>
  <c r="A267" i="113"/>
  <c r="A268" i="113"/>
  <c r="A269" i="113"/>
  <c r="A270" i="113"/>
  <c r="A271" i="113"/>
  <c r="A272" i="113"/>
  <c r="A273" i="113"/>
  <c r="A274" i="113"/>
  <c r="A275" i="113"/>
  <c r="A276" i="113"/>
  <c r="A277" i="113"/>
  <c r="A278" i="113"/>
  <c r="A279" i="113"/>
  <c r="A280" i="113"/>
  <c r="A281" i="113"/>
  <c r="A282" i="113"/>
  <c r="A283" i="113"/>
  <c r="A284" i="113"/>
  <c r="A285" i="113"/>
  <c r="A286" i="113"/>
  <c r="A287" i="113"/>
  <c r="A288" i="113"/>
  <c r="A289" i="113"/>
  <c r="A290" i="113"/>
  <c r="A291" i="113"/>
  <c r="A292" i="113"/>
  <c r="A293" i="113"/>
  <c r="A294" i="113"/>
  <c r="A295" i="113"/>
  <c r="A296" i="113"/>
  <c r="A297" i="113"/>
  <c r="A298" i="113"/>
  <c r="A299" i="113"/>
  <c r="A300" i="113"/>
  <c r="A301" i="113"/>
  <c r="A302" i="113"/>
  <c r="A303" i="113"/>
  <c r="A304" i="113"/>
  <c r="A305" i="113"/>
  <c r="A306" i="113"/>
  <c r="A307" i="113"/>
  <c r="A308" i="113"/>
  <c r="A309" i="113"/>
  <c r="A310" i="113"/>
  <c r="A311" i="113"/>
  <c r="A312" i="113"/>
  <c r="A313" i="113"/>
  <c r="A314" i="113"/>
  <c r="A315" i="113"/>
  <c r="A316" i="113"/>
  <c r="A128" i="113"/>
  <c r="A129" i="113"/>
  <c r="A130" i="113"/>
  <c r="A131" i="113"/>
  <c r="A132" i="113"/>
  <c r="A133" i="113"/>
  <c r="A134" i="113"/>
  <c r="A135" i="113"/>
  <c r="A136" i="113"/>
  <c r="A137" i="113"/>
  <c r="A138" i="113"/>
  <c r="A139" i="113"/>
  <c r="A140" i="113"/>
  <c r="A127" i="113"/>
  <c r="O107" i="113"/>
  <c r="N107" i="113"/>
  <c r="O106" i="113"/>
  <c r="O105" i="113"/>
  <c r="O104" i="113"/>
  <c r="O94" i="113"/>
  <c r="O93" i="113"/>
  <c r="O88" i="113"/>
  <c r="O87" i="113"/>
  <c r="O84" i="113"/>
  <c r="O83" i="113"/>
  <c r="O65" i="113"/>
  <c r="O62" i="113"/>
  <c r="O41" i="113"/>
  <c r="O37" i="113"/>
  <c r="O36" i="113"/>
  <c r="O27" i="113"/>
  <c r="O14" i="113"/>
  <c r="O10" i="113"/>
  <c r="C116" i="1" l="1"/>
  <c r="O6" i="113"/>
  <c r="C8" i="1"/>
  <c r="I8" i="1" s="1"/>
  <c r="M19" i="113"/>
  <c r="G24" i="1" s="1"/>
  <c r="M7" i="113"/>
  <c r="G12" i="1" s="1"/>
  <c r="M43" i="113"/>
  <c r="G48" i="1" s="1"/>
  <c r="M52" i="113"/>
  <c r="G57" i="1" s="1"/>
  <c r="I46" i="1"/>
  <c r="O99" i="113"/>
  <c r="M20" i="113"/>
  <c r="G25" i="1" s="1"/>
  <c r="M8" i="113"/>
  <c r="G13" i="1" s="1"/>
  <c r="M44" i="113"/>
  <c r="G49" i="1" s="1"/>
  <c r="M32" i="113"/>
  <c r="G37" i="1" s="1"/>
  <c r="O68" i="113"/>
  <c r="M53" i="113"/>
  <c r="G58" i="1" s="1"/>
  <c r="M57" i="113"/>
  <c r="G62" i="1" s="1"/>
  <c r="O96" i="113"/>
  <c r="M58" i="113"/>
  <c r="G63" i="1" s="1"/>
  <c r="M59" i="113"/>
  <c r="G64" i="1" s="1"/>
  <c r="M47" i="113"/>
  <c r="G52" i="1" s="1"/>
  <c r="M68" i="113"/>
  <c r="G73" i="1" s="1"/>
  <c r="M41" i="113"/>
  <c r="G46" i="1" s="1"/>
  <c r="M29" i="113"/>
  <c r="G34" i="1" s="1"/>
  <c r="M17" i="113"/>
  <c r="G22" i="1" s="1"/>
  <c r="M5" i="113"/>
  <c r="G10" i="1" s="1"/>
  <c r="M21" i="113"/>
  <c r="G26" i="1" s="1"/>
  <c r="M45" i="113"/>
  <c r="G50" i="1" s="1"/>
  <c r="M33" i="113"/>
  <c r="G38" i="1" s="1"/>
  <c r="M9" i="113"/>
  <c r="G14" i="1" s="1"/>
  <c r="M26" i="113"/>
  <c r="G31" i="1" s="1"/>
  <c r="M11" i="113"/>
  <c r="G16" i="1" s="1"/>
  <c r="M35" i="113"/>
  <c r="G40" i="1" s="1"/>
  <c r="M50" i="113"/>
  <c r="G55" i="1" s="1"/>
  <c r="M14" i="113"/>
  <c r="G19" i="1" s="1"/>
  <c r="M23" i="113"/>
  <c r="G28" i="1" s="1"/>
  <c r="M38" i="113"/>
  <c r="G43" i="1" s="1"/>
  <c r="O79" i="113"/>
  <c r="O11" i="113"/>
  <c r="O102" i="113"/>
  <c r="O98" i="113"/>
  <c r="O103" i="113"/>
  <c r="O100" i="113"/>
  <c r="O97" i="113"/>
  <c r="O80" i="113"/>
  <c r="O101" i="113"/>
  <c r="O44" i="113"/>
  <c r="O43" i="113"/>
  <c r="O5" i="113"/>
  <c r="O82" i="113"/>
  <c r="O81" i="113"/>
  <c r="M40" i="113"/>
  <c r="G45" i="1" s="1"/>
  <c r="M28" i="113"/>
  <c r="G33" i="1" s="1"/>
  <c r="M16" i="113"/>
  <c r="G21" i="1" s="1"/>
  <c r="M4" i="113"/>
  <c r="G9" i="1" s="1"/>
  <c r="M22" i="113"/>
  <c r="G27" i="1" s="1"/>
  <c r="M3" i="113"/>
  <c r="G8" i="1" s="1"/>
  <c r="M42" i="113"/>
  <c r="G47" i="1" s="1"/>
  <c r="M30" i="113"/>
  <c r="G35" i="1" s="1"/>
  <c r="M18" i="113"/>
  <c r="G23" i="1" s="1"/>
  <c r="M6" i="113"/>
  <c r="G11" i="1" s="1"/>
  <c r="M48" i="113"/>
  <c r="G53" i="1" s="1"/>
  <c r="M36" i="113"/>
  <c r="G41" i="1" s="1"/>
  <c r="M24" i="113"/>
  <c r="G29" i="1" s="1"/>
  <c r="M39" i="113"/>
  <c r="G44" i="1" s="1"/>
  <c r="M12" i="113"/>
  <c r="G17" i="1" s="1"/>
  <c r="E8" i="1"/>
  <c r="M27" i="113"/>
  <c r="G32" i="1" s="1"/>
  <c r="M15" i="113"/>
  <c r="G20" i="1" s="1"/>
  <c r="M60" i="113"/>
  <c r="G65" i="1" s="1"/>
  <c r="M74" i="113"/>
  <c r="G79" i="1" s="1"/>
  <c r="M31" i="113"/>
  <c r="G36" i="1" s="1"/>
  <c r="M69" i="113"/>
  <c r="G74" i="1" s="1"/>
  <c r="M56" i="113"/>
  <c r="G61" i="1" s="1"/>
  <c r="M54" i="113"/>
  <c r="G59" i="1" s="1"/>
  <c r="M98" i="113"/>
  <c r="G103" i="1" s="1"/>
  <c r="M64" i="113"/>
  <c r="G69" i="1" s="1"/>
  <c r="M71" i="113"/>
  <c r="G76" i="1" s="1"/>
  <c r="M79" i="113"/>
  <c r="G84" i="1" s="1"/>
  <c r="M62" i="113"/>
  <c r="G67" i="1" s="1"/>
  <c r="M86" i="113"/>
  <c r="G91" i="1" s="1"/>
  <c r="M10" i="113"/>
  <c r="G15" i="1" s="1"/>
  <c r="M73" i="113"/>
  <c r="G78" i="1" s="1"/>
  <c r="M78" i="113"/>
  <c r="G83" i="1" s="1"/>
  <c r="M13" i="113"/>
  <c r="G18" i="1" s="1"/>
  <c r="M46" i="113"/>
  <c r="G51" i="1" s="1"/>
  <c r="M34" i="113"/>
  <c r="G39" i="1" s="1"/>
  <c r="M83" i="113"/>
  <c r="G88" i="1" s="1"/>
  <c r="M75" i="113"/>
  <c r="G80" i="1" s="1"/>
  <c r="J108" i="113"/>
  <c r="M61" i="113"/>
  <c r="G66" i="1" s="1"/>
  <c r="M49" i="113"/>
  <c r="G54" i="1" s="1"/>
  <c r="M55" i="113"/>
  <c r="G60" i="1" s="1"/>
  <c r="M25" i="113"/>
  <c r="G30" i="1" s="1"/>
  <c r="M65" i="113"/>
  <c r="G70" i="1" s="1"/>
  <c r="M66" i="113"/>
  <c r="G71" i="1" s="1"/>
  <c r="M51" i="113"/>
  <c r="G56" i="1" s="1"/>
  <c r="M103" i="113"/>
  <c r="G108" i="1" s="1"/>
  <c r="M37" i="113"/>
  <c r="G42" i="1" s="1"/>
  <c r="E18" i="1"/>
  <c r="L115" i="113"/>
  <c r="F120" i="1" s="1"/>
  <c r="K108" i="113"/>
  <c r="I115" i="113"/>
  <c r="C120" i="1" s="1"/>
  <c r="M63" i="113"/>
  <c r="G68" i="1" s="1"/>
  <c r="M81" i="113"/>
  <c r="G86" i="1" s="1"/>
  <c r="M80" i="113"/>
  <c r="G85" i="1" s="1"/>
  <c r="M102" i="113"/>
  <c r="G107" i="1" s="1"/>
  <c r="F83" i="1"/>
  <c r="M84" i="113"/>
  <c r="G89" i="1" s="1"/>
  <c r="L108" i="113"/>
  <c r="M93" i="113"/>
  <c r="G98" i="1" s="1"/>
  <c r="M104" i="113"/>
  <c r="G109" i="1" s="1"/>
  <c r="I38" i="1"/>
  <c r="I14" i="1"/>
  <c r="M101" i="113"/>
  <c r="G106" i="1" s="1"/>
  <c r="M77" i="113"/>
  <c r="G82" i="1" s="1"/>
  <c r="I63" i="1"/>
  <c r="I108" i="113"/>
  <c r="O26" i="113"/>
  <c r="M76" i="113"/>
  <c r="G81" i="1" s="1"/>
  <c r="M96" i="113"/>
  <c r="G101" i="1" s="1"/>
  <c r="I62" i="1"/>
  <c r="I69" i="1"/>
  <c r="M85" i="113"/>
  <c r="G90" i="1" s="1"/>
  <c r="J114" i="113"/>
  <c r="D119" i="1" s="1"/>
  <c r="M100" i="113"/>
  <c r="G105" i="1" s="1"/>
  <c r="I25" i="1"/>
  <c r="O45" i="113"/>
  <c r="M82" i="113"/>
  <c r="G87" i="1" s="1"/>
  <c r="I53" i="1"/>
  <c r="M88" i="113"/>
  <c r="G93" i="1" s="1"/>
  <c r="M91" i="113"/>
  <c r="G96" i="1" s="1"/>
  <c r="O42" i="113"/>
  <c r="M94" i="113"/>
  <c r="G99" i="1" s="1"/>
  <c r="I58" i="1"/>
  <c r="L112" i="113"/>
  <c r="F117" i="1" s="1"/>
  <c r="K112" i="113"/>
  <c r="E117" i="1" s="1"/>
  <c r="I39" i="1"/>
  <c r="M92" i="113"/>
  <c r="G97" i="1" s="1"/>
  <c r="M70" i="113"/>
  <c r="G75" i="1" s="1"/>
  <c r="I104" i="1"/>
  <c r="I47" i="1"/>
  <c r="I35" i="1"/>
  <c r="I34" i="1"/>
  <c r="I89" i="1"/>
  <c r="M89" i="113"/>
  <c r="G94" i="1" s="1"/>
  <c r="I76" i="1"/>
  <c r="M90" i="113"/>
  <c r="G95" i="1" s="1"/>
  <c r="O48" i="113"/>
  <c r="I114" i="113"/>
  <c r="C119" i="1" s="1"/>
  <c r="M99" i="113"/>
  <c r="G104" i="1" s="1"/>
  <c r="I111" i="1"/>
  <c r="I74" i="1"/>
  <c r="I66" i="1"/>
  <c r="I98" i="1"/>
  <c r="I27" i="1"/>
  <c r="K114" i="113"/>
  <c r="E119" i="1" s="1"/>
  <c r="I36" i="1"/>
  <c r="I57" i="1"/>
  <c r="I92" i="1"/>
  <c r="I87" i="1"/>
  <c r="I102" i="1"/>
  <c r="I61" i="1"/>
  <c r="I42" i="1"/>
  <c r="I60" i="1"/>
  <c r="I12" i="1"/>
  <c r="I83" i="1"/>
  <c r="I70" i="1"/>
  <c r="I77" i="1"/>
  <c r="I54" i="1"/>
  <c r="I32" i="1"/>
  <c r="I100" i="1"/>
  <c r="I30" i="1"/>
  <c r="I75" i="1"/>
  <c r="I78" i="1"/>
  <c r="I99" i="1"/>
  <c r="I28" i="1"/>
  <c r="I59" i="1"/>
  <c r="I17" i="1"/>
  <c r="I24" i="1"/>
  <c r="I85" i="1"/>
  <c r="I84" i="1"/>
  <c r="I52" i="1"/>
  <c r="I65" i="1"/>
  <c r="I72" i="1"/>
  <c r="I45" i="1"/>
  <c r="I21" i="1"/>
  <c r="I16" i="1"/>
  <c r="I37" i="1"/>
  <c r="I31" i="1"/>
  <c r="I10" i="1"/>
  <c r="I43" i="1"/>
  <c r="I80" i="1"/>
  <c r="O95" i="113"/>
  <c r="I33" i="1"/>
  <c r="N115" i="113"/>
  <c r="H120" i="1" s="1"/>
  <c r="I50" i="1"/>
  <c r="I107" i="1"/>
  <c r="I81" i="1"/>
  <c r="I94" i="1"/>
  <c r="I51" i="1"/>
  <c r="I108" i="1"/>
  <c r="O77" i="113"/>
  <c r="O73" i="113"/>
  <c r="O39" i="113"/>
  <c r="O24" i="113"/>
  <c r="I93" i="1"/>
  <c r="O72" i="113"/>
  <c r="I79" i="1"/>
  <c r="O54" i="113"/>
  <c r="O51" i="113"/>
  <c r="O7" i="113"/>
  <c r="I41" i="1"/>
  <c r="I90" i="1"/>
  <c r="I13" i="1"/>
  <c r="I88" i="1"/>
  <c r="I103" i="1"/>
  <c r="I91" i="1"/>
  <c r="I67" i="1"/>
  <c r="O8" i="113"/>
  <c r="I23" i="1"/>
  <c r="I56" i="1"/>
  <c r="I44" i="1"/>
  <c r="O50" i="113"/>
  <c r="I71" i="1"/>
  <c r="I55" i="1"/>
  <c r="O71" i="113"/>
  <c r="O58" i="113"/>
  <c r="O52" i="113"/>
  <c r="O38" i="113"/>
  <c r="O29" i="113"/>
  <c r="O22" i="113"/>
  <c r="O33" i="113"/>
  <c r="I68" i="1"/>
  <c r="I109" i="1"/>
  <c r="I113" i="113"/>
  <c r="L114" i="113"/>
  <c r="N112" i="113"/>
  <c r="H117" i="1" s="1"/>
  <c r="K111" i="113"/>
  <c r="E116" i="1" s="1"/>
  <c r="O60" i="113"/>
  <c r="O53" i="113"/>
  <c r="O40" i="113"/>
  <c r="O30" i="113"/>
  <c r="O23" i="113"/>
  <c r="O64" i="113"/>
  <c r="I110" i="1"/>
  <c r="I86" i="1"/>
  <c r="M97" i="113"/>
  <c r="G102" i="1" s="1"/>
  <c r="O70" i="113"/>
  <c r="O57" i="113"/>
  <c r="O47" i="113"/>
  <c r="O34" i="113"/>
  <c r="O25" i="113"/>
  <c r="O20" i="113"/>
  <c r="I15" i="1"/>
  <c r="I96" i="1"/>
  <c r="I40" i="1"/>
  <c r="I95" i="1"/>
  <c r="L111" i="113"/>
  <c r="F116" i="1" s="1"/>
  <c r="I112" i="113"/>
  <c r="J112" i="113"/>
  <c r="N114" i="113"/>
  <c r="H119" i="1" s="1"/>
  <c r="N113" i="113"/>
  <c r="H118" i="1" s="1"/>
  <c r="J115" i="113"/>
  <c r="D120" i="1" s="1"/>
  <c r="N15" i="113"/>
  <c r="H20" i="1" s="1"/>
  <c r="I20" i="1" s="1"/>
  <c r="O92" i="113"/>
  <c r="O61" i="113"/>
  <c r="O55" i="113"/>
  <c r="O46" i="113"/>
  <c r="O31" i="113"/>
  <c r="I49" i="1"/>
  <c r="M87" i="113"/>
  <c r="G92" i="1" s="1"/>
  <c r="O86" i="113"/>
  <c r="O59" i="113"/>
  <c r="O49" i="113"/>
  <c r="O35" i="113"/>
  <c r="O28" i="113"/>
  <c r="O21" i="113"/>
  <c r="M67" i="113"/>
  <c r="G72" i="1" s="1"/>
  <c r="N13" i="113"/>
  <c r="J111" i="113"/>
  <c r="O66" i="113"/>
  <c r="D75" i="1"/>
  <c r="D113" i="1" s="1"/>
  <c r="G108" i="113"/>
  <c r="I48" i="1"/>
  <c r="O67" i="113"/>
  <c r="O76" i="113"/>
  <c r="O75" i="113"/>
  <c r="O69" i="113"/>
  <c r="O19" i="113"/>
  <c r="O18" i="113"/>
  <c r="O15" i="113"/>
  <c r="O13" i="113"/>
  <c r="O12" i="113"/>
  <c r="O9" i="113"/>
  <c r="O4" i="113"/>
  <c r="O3" i="113"/>
  <c r="O91" i="113"/>
  <c r="O63" i="113"/>
  <c r="O78" i="113"/>
  <c r="O56" i="113"/>
  <c r="O32" i="113"/>
  <c r="O16" i="113"/>
  <c r="O4078" i="113"/>
  <c r="O85" i="113"/>
  <c r="O17" i="113"/>
  <c r="O74" i="113"/>
  <c r="M4078" i="113"/>
  <c r="O89" i="113"/>
  <c r="O90" i="113"/>
  <c r="I29" i="1"/>
  <c r="I26" i="1"/>
  <c r="I106" i="1"/>
  <c r="I19" i="1"/>
  <c r="I9" i="1"/>
  <c r="I105" i="1"/>
  <c r="I82" i="1"/>
  <c r="I73" i="1"/>
  <c r="F110" i="1"/>
  <c r="M105" i="113"/>
  <c r="G110" i="1" s="1"/>
  <c r="C64" i="1"/>
  <c r="I64" i="1" s="1"/>
  <c r="I101" i="1"/>
  <c r="J113" i="113"/>
  <c r="K115" i="113"/>
  <c r="I22" i="1"/>
  <c r="M72" i="113"/>
  <c r="K113" i="113"/>
  <c r="E70" i="1"/>
  <c r="M95" i="113"/>
  <c r="G100" i="1" s="1"/>
  <c r="I11" i="1"/>
  <c r="I97" i="1"/>
  <c r="M106" i="113"/>
  <c r="G111" i="1" s="1"/>
  <c r="L113" i="113"/>
  <c r="F70" i="1"/>
  <c r="I116" i="113" l="1"/>
  <c r="I120" i="1"/>
  <c r="E113" i="1"/>
  <c r="O115" i="113"/>
  <c r="N108" i="113"/>
  <c r="H18" i="1"/>
  <c r="N111" i="113"/>
  <c r="M112" i="113"/>
  <c r="G117" i="1" s="1"/>
  <c r="D117" i="1"/>
  <c r="C117" i="1"/>
  <c r="O112" i="113"/>
  <c r="F119" i="1"/>
  <c r="M114" i="113"/>
  <c r="G119" i="1" s="1"/>
  <c r="O114" i="113"/>
  <c r="F113" i="1"/>
  <c r="M111" i="113"/>
  <c r="G116" i="1" s="1"/>
  <c r="D116" i="1"/>
  <c r="C118" i="1"/>
  <c r="I118" i="1" s="1"/>
  <c r="O113" i="113"/>
  <c r="I119" i="1"/>
  <c r="C113" i="1"/>
  <c r="G77" i="1"/>
  <c r="G113" i="1" s="1"/>
  <c r="M108" i="113"/>
  <c r="F118" i="1"/>
  <c r="L116" i="113"/>
  <c r="E118" i="1"/>
  <c r="K116" i="113"/>
  <c r="O108" i="113"/>
  <c r="E120" i="1"/>
  <c r="M115" i="113"/>
  <c r="G120" i="1" s="1"/>
  <c r="D118" i="1"/>
  <c r="M113" i="113"/>
  <c r="J116" i="113"/>
  <c r="D121" i="1" l="1"/>
  <c r="I117" i="1"/>
  <c r="C121" i="1"/>
  <c r="N116" i="113"/>
  <c r="H116" i="1"/>
  <c r="O111" i="113"/>
  <c r="O116" i="113" s="1"/>
  <c r="F121" i="1"/>
  <c r="I18" i="1"/>
  <c r="I113" i="1" s="1"/>
  <c r="H113" i="1"/>
  <c r="G118" i="1"/>
  <c r="G121" i="1" s="1"/>
  <c r="M116" i="113"/>
  <c r="E121" i="1"/>
  <c r="H121" i="1" l="1"/>
  <c r="I116" i="1"/>
  <c r="I121" i="1" s="1"/>
  <c r="O119" i="113"/>
  <c r="O4122" i="113"/>
  <c r="I126" i="1"/>
  <c r="I127" i="1" s="1"/>
  <c r="O4128" i="113"/>
  <c r="O121" i="113"/>
  <c r="O122" i="1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 Louis, Patricia</author>
  </authors>
  <commentList>
    <comment ref="N2148" authorId="0" shapeId="0" xr:uid="{55A32740-8777-4C18-98CF-03D37F2DBE60}">
      <text>
        <r>
          <rPr>
            <b/>
            <sz val="9"/>
            <color indexed="81"/>
            <rFont val="Tahoma"/>
            <family val="2"/>
          </rPr>
          <t>St. Louis, Patricia:</t>
        </r>
        <r>
          <rPr>
            <sz val="9"/>
            <color indexed="81"/>
            <rFont val="Tahoma"/>
            <family val="2"/>
          </rPr>
          <t xml:space="preserve">
800+350K GRANTS ESSER 21056</t>
        </r>
      </text>
    </comment>
  </commentList>
</comments>
</file>

<file path=xl/sharedStrings.xml><?xml version="1.0" encoding="utf-8"?>
<sst xmlns="http://schemas.openxmlformats.org/spreadsheetml/2006/main" count="21908" uniqueCount="2350">
  <si>
    <t>BRIDGEPORT PUBLIC SCHOOLS</t>
  </si>
  <si>
    <t>Year</t>
  </si>
  <si>
    <t>Description</t>
  </si>
  <si>
    <t>Amount</t>
  </si>
  <si>
    <t>FY 12</t>
  </si>
  <si>
    <t>Budget Appropriation</t>
  </si>
  <si>
    <t>City Contribution</t>
  </si>
  <si>
    <t>FY 13</t>
  </si>
  <si>
    <t>……Amount of Increase</t>
  </si>
  <si>
    <t>[State Mandate = $3,649,575]</t>
  </si>
  <si>
    <t>Increase</t>
  </si>
  <si>
    <t>STATE TOTAL =</t>
  </si>
  <si>
    <t>Alliance/ECS grant</t>
  </si>
  <si>
    <t>Amount/Percentage of Increase:</t>
  </si>
  <si>
    <t>FY 14</t>
  </si>
  <si>
    <t xml:space="preserve">BUDGET APPROPRIATION </t>
  </si>
  <si>
    <t xml:space="preserve">City Contribution </t>
  </si>
  <si>
    <t>*</t>
  </si>
  <si>
    <t xml:space="preserve">……* BOE expenditures for Crossing Guards/Snow Removal/Garbage Collection were moved to the City budget (2011-12). </t>
  </si>
  <si>
    <t>……* The City committed $1,019,400 by reducing the BOE's contribution for Worker's Compensation.</t>
  </si>
  <si>
    <t>To be continued in future years.</t>
  </si>
  <si>
    <t>MBR</t>
  </si>
  <si>
    <t>Amount in Operating Budget =</t>
  </si>
  <si>
    <t>..Adjusted Credit in MBR for "Moved Services"</t>
  </si>
  <si>
    <t>State Grant to the City, for appropriation in the City Share.</t>
  </si>
  <si>
    <t>..Internal adjustment: releases $1M from workers compensation</t>
  </si>
  <si>
    <t>W/C Reduction - Internal Adjustment</t>
  </si>
  <si>
    <t>..State Alliance Grant</t>
  </si>
  <si>
    <t>Adjusted Credit, "Moved Services"</t>
  </si>
  <si>
    <t>..CASH AMOUNT IN MUNIS</t>
  </si>
  <si>
    <t>TOTAL</t>
  </si>
  <si>
    <t>MBR Shortage: FY 13 Appropriation - FY 14 Budget</t>
  </si>
  <si>
    <t>…BUDGET PLAN, WITH ALLIANCE</t>
  </si>
  <si>
    <t>FY 15</t>
  </si>
  <si>
    <t>State: $700,000; City: $500,000</t>
  </si>
  <si>
    <t>..CASH AMOUNT EXPECTED IN MUNIS</t>
  </si>
  <si>
    <t>..Adjusted for MBR funds not received in 2014-15</t>
  </si>
  <si>
    <t>..FINAL CASH AMOUNT IN MUNIS</t>
  </si>
  <si>
    <t>..IN-KIND AMOUNT CREDITED TO MBR</t>
  </si>
  <si>
    <t>.+.</t>
  </si>
  <si>
    <t>…MBR AMOUNT</t>
  </si>
  <si>
    <t>FY 16</t>
  </si>
  <si>
    <t>BUDGET APPROPRIATION</t>
  </si>
  <si>
    <t>2014-15</t>
  </si>
  <si>
    <t>Amount not received in 2014-15</t>
  </si>
  <si>
    <t>&gt;</t>
  </si>
  <si>
    <t xml:space="preserve">     FY15 Total Budget=</t>
  </si>
  <si>
    <t>[excluding Alliance]</t>
  </si>
  <si>
    <t>Reduce by $2.1M, total prior credit for in-kind services</t>
  </si>
  <si>
    <t>Adjusted City Base =</t>
  </si>
  <si>
    <t>City Addition</t>
  </si>
  <si>
    <t>2015-16</t>
  </si>
  <si>
    <t>F/T Nurses &amp; Inteventionists</t>
  </si>
  <si>
    <t>Cash</t>
  </si>
  <si>
    <t>Total</t>
  </si>
  <si>
    <t>*NOTE:</t>
  </si>
  <si>
    <t>The City Addition, $3.8M, includes a minimum of $1.5M in cash and in-kind services billable by the City up to the amount calculated below:</t>
  </si>
  <si>
    <t>The lesser amount of:  $2,290,691 or ($3.8M  Minus  Final MBR)</t>
  </si>
  <si>
    <t>Billable in-kind services = Worker's Compensation, Crossing Guards, Snow Removal, Refuse Collection.</t>
  </si>
  <si>
    <t>TOTAL BOE APPROPRIATION</t>
  </si>
  <si>
    <t>IN MUNIS</t>
  </si>
  <si>
    <t>……Amount of Increase (Cash)</t>
  </si>
  <si>
    <t>**Est</t>
  </si>
  <si>
    <t>&gt; Adjusted as noted</t>
  </si>
  <si>
    <t>** NOTE:</t>
  </si>
  <si>
    <t>…MBR AMOUNT [Cash amount expected in MUNIS]</t>
  </si>
  <si>
    <t>The MBR amount is projected at $1.5M, subject to final calculation by the State.</t>
  </si>
  <si>
    <t>If the Final MBR is higher than $1.5M, the amount in excess of $1.5M  will be deducted from the set-aside for billable in-kind services [$2,290,691].</t>
  </si>
  <si>
    <t>FY 17</t>
  </si>
  <si>
    <t>**</t>
  </si>
  <si>
    <t>Decrease</t>
  </si>
  <si>
    <t>...Cash amount expected in MUNIS</t>
  </si>
  <si>
    <t>ACTUAL:</t>
  </si>
  <si>
    <t>The City amount includes billable services:</t>
  </si>
  <si>
    <t>Maximum: $2,290,691</t>
  </si>
  <si>
    <t>The billable in-kind services consist of:  Worker's Compensation, Crossing Guards, Snow Removal, Refuse Collection.</t>
  </si>
  <si>
    <t>*FY17 State ECS/Alliance</t>
  </si>
  <si>
    <r>
      <t>12-29-16: The CSDE announced an unanticipated midyear reduction in ECS/Alliance =</t>
    </r>
    <r>
      <rPr>
        <b/>
        <sz val="10"/>
        <color rgb="FFFF0000"/>
        <rFont val="Calibri"/>
        <family val="2"/>
      </rPr>
      <t xml:space="preserve"> - $250,000.  </t>
    </r>
  </si>
  <si>
    <r>
      <t xml:space="preserve">Prior reduction in ECS/Alliance for 2017-18 = </t>
    </r>
    <r>
      <rPr>
        <b/>
        <sz val="10"/>
        <color rgb="FFFF0000"/>
        <rFont val="Calibri"/>
        <family val="2"/>
      </rPr>
      <t>- $911,334.</t>
    </r>
  </si>
  <si>
    <r>
      <t xml:space="preserve">Total ECS/Alliance Reduction = </t>
    </r>
    <r>
      <rPr>
        <b/>
        <sz val="10"/>
        <color rgb="FFFF0000"/>
        <rFont val="Calibri"/>
        <family val="2"/>
      </rPr>
      <t>- $1,161,334.</t>
    </r>
  </si>
  <si>
    <t>FINAL ECS/Alliance Allocation = $16,910,046.</t>
  </si>
  <si>
    <t>[From FY16 = $18,071,380 to FY17 = $16,910,046]</t>
  </si>
  <si>
    <t>FY18</t>
  </si>
  <si>
    <t>^</t>
  </si>
  <si>
    <t>…Amount expected in MUNIS</t>
  </si>
  <si>
    <t>The City amount includes $394,393 for refuse collection and snow removal, to be managed by the Board of Education.</t>
  </si>
  <si>
    <t>Refuse Collection</t>
  </si>
  <si>
    <t>Snow Removal</t>
  </si>
  <si>
    <t>Total =</t>
  </si>
  <si>
    <t>On 11-17-17, the Governor announced a ECS holdback of $250,000.</t>
  </si>
  <si>
    <t>FY19</t>
  </si>
  <si>
    <t>The City amount includes $394,393 for refuse collection and snow removal, which is managed by the Board of Education.</t>
  </si>
  <si>
    <t>FINANCIAL CONDITION REPORT</t>
  </si>
  <si>
    <t>As of</t>
  </si>
  <si>
    <t>ACCOUNT</t>
  </si>
  <si>
    <t>DESCRIPTION</t>
  </si>
  <si>
    <t>FTE</t>
  </si>
  <si>
    <t>ENCUMBERED</t>
  </si>
  <si>
    <t>EXPENDED</t>
  </si>
  <si>
    <t>TOTAL YTD</t>
  </si>
  <si>
    <t>FORECAST</t>
  </si>
  <si>
    <t>VARIANCE</t>
  </si>
  <si>
    <t>Principals/Supervisors</t>
  </si>
  <si>
    <t>Elementary Classroom</t>
  </si>
  <si>
    <t>Substitutes</t>
  </si>
  <si>
    <t>Paraprofessionals</t>
  </si>
  <si>
    <t>School Clericals</t>
  </si>
  <si>
    <t>Instructional Supplies</t>
  </si>
  <si>
    <t>Supplementary Supplies</t>
  </si>
  <si>
    <t>High School Textbooks</t>
  </si>
  <si>
    <t>Elementary Textbooks</t>
  </si>
  <si>
    <t>Kindergarten Teachers</t>
  </si>
  <si>
    <t>Bilingual Education</t>
  </si>
  <si>
    <t>Bilingual Aides</t>
  </si>
  <si>
    <t>World Languages</t>
  </si>
  <si>
    <t>Visual Arts</t>
  </si>
  <si>
    <t>Performing Arts</t>
  </si>
  <si>
    <t>English</t>
  </si>
  <si>
    <t>Mathematics</t>
  </si>
  <si>
    <t>Science</t>
  </si>
  <si>
    <t>Social Studies</t>
  </si>
  <si>
    <t>Physical Education</t>
  </si>
  <si>
    <t>Health</t>
  </si>
  <si>
    <t>Family/Consumer Science</t>
  </si>
  <si>
    <t>Technology Education</t>
  </si>
  <si>
    <t>Business Education</t>
  </si>
  <si>
    <t>Academic Intervention</t>
  </si>
  <si>
    <t>Talented &amp; Gifted</t>
  </si>
  <si>
    <t>Homebound</t>
  </si>
  <si>
    <t>Special Education</t>
  </si>
  <si>
    <t>SPED Administrators</t>
  </si>
  <si>
    <t>SPED Aides</t>
  </si>
  <si>
    <t>SPED Clericals</t>
  </si>
  <si>
    <t>Extended School Year/SPED</t>
  </si>
  <si>
    <t>Hearing</t>
  </si>
  <si>
    <t>Alternative Education</t>
  </si>
  <si>
    <t>School Support Positions</t>
  </si>
  <si>
    <t>Aquaculture</t>
  </si>
  <si>
    <t>Aquaculture Support Staff</t>
  </si>
  <si>
    <t>Agriculture</t>
  </si>
  <si>
    <t>Magnet High School</t>
  </si>
  <si>
    <t>Discovery Magnet</t>
  </si>
  <si>
    <t>"6 to 6" Magnet School</t>
  </si>
  <si>
    <t>Reg Ctr Performing Arts</t>
  </si>
  <si>
    <t>Educational Technology</t>
  </si>
  <si>
    <t>Athletics</t>
  </si>
  <si>
    <t>Intramurals</t>
  </si>
  <si>
    <t>Extracurricular, HS</t>
  </si>
  <si>
    <t>Adult Education</t>
  </si>
  <si>
    <t>Adult Ed Security</t>
  </si>
  <si>
    <t>Adult Ed Custodial</t>
  </si>
  <si>
    <t>Summer School</t>
  </si>
  <si>
    <t>Fringes</t>
  </si>
  <si>
    <t>Directors &amp; Supervisors</t>
  </si>
  <si>
    <t>Clericals</t>
  </si>
  <si>
    <t>Social Workers</t>
  </si>
  <si>
    <t>Psychologists</t>
  </si>
  <si>
    <t>Guidance Counselors</t>
  </si>
  <si>
    <t>Speech/Language</t>
  </si>
  <si>
    <t>Speech/Language Paras</t>
  </si>
  <si>
    <t>School Media Specialists</t>
  </si>
  <si>
    <t>School Media Paraprofessionals</t>
  </si>
  <si>
    <t>School Nurses</t>
  </si>
  <si>
    <t>Occupational Therapy</t>
  </si>
  <si>
    <t>Attendance and Truancy</t>
  </si>
  <si>
    <t>BOE Administration</t>
  </si>
  <si>
    <t>BOE Administration Clericals</t>
  </si>
  <si>
    <t>Legal Services</t>
  </si>
  <si>
    <t>Human Resources</t>
  </si>
  <si>
    <t>Pupil Services/Stud Assign</t>
  </si>
  <si>
    <t>Student Data Support</t>
  </si>
  <si>
    <t>Business Office</t>
  </si>
  <si>
    <t>Business Office Clericals</t>
  </si>
  <si>
    <t>Payroll</t>
  </si>
  <si>
    <t>Stockroom</t>
  </si>
  <si>
    <t>Technology</t>
  </si>
  <si>
    <t>Transportation Office</t>
  </si>
  <si>
    <t>Transportation</t>
  </si>
  <si>
    <t>Charter Schools</t>
  </si>
  <si>
    <t>SPED Transportation</t>
  </si>
  <si>
    <t>Parochial/Non-public</t>
  </si>
  <si>
    <t>SPED Charter Schools</t>
  </si>
  <si>
    <t>School Crossing Guards</t>
  </si>
  <si>
    <t>Security Administration</t>
  </si>
  <si>
    <t>Security Clericals</t>
  </si>
  <si>
    <t>Security</t>
  </si>
  <si>
    <t>Security-Lighthouse</t>
  </si>
  <si>
    <t>Security-Night Recreation</t>
  </si>
  <si>
    <t>Facilities Administration</t>
  </si>
  <si>
    <t>Facilities Clericals</t>
  </si>
  <si>
    <t>Trades</t>
  </si>
  <si>
    <t>Custodians</t>
  </si>
  <si>
    <t>Custodians-Lighthouse</t>
  </si>
  <si>
    <t>Custodians-Night Recreation</t>
  </si>
  <si>
    <t>PT Custodians</t>
  </si>
  <si>
    <t>Fringe Janitors &amp; Engineer Ret</t>
  </si>
  <si>
    <t>Custodial Services</t>
  </si>
  <si>
    <t>Utilities</t>
  </si>
  <si>
    <t>Refuse and Cycling</t>
  </si>
  <si>
    <t>Operating Building Services</t>
  </si>
  <si>
    <t>Regulatory Compliance</t>
  </si>
  <si>
    <t>Vehicle Maintenance (Facilities)</t>
  </si>
  <si>
    <t>Facilities Maintenance &amp; Repair</t>
  </si>
  <si>
    <t>Harding &amp; Bassick Support</t>
  </si>
  <si>
    <t>Accreditation - NEASC</t>
  </si>
  <si>
    <t>BOE Grant Administration</t>
  </si>
  <si>
    <t>GRAND TOTAL</t>
  </si>
  <si>
    <t>RANGE</t>
  </si>
  <si>
    <t>BUDGET CATEGORY</t>
  </si>
  <si>
    <t>BUDGET</t>
  </si>
  <si>
    <t>REQUISITION</t>
  </si>
  <si>
    <t>EXPEND</t>
  </si>
  <si>
    <t>800-850</t>
  </si>
  <si>
    <t>INSTRUCTION</t>
  </si>
  <si>
    <t>851-852</t>
  </si>
  <si>
    <t>INSTRUCTION SUPPORT</t>
  </si>
  <si>
    <t>853-862</t>
  </si>
  <si>
    <t>PUPIL SERVICES</t>
  </si>
  <si>
    <t>863-865</t>
  </si>
  <si>
    <t>ADMINISTRATION</t>
  </si>
  <si>
    <t>866-899</t>
  </si>
  <si>
    <t>SUPPORT SERVICES</t>
  </si>
  <si>
    <t>Refer to the bottom of the detail chart.</t>
  </si>
  <si>
    <t>Debits</t>
  </si>
  <si>
    <t>Credits</t>
  </si>
  <si>
    <t>FINAL BALANCE</t>
  </si>
  <si>
    <t>NOTES</t>
  </si>
  <si>
    <t>BUDGET SUMMARY</t>
  </si>
  <si>
    <t>Account</t>
  </si>
  <si>
    <t>.</t>
  </si>
  <si>
    <t>Account Title</t>
  </si>
  <si>
    <t>…</t>
  </si>
  <si>
    <t>Principals</t>
  </si>
  <si>
    <t>Instructional Support Positions</t>
  </si>
  <si>
    <t>BUDGET DETAIL</t>
  </si>
  <si>
    <t>SCHOOL</t>
  </si>
  <si>
    <t>ORG DESCRIPTION</t>
  </si>
  <si>
    <t>FUND</t>
  </si>
  <si>
    <t>DEPT</t>
  </si>
  <si>
    <t>ORG</t>
  </si>
  <si>
    <t>DESC</t>
  </si>
  <si>
    <t>OBJECT</t>
  </si>
  <si>
    <t>CY_REVISED_BUD</t>
  </si>
  <si>
    <t>CY_REQ</t>
  </si>
  <si>
    <t>CY_ENCUMB</t>
  </si>
  <si>
    <t>CY_EXPEND</t>
  </si>
  <si>
    <t>01</t>
  </si>
  <si>
    <t>800</t>
  </si>
  <si>
    <t>FULL TIME EARNED PAY</t>
  </si>
  <si>
    <t>51000</t>
  </si>
  <si>
    <t>PT TEMP/SEASONAL EARNED PA</t>
  </si>
  <si>
    <t>51100</t>
  </si>
  <si>
    <t>UNUSED SICK TIME PAYOUT</t>
  </si>
  <si>
    <t>51154</t>
  </si>
  <si>
    <t>MEDICARE</t>
  </si>
  <si>
    <t>52360</t>
  </si>
  <si>
    <t>01800801</t>
  </si>
  <si>
    <t>LONGEVITY PAY</t>
  </si>
  <si>
    <t>51140</t>
  </si>
  <si>
    <t>HEALTH INSURANCE CITY SHARE</t>
  </si>
  <si>
    <t>52917</t>
  </si>
  <si>
    <t>01800802</t>
  </si>
  <si>
    <t>01800803</t>
  </si>
  <si>
    <t>01800804</t>
  </si>
  <si>
    <t>01800805</t>
  </si>
  <si>
    <t>01800807</t>
  </si>
  <si>
    <t>01800810</t>
  </si>
  <si>
    <t>01800811</t>
  </si>
  <si>
    <t>01800812</t>
  </si>
  <si>
    <t>01800813</t>
  </si>
  <si>
    <t>01800814</t>
  </si>
  <si>
    <t>01800816</t>
  </si>
  <si>
    <t>01800817</t>
  </si>
  <si>
    <t>01800820</t>
  </si>
  <si>
    <t>01800821</t>
  </si>
  <si>
    <t>01800822</t>
  </si>
  <si>
    <t>01800825</t>
  </si>
  <si>
    <t>01800826</t>
  </si>
  <si>
    <t>01800830</t>
  </si>
  <si>
    <t>01800831</t>
  </si>
  <si>
    <t>01800832</t>
  </si>
  <si>
    <t>01800836</t>
  </si>
  <si>
    <t>01800839</t>
  </si>
  <si>
    <t>01800840</t>
  </si>
  <si>
    <t>01800841</t>
  </si>
  <si>
    <t>01800842</t>
  </si>
  <si>
    <t>01800845</t>
  </si>
  <si>
    <t>01800846</t>
  </si>
  <si>
    <t>01800861</t>
  </si>
  <si>
    <t>01800862</t>
  </si>
  <si>
    <t>01800863</t>
  </si>
  <si>
    <t>801</t>
  </si>
  <si>
    <t>SOCIAL SECURITY</t>
  </si>
  <si>
    <t>52385</t>
  </si>
  <si>
    <t>01801801</t>
  </si>
  <si>
    <t>01801802</t>
  </si>
  <si>
    <t>01801803</t>
  </si>
  <si>
    <t>01801804</t>
  </si>
  <si>
    <t>01801805</t>
  </si>
  <si>
    <t>01801807</t>
  </si>
  <si>
    <t>01801810</t>
  </si>
  <si>
    <t>01801811</t>
  </si>
  <si>
    <t>01801812</t>
  </si>
  <si>
    <t>01801813</t>
  </si>
  <si>
    <t>01801814</t>
  </si>
  <si>
    <t>01801817</t>
  </si>
  <si>
    <t>01801820</t>
  </si>
  <si>
    <t>01801821</t>
  </si>
  <si>
    <t>01801822</t>
  </si>
  <si>
    <t>01801825</t>
  </si>
  <si>
    <t>01801826</t>
  </si>
  <si>
    <t>01801830</t>
  </si>
  <si>
    <t>01801831</t>
  </si>
  <si>
    <t>01801832</t>
  </si>
  <si>
    <t>01801836</t>
  </si>
  <si>
    <t>01801839</t>
  </si>
  <si>
    <t>01801840</t>
  </si>
  <si>
    <t>01801841</t>
  </si>
  <si>
    <t>01801842</t>
  </si>
  <si>
    <t>01801845</t>
  </si>
  <si>
    <t>01801846</t>
  </si>
  <si>
    <t>802</t>
  </si>
  <si>
    <t>01802000</t>
  </si>
  <si>
    <t>HUMAN SERVICES</t>
  </si>
  <si>
    <t>56115</t>
  </si>
  <si>
    <t>804</t>
  </si>
  <si>
    <t>UNUSED VACATION PAY RETIREMENT</t>
  </si>
  <si>
    <t>51314</t>
  </si>
  <si>
    <t>PERSONAL DAY PAYOUT RETIREMENT</t>
  </si>
  <si>
    <t>51318</t>
  </si>
  <si>
    <t>01804801</t>
  </si>
  <si>
    <t>MERF PENSION EMPLOYER CONT</t>
  </si>
  <si>
    <t>52504</t>
  </si>
  <si>
    <t>HEALTH BENEFITS BUYOUT</t>
  </si>
  <si>
    <t>52920</t>
  </si>
  <si>
    <t>01804802</t>
  </si>
  <si>
    <t>01804803</t>
  </si>
  <si>
    <t>01804804</t>
  </si>
  <si>
    <t>01804805</t>
  </si>
  <si>
    <t>01804807</t>
  </si>
  <si>
    <t>REGULAR STRAIGHT OVERTIME</t>
  </si>
  <si>
    <t>51106</t>
  </si>
  <si>
    <t>01804810</t>
  </si>
  <si>
    <t>01804811</t>
  </si>
  <si>
    <t>01804812</t>
  </si>
  <si>
    <t>01804813</t>
  </si>
  <si>
    <t>01804814</t>
  </si>
  <si>
    <t>01804816</t>
  </si>
  <si>
    <t>01804817</t>
  </si>
  <si>
    <t>01804820</t>
  </si>
  <si>
    <t>01804821</t>
  </si>
  <si>
    <t>01804822</t>
  </si>
  <si>
    <t>01804825</t>
  </si>
  <si>
    <t>01804826</t>
  </si>
  <si>
    <t>01804828</t>
  </si>
  <si>
    <t>01804830</t>
  </si>
  <si>
    <t>01804831</t>
  </si>
  <si>
    <t>01804832</t>
  </si>
  <si>
    <t>01804836</t>
  </si>
  <si>
    <t>01804839</t>
  </si>
  <si>
    <t>01804840</t>
  </si>
  <si>
    <t>01804841</t>
  </si>
  <si>
    <t>01804842</t>
  </si>
  <si>
    <t>01804844</t>
  </si>
  <si>
    <t>01804845</t>
  </si>
  <si>
    <t>01804846</t>
  </si>
  <si>
    <t>01804861</t>
  </si>
  <si>
    <t>01804862</t>
  </si>
  <si>
    <t>01804863</t>
  </si>
  <si>
    <t>805</t>
  </si>
  <si>
    <t>01805000</t>
  </si>
  <si>
    <t>SCHOOL SUPPLIES</t>
  </si>
  <si>
    <t>OFFICE SUPPLIES</t>
  </si>
  <si>
    <t>54675</t>
  </si>
  <si>
    <t>PRINTING SERVICES</t>
  </si>
  <si>
    <t>806</t>
  </si>
  <si>
    <t>01806000</t>
  </si>
  <si>
    <t>01806801</t>
  </si>
  <si>
    <t>REGULAR 1.5 OVERTIME PAY</t>
  </si>
  <si>
    <t>51108</t>
  </si>
  <si>
    <t>SHIFT 2 - 1.5X OVERTIME</t>
  </si>
  <si>
    <t>POSTAGE</t>
  </si>
  <si>
    <t>OTHER SERVICES</t>
  </si>
  <si>
    <t>56180</t>
  </si>
  <si>
    <t>01806802</t>
  </si>
  <si>
    <t>01806803</t>
  </si>
  <si>
    <t>01806804</t>
  </si>
  <si>
    <t>01806805</t>
  </si>
  <si>
    <t>01806807</t>
  </si>
  <si>
    <t>01806808</t>
  </si>
  <si>
    <t>01806810</t>
  </si>
  <si>
    <t>01806811</t>
  </si>
  <si>
    <t>01806812</t>
  </si>
  <si>
    <t>01806813</t>
  </si>
  <si>
    <t>01806814</t>
  </si>
  <si>
    <t>01806815</t>
  </si>
  <si>
    <t>MEMBERSHIP/REGISTRATION FEES</t>
  </si>
  <si>
    <t>53605</t>
  </si>
  <si>
    <t>01806816</t>
  </si>
  <si>
    <t>01806817</t>
  </si>
  <si>
    <t>01806818</t>
  </si>
  <si>
    <t>01806820</t>
  </si>
  <si>
    <t>GENERAL STIPENDS</t>
  </si>
  <si>
    <t>01806821</t>
  </si>
  <si>
    <t>01806822</t>
  </si>
  <si>
    <t>01806825</t>
  </si>
  <si>
    <t>01806826</t>
  </si>
  <si>
    <t>01806828</t>
  </si>
  <si>
    <t>01806830</t>
  </si>
  <si>
    <t>01806831</t>
  </si>
  <si>
    <t>01806832</t>
  </si>
  <si>
    <t>01806836</t>
  </si>
  <si>
    <t>01806837</t>
  </si>
  <si>
    <t>01806839</t>
  </si>
  <si>
    <t>01806840</t>
  </si>
  <si>
    <t>01806841</t>
  </si>
  <si>
    <t>01806842</t>
  </si>
  <si>
    <t>01806844</t>
  </si>
  <si>
    <t>TRAINING SERVICES</t>
  </si>
  <si>
    <t>01806845</t>
  </si>
  <si>
    <t>01806846</t>
  </si>
  <si>
    <t>01806861</t>
  </si>
  <si>
    <t>01806862</t>
  </si>
  <si>
    <t>01806863</t>
  </si>
  <si>
    <t>809</t>
  </si>
  <si>
    <t>01809801</t>
  </si>
  <si>
    <t>01809802</t>
  </si>
  <si>
    <t>01809803</t>
  </si>
  <si>
    <t>01809804</t>
  </si>
  <si>
    <t>01809805</t>
  </si>
  <si>
    <t>01809807</t>
  </si>
  <si>
    <t>01809810</t>
  </si>
  <si>
    <t>01809811</t>
  </si>
  <si>
    <t>01809812</t>
  </si>
  <si>
    <t>01809813</t>
  </si>
  <si>
    <t>01809814</t>
  </si>
  <si>
    <t>01809817</t>
  </si>
  <si>
    <t>01809820</t>
  </si>
  <si>
    <t>01809821</t>
  </si>
  <si>
    <t>01809822</t>
  </si>
  <si>
    <t>01809825</t>
  </si>
  <si>
    <t>01809826</t>
  </si>
  <si>
    <t>01809830</t>
  </si>
  <si>
    <t>01809831</t>
  </si>
  <si>
    <t>01809832</t>
  </si>
  <si>
    <t>01809836</t>
  </si>
  <si>
    <t>01809837</t>
  </si>
  <si>
    <t>01809839</t>
  </si>
  <si>
    <t>01809840</t>
  </si>
  <si>
    <t>01809841</t>
  </si>
  <si>
    <t>01809842</t>
  </si>
  <si>
    <t>01809845</t>
  </si>
  <si>
    <t>01809846</t>
  </si>
  <si>
    <t>810</t>
  </si>
  <si>
    <t>TRAVEL ALLOWANCE/STIPENDS</t>
  </si>
  <si>
    <t>51404</t>
  </si>
  <si>
    <t>01810801</t>
  </si>
  <si>
    <t>01810803</t>
  </si>
  <si>
    <t>01810804</t>
  </si>
  <si>
    <t>01810805</t>
  </si>
  <si>
    <t>01810810</t>
  </si>
  <si>
    <t>01810814</t>
  </si>
  <si>
    <t>01810820</t>
  </si>
  <si>
    <t>01810826</t>
  </si>
  <si>
    <t>01810832</t>
  </si>
  <si>
    <t>01810836</t>
  </si>
  <si>
    <t>01810840</t>
  </si>
  <si>
    <t>01810842</t>
  </si>
  <si>
    <t>01810846</t>
  </si>
  <si>
    <t>01810861</t>
  </si>
  <si>
    <t>01810862</t>
  </si>
  <si>
    <t>01810863</t>
  </si>
  <si>
    <t>812</t>
  </si>
  <si>
    <t>01812808</t>
  </si>
  <si>
    <t>01812814</t>
  </si>
  <si>
    <t>01812815</t>
  </si>
  <si>
    <t>01812816</t>
  </si>
  <si>
    <t>01812818</t>
  </si>
  <si>
    <t>01812846</t>
  </si>
  <si>
    <t>01812861</t>
  </si>
  <si>
    <t>01812862</t>
  </si>
  <si>
    <t>01812863</t>
  </si>
  <si>
    <t>813</t>
  </si>
  <si>
    <t>01813802</t>
  </si>
  <si>
    <t>01813804</t>
  </si>
  <si>
    <t>01813805</t>
  </si>
  <si>
    <t>01813808</t>
  </si>
  <si>
    <t>01813810</t>
  </si>
  <si>
    <t>01813811</t>
  </si>
  <si>
    <t>01813813</t>
  </si>
  <si>
    <t>01813814</t>
  </si>
  <si>
    <t>01813816</t>
  </si>
  <si>
    <t>01813817</t>
  </si>
  <si>
    <t>01813820</t>
  </si>
  <si>
    <t>01813822</t>
  </si>
  <si>
    <t>01813825</t>
  </si>
  <si>
    <t>01813826</t>
  </si>
  <si>
    <t>01813830</t>
  </si>
  <si>
    <t>01813831</t>
  </si>
  <si>
    <t>01813832</t>
  </si>
  <si>
    <t>01813836</t>
  </si>
  <si>
    <t>01813837</t>
  </si>
  <si>
    <t>01813840</t>
  </si>
  <si>
    <t>01813841</t>
  </si>
  <si>
    <t>01813842</t>
  </si>
  <si>
    <t>01813845</t>
  </si>
  <si>
    <t>01813846</t>
  </si>
  <si>
    <t>01813861</t>
  </si>
  <si>
    <t>01813862</t>
  </si>
  <si>
    <t>01813863</t>
  </si>
  <si>
    <t>814</t>
  </si>
  <si>
    <t>01814803</t>
  </si>
  <si>
    <t>01814804</t>
  </si>
  <si>
    <t>01814805</t>
  </si>
  <si>
    <t>01814812</t>
  </si>
  <si>
    <t>01814814</t>
  </si>
  <si>
    <t>01814817</t>
  </si>
  <si>
    <t>01814820</t>
  </si>
  <si>
    <t>01814821</t>
  </si>
  <si>
    <t>01814822</t>
  </si>
  <si>
    <t>01814825</t>
  </si>
  <si>
    <t>01814826</t>
  </si>
  <si>
    <t>01814836</t>
  </si>
  <si>
    <t>01814839</t>
  </si>
  <si>
    <t>01814840</t>
  </si>
  <si>
    <t>01814842</t>
  </si>
  <si>
    <t>01814862</t>
  </si>
  <si>
    <t>01814863</t>
  </si>
  <si>
    <t>815</t>
  </si>
  <si>
    <t>01815801</t>
  </si>
  <si>
    <t>01815803</t>
  </si>
  <si>
    <t>01815805</t>
  </si>
  <si>
    <t>01815810</t>
  </si>
  <si>
    <t>01815814</t>
  </si>
  <si>
    <t>01815815</t>
  </si>
  <si>
    <t>01815816</t>
  </si>
  <si>
    <t>01815817</t>
  </si>
  <si>
    <t>01815818</t>
  </si>
  <si>
    <t>01815821</t>
  </si>
  <si>
    <t>01815822</t>
  </si>
  <si>
    <t>01815825</t>
  </si>
  <si>
    <t>01815830</t>
  </si>
  <si>
    <t>01815831</t>
  </si>
  <si>
    <t>01815832</t>
  </si>
  <si>
    <t>01815836</t>
  </si>
  <si>
    <t>01815839</t>
  </si>
  <si>
    <t>01815840</t>
  </si>
  <si>
    <t>01815845</t>
  </si>
  <si>
    <t>01815846</t>
  </si>
  <si>
    <t>01815861</t>
  </si>
  <si>
    <t>01815862</t>
  </si>
  <si>
    <t>01815863</t>
  </si>
  <si>
    <t>816</t>
  </si>
  <si>
    <t>01816801</t>
  </si>
  <si>
    <t>01816803</t>
  </si>
  <si>
    <t>01816808</t>
  </si>
  <si>
    <t>01816810</t>
  </si>
  <si>
    <t>01816813</t>
  </si>
  <si>
    <t>01816814</t>
  </si>
  <si>
    <t>01816815</t>
  </si>
  <si>
    <t>01816816</t>
  </si>
  <si>
    <t>01816818</t>
  </si>
  <si>
    <t>01816821</t>
  </si>
  <si>
    <t>01816822</t>
  </si>
  <si>
    <t>01816825</t>
  </si>
  <si>
    <t>01816830</t>
  </si>
  <si>
    <t>01816831</t>
  </si>
  <si>
    <t>01816832</t>
  </si>
  <si>
    <t>01816836</t>
  </si>
  <si>
    <t>01816837</t>
  </si>
  <si>
    <t>01816839</t>
  </si>
  <si>
    <t>01816840</t>
  </si>
  <si>
    <t>01816841</t>
  </si>
  <si>
    <t>01816842</t>
  </si>
  <si>
    <t>01816845</t>
  </si>
  <si>
    <t>01816846</t>
  </si>
  <si>
    <t>01816861</t>
  </si>
  <si>
    <t>01816862</t>
  </si>
  <si>
    <t>01816863</t>
  </si>
  <si>
    <t>817</t>
  </si>
  <si>
    <t>01817801</t>
  </si>
  <si>
    <t>01817803</t>
  </si>
  <si>
    <t>01817805</t>
  </si>
  <si>
    <t>01817808</t>
  </si>
  <si>
    <t>01817810</t>
  </si>
  <si>
    <t>01817814</t>
  </si>
  <si>
    <t>01817815</t>
  </si>
  <si>
    <t>01817816</t>
  </si>
  <si>
    <t>01817817</t>
  </si>
  <si>
    <t>01817818</t>
  </si>
  <si>
    <t>01817821</t>
  </si>
  <si>
    <t>01817822</t>
  </si>
  <si>
    <t>01817825</t>
  </si>
  <si>
    <t>01817830</t>
  </si>
  <si>
    <t>01817831</t>
  </si>
  <si>
    <t>01817832</t>
  </si>
  <si>
    <t>01817836</t>
  </si>
  <si>
    <t>01817837</t>
  </si>
  <si>
    <t>01817840</t>
  </si>
  <si>
    <t>01817841</t>
  </si>
  <si>
    <t>01817845</t>
  </si>
  <si>
    <t>01817846</t>
  </si>
  <si>
    <t>01817861</t>
  </si>
  <si>
    <t>01817862</t>
  </si>
  <si>
    <t>01817863</t>
  </si>
  <si>
    <t>818</t>
  </si>
  <si>
    <t>01818801</t>
  </si>
  <si>
    <t>01818805</t>
  </si>
  <si>
    <t>01818808</t>
  </si>
  <si>
    <t>01818810</t>
  </si>
  <si>
    <t>01818813</t>
  </si>
  <si>
    <t>01818814</t>
  </si>
  <si>
    <t>01818815</t>
  </si>
  <si>
    <t>01818816</t>
  </si>
  <si>
    <t>01818817</t>
  </si>
  <si>
    <t>01818818</t>
  </si>
  <si>
    <t>01818821</t>
  </si>
  <si>
    <t>01818822</t>
  </si>
  <si>
    <t>01818825</t>
  </si>
  <si>
    <t>01818826</t>
  </si>
  <si>
    <t>01818830</t>
  </si>
  <si>
    <t>01818831</t>
  </si>
  <si>
    <t>01818832</t>
  </si>
  <si>
    <t>01818836</t>
  </si>
  <si>
    <t>01818837</t>
  </si>
  <si>
    <t>01818839</t>
  </si>
  <si>
    <t>01818840</t>
  </si>
  <si>
    <t>01818841</t>
  </si>
  <si>
    <t>01818842</t>
  </si>
  <si>
    <t>01818845</t>
  </si>
  <si>
    <t>01818861</t>
  </si>
  <si>
    <t>01818862</t>
  </si>
  <si>
    <t>01818863</t>
  </si>
  <si>
    <t>819</t>
  </si>
  <si>
    <t>SPORTING EQUIPMENT</t>
  </si>
  <si>
    <t>TRANSPORTATION SERVICES</t>
  </si>
  <si>
    <t>01819801</t>
  </si>
  <si>
    <t>01819802</t>
  </si>
  <si>
    <t>01819803</t>
  </si>
  <si>
    <t>01819804</t>
  </si>
  <si>
    <t>01819810</t>
  </si>
  <si>
    <t>01819811</t>
  </si>
  <si>
    <t>01819812</t>
  </si>
  <si>
    <t>01819813</t>
  </si>
  <si>
    <t>01819814</t>
  </si>
  <si>
    <t>01819816</t>
  </si>
  <si>
    <t>01819817</t>
  </si>
  <si>
    <t>01819818</t>
  </si>
  <si>
    <t>01819820</t>
  </si>
  <si>
    <t>01819821</t>
  </si>
  <si>
    <t>01819822</t>
  </si>
  <si>
    <t>01819825</t>
  </si>
  <si>
    <t>01819826</t>
  </si>
  <si>
    <t>01819830</t>
  </si>
  <si>
    <t>01819831</t>
  </si>
  <si>
    <t>01819832</t>
  </si>
  <si>
    <t>01819836</t>
  </si>
  <si>
    <t>01819837</t>
  </si>
  <si>
    <t>01819839</t>
  </si>
  <si>
    <t>01819840</t>
  </si>
  <si>
    <t>01819841</t>
  </si>
  <si>
    <t>01819842</t>
  </si>
  <si>
    <t>01819861</t>
  </si>
  <si>
    <t>01819862</t>
  </si>
  <si>
    <t>01819863</t>
  </si>
  <si>
    <t>820</t>
  </si>
  <si>
    <t>01820808</t>
  </si>
  <si>
    <t>01820861</t>
  </si>
  <si>
    <t>01820862</t>
  </si>
  <si>
    <t>01820863</t>
  </si>
  <si>
    <t>822</t>
  </si>
  <si>
    <t>01822000</t>
  </si>
  <si>
    <t>BUILDING MATERIALS &amp; SUPPLIE</t>
  </si>
  <si>
    <t>HARDWARE/TOOLS</t>
  </si>
  <si>
    <t>54640</t>
  </si>
  <si>
    <t>AUTOMOTIVE SHOP EQUIPMENT</t>
  </si>
  <si>
    <t>01822861</t>
  </si>
  <si>
    <t>01822862</t>
  </si>
  <si>
    <t>01822863</t>
  </si>
  <si>
    <t>823</t>
  </si>
  <si>
    <t>01823861</t>
  </si>
  <si>
    <t>825</t>
  </si>
  <si>
    <t>01825836</t>
  </si>
  <si>
    <t>826</t>
  </si>
  <si>
    <t>01826000</t>
  </si>
  <si>
    <t>FT HOME BOUND PAY</t>
  </si>
  <si>
    <t>827</t>
  </si>
  <si>
    <t>01827000</t>
  </si>
  <si>
    <t>BOE TUITION</t>
  </si>
  <si>
    <t>LEGAL SERVICES</t>
  </si>
  <si>
    <t>MEDICAL SERVICES</t>
  </si>
  <si>
    <t>01827800</t>
  </si>
  <si>
    <t>01827801</t>
  </si>
  <si>
    <t>01827802</t>
  </si>
  <si>
    <t>01827803</t>
  </si>
  <si>
    <t>01827804</t>
  </si>
  <si>
    <t>01827805</t>
  </si>
  <si>
    <t>01827810</t>
  </si>
  <si>
    <t>01827812</t>
  </si>
  <si>
    <t>01827813</t>
  </si>
  <si>
    <t>01827814</t>
  </si>
  <si>
    <t>01827816</t>
  </si>
  <si>
    <t>01827817</t>
  </si>
  <si>
    <t>01827820</t>
  </si>
  <si>
    <t>01827821</t>
  </si>
  <si>
    <t>01827822</t>
  </si>
  <si>
    <t>01827825</t>
  </si>
  <si>
    <t>01827828</t>
  </si>
  <si>
    <t>01827830</t>
  </si>
  <si>
    <t>01827831</t>
  </si>
  <si>
    <t>01827832</t>
  </si>
  <si>
    <t>01827836</t>
  </si>
  <si>
    <t>01827839</t>
  </si>
  <si>
    <t>01827840</t>
  </si>
  <si>
    <t>01827841</t>
  </si>
  <si>
    <t>01827842</t>
  </si>
  <si>
    <t>01827844</t>
  </si>
  <si>
    <t>01827845</t>
  </si>
  <si>
    <t>01827846</t>
  </si>
  <si>
    <t>01827861</t>
  </si>
  <si>
    <t>01827862</t>
  </si>
  <si>
    <t>01827863</t>
  </si>
  <si>
    <t>828</t>
  </si>
  <si>
    <t>01828000</t>
  </si>
  <si>
    <t>01828828</t>
  </si>
  <si>
    <t>01828844</t>
  </si>
  <si>
    <t>829</t>
  </si>
  <si>
    <t>01829801</t>
  </si>
  <si>
    <t>01829803</t>
  </si>
  <si>
    <t>01829804</t>
  </si>
  <si>
    <t>01829807</t>
  </si>
  <si>
    <t>01829812</t>
  </si>
  <si>
    <t>01829813</t>
  </si>
  <si>
    <t>01829814</t>
  </si>
  <si>
    <t>01829817</t>
  </si>
  <si>
    <t>01829821</t>
  </si>
  <si>
    <t>01829822</t>
  </si>
  <si>
    <t>01829825</t>
  </si>
  <si>
    <t>01829832</t>
  </si>
  <si>
    <t>01829836</t>
  </si>
  <si>
    <t>01829839</t>
  </si>
  <si>
    <t>01829840</t>
  </si>
  <si>
    <t>01829842</t>
  </si>
  <si>
    <t>01829844</t>
  </si>
  <si>
    <t>01829845</t>
  </si>
  <si>
    <t>01829846</t>
  </si>
  <si>
    <t>01829861</t>
  </si>
  <si>
    <t>01829862</t>
  </si>
  <si>
    <t>01829863</t>
  </si>
  <si>
    <t>830</t>
  </si>
  <si>
    <t>01830000</t>
  </si>
  <si>
    <t>831</t>
  </si>
  <si>
    <t>832</t>
  </si>
  <si>
    <t>01832822</t>
  </si>
  <si>
    <t>835</t>
  </si>
  <si>
    <t>01835000</t>
  </si>
  <si>
    <t>PROPERTY RENTAL/LEASE</t>
  </si>
  <si>
    <t>LIABILITY INSURANCE</t>
  </si>
  <si>
    <t>COMPUTER SUPPLIES</t>
  </si>
  <si>
    <t>54555</t>
  </si>
  <si>
    <t>GASOLINE</t>
  </si>
  <si>
    <t>54615</t>
  </si>
  <si>
    <t>LABORATORY SUPPLIES</t>
  </si>
  <si>
    <t>54645</t>
  </si>
  <si>
    <t>MEDICAL SUPPLIES</t>
  </si>
  <si>
    <t>OTHER SUPPLIES</t>
  </si>
  <si>
    <t>OTHER MAINTENANCE &amp; REPAIR S</t>
  </si>
  <si>
    <t>56170</t>
  </si>
  <si>
    <t>836</t>
  </si>
  <si>
    <t>01836000</t>
  </si>
  <si>
    <t>837</t>
  </si>
  <si>
    <t>839</t>
  </si>
  <si>
    <t>01839000</t>
  </si>
  <si>
    <t>840</t>
  </si>
  <si>
    <t>01840000</t>
  </si>
  <si>
    <t>841</t>
  </si>
  <si>
    <t>01841000</t>
  </si>
  <si>
    <t>842</t>
  </si>
  <si>
    <t>01842000</t>
  </si>
  <si>
    <t>843</t>
  </si>
  <si>
    <t>01843000</t>
  </si>
  <si>
    <t>SPORT OFFICIAL PAY</t>
  </si>
  <si>
    <t>EMPLOYEE COACHING PAY</t>
  </si>
  <si>
    <t>UNIFORMS</t>
  </si>
  <si>
    <t>54745</t>
  </si>
  <si>
    <t>845</t>
  </si>
  <si>
    <t>01845000</t>
  </si>
  <si>
    <t>846</t>
  </si>
  <si>
    <t>01846000</t>
  </si>
  <si>
    <t>847</t>
  </si>
  <si>
    <t>01847000</t>
  </si>
  <si>
    <t>848</t>
  </si>
  <si>
    <t>01848000</t>
  </si>
  <si>
    <t>849</t>
  </si>
  <si>
    <t>01849000</t>
  </si>
  <si>
    <t>850</t>
  </si>
  <si>
    <t>01850000</t>
  </si>
  <si>
    <t>UNUSED VACATION TIME PAYOU</t>
  </si>
  <si>
    <t>51156</t>
  </si>
  <si>
    <t>DENTAL PPO - COBRA/RETIREE</t>
  </si>
  <si>
    <t>VISION FEE - BOE RET/COBRA</t>
  </si>
  <si>
    <t>DENTAL HMO - BOE RETIREES</t>
  </si>
  <si>
    <t>LIFE INSURANCE BOE ACTIVE</t>
  </si>
  <si>
    <t>CLMS DNTL- BOE RETIREES</t>
  </si>
  <si>
    <t>WORKERS' COMP INDM - CERTIFIED</t>
  </si>
  <si>
    <t>WORKERS' COMP MED - CERTIFIED</t>
  </si>
  <si>
    <t>UNEMPLOYMENT</t>
  </si>
  <si>
    <t>52397</t>
  </si>
  <si>
    <t>851</t>
  </si>
  <si>
    <t>01851000</t>
  </si>
  <si>
    <t>852</t>
  </si>
  <si>
    <t>01852000</t>
  </si>
  <si>
    <t>853</t>
  </si>
  <si>
    <t>01853000</t>
  </si>
  <si>
    <t>01853801</t>
  </si>
  <si>
    <t>01853810</t>
  </si>
  <si>
    <t>01853813</t>
  </si>
  <si>
    <t>01853814</t>
  </si>
  <si>
    <t>01853818</t>
  </si>
  <si>
    <t>01853825</t>
  </si>
  <si>
    <t>01853830</t>
  </si>
  <si>
    <t>01853839</t>
  </si>
  <si>
    <t>01853840</t>
  </si>
  <si>
    <t>01853844</t>
  </si>
  <si>
    <t>01853861</t>
  </si>
  <si>
    <t>01853862</t>
  </si>
  <si>
    <t>01853863</t>
  </si>
  <si>
    <t>854</t>
  </si>
  <si>
    <t>01854000</t>
  </si>
  <si>
    <t>EDUCATIONAL SERVICES</t>
  </si>
  <si>
    <t>01854822</t>
  </si>
  <si>
    <t>01854825</t>
  </si>
  <si>
    <t>01854828</t>
  </si>
  <si>
    <t>01854830</t>
  </si>
  <si>
    <t>01854832</t>
  </si>
  <si>
    <t>01854840</t>
  </si>
  <si>
    <t>01854844</t>
  </si>
  <si>
    <t>01854862</t>
  </si>
  <si>
    <t>855</t>
  </si>
  <si>
    <t>01855801</t>
  </si>
  <si>
    <t>01855810</t>
  </si>
  <si>
    <t>01855816</t>
  </si>
  <si>
    <t>01855817</t>
  </si>
  <si>
    <t>01855826</t>
  </si>
  <si>
    <t>01855836</t>
  </si>
  <si>
    <t>01855837</t>
  </si>
  <si>
    <t>01855842</t>
  </si>
  <si>
    <t>01855845</t>
  </si>
  <si>
    <t>01855861</t>
  </si>
  <si>
    <t>01855862</t>
  </si>
  <si>
    <t>01855863</t>
  </si>
  <si>
    <t>856</t>
  </si>
  <si>
    <t>01856000</t>
  </si>
  <si>
    <t>01856801</t>
  </si>
  <si>
    <t>01856804</t>
  </si>
  <si>
    <t>01856814</t>
  </si>
  <si>
    <t>01856817</t>
  </si>
  <si>
    <t>01856822</t>
  </si>
  <si>
    <t>01856832</t>
  </si>
  <si>
    <t>01856844</t>
  </si>
  <si>
    <t>857</t>
  </si>
  <si>
    <t>01857000</t>
  </si>
  <si>
    <t>860</t>
  </si>
  <si>
    <t>01860000</t>
  </si>
  <si>
    <t>EMP TUITION AND/OR TRAVEL REIM</t>
  </si>
  <si>
    <t>PAPER AND PLASTIC SUPPLIES</t>
  </si>
  <si>
    <t>01860800</t>
  </si>
  <si>
    <t>01860801</t>
  </si>
  <si>
    <t>01860802</t>
  </si>
  <si>
    <t>01860803</t>
  </si>
  <si>
    <t>01860805</t>
  </si>
  <si>
    <t>01860807</t>
  </si>
  <si>
    <t>01860811</t>
  </si>
  <si>
    <t>01860812</t>
  </si>
  <si>
    <t>01860813</t>
  </si>
  <si>
    <t>01860814</t>
  </si>
  <si>
    <t>01860816</t>
  </si>
  <si>
    <t>01860817</t>
  </si>
  <si>
    <t>01860821</t>
  </si>
  <si>
    <t>01860826</t>
  </si>
  <si>
    <t>01860828</t>
  </si>
  <si>
    <t>01860830</t>
  </si>
  <si>
    <t>01860831</t>
  </si>
  <si>
    <t>01860832</t>
  </si>
  <si>
    <t>01860836</t>
  </si>
  <si>
    <t>01860839</t>
  </si>
  <si>
    <t>01860840</t>
  </si>
  <si>
    <t>01860841</t>
  </si>
  <si>
    <t>01860846</t>
  </si>
  <si>
    <t>01860862</t>
  </si>
  <si>
    <t>01860984</t>
  </si>
  <si>
    <t>861</t>
  </si>
  <si>
    <t>01861000</t>
  </si>
  <si>
    <t>01861814</t>
  </si>
  <si>
    <t>01861844</t>
  </si>
  <si>
    <t>863</t>
  </si>
  <si>
    <t>01863000</t>
  </si>
  <si>
    <t>864</t>
  </si>
  <si>
    <t>01864000</t>
  </si>
  <si>
    <t>865</t>
  </si>
  <si>
    <t>01865000</t>
  </si>
  <si>
    <t>866</t>
  </si>
  <si>
    <t>01866000</t>
  </si>
  <si>
    <t>867</t>
  </si>
  <si>
    <t>01867000</t>
  </si>
  <si>
    <t>868</t>
  </si>
  <si>
    <t>01868000</t>
  </si>
  <si>
    <t>COMPUTER SOFTWARE</t>
  </si>
  <si>
    <t>869</t>
  </si>
  <si>
    <t>01869000</t>
  </si>
  <si>
    <t>OFFICE EQUIPMENT RENTAL/LEAS</t>
  </si>
  <si>
    <t>870</t>
  </si>
  <si>
    <t>01870000</t>
  </si>
  <si>
    <t>871</t>
  </si>
  <si>
    <t>01871000</t>
  </si>
  <si>
    <t>HOLIDAY 2X OVERTIME PAY</t>
  </si>
  <si>
    <t>51116</t>
  </si>
  <si>
    <t>872</t>
  </si>
  <si>
    <t>01872000</t>
  </si>
  <si>
    <t>ACTING PAY</t>
  </si>
  <si>
    <t>873</t>
  </si>
  <si>
    <t>01873000</t>
  </si>
  <si>
    <t>TELEPHONE SERVICES</t>
  </si>
  <si>
    <t>COMMUNICATION SUPPLIES</t>
  </si>
  <si>
    <t>COMPUTER EQUIPMENT</t>
  </si>
  <si>
    <t>SECURITY SERVICES</t>
  </si>
  <si>
    <t>VEHICLE MAINTENANCE SERVICES</t>
  </si>
  <si>
    <t>59005</t>
  </si>
  <si>
    <t>874</t>
  </si>
  <si>
    <t>01874000</t>
  </si>
  <si>
    <t>875</t>
  </si>
  <si>
    <t>01875000</t>
  </si>
  <si>
    <t>876</t>
  </si>
  <si>
    <t>01876000</t>
  </si>
  <si>
    <t>877</t>
  </si>
  <si>
    <t>01877000</t>
  </si>
  <si>
    <t>878</t>
  </si>
  <si>
    <t>01878000</t>
  </si>
  <si>
    <t>879</t>
  </si>
  <si>
    <t>01879000</t>
  </si>
  <si>
    <t>882</t>
  </si>
  <si>
    <t>01882000</t>
  </si>
  <si>
    <t>883</t>
  </si>
  <si>
    <t>01883000</t>
  </si>
  <si>
    <t>SHIFT 2 - 2X OVERTIME</t>
  </si>
  <si>
    <t>SHIFT 3 - 1.5X OVERTIME</t>
  </si>
  <si>
    <t>51128</t>
  </si>
  <si>
    <t>UNIFORM ALLOWANCE</t>
  </si>
  <si>
    <t>52399</t>
  </si>
  <si>
    <t>01883800</t>
  </si>
  <si>
    <t>01883801</t>
  </si>
  <si>
    <t>01883802</t>
  </si>
  <si>
    <t>01883803</t>
  </si>
  <si>
    <t>01883804</t>
  </si>
  <si>
    <t>01883805</t>
  </si>
  <si>
    <t>01883807</t>
  </si>
  <si>
    <t>01883810</t>
  </si>
  <si>
    <t>01883811</t>
  </si>
  <si>
    <t>01883812</t>
  </si>
  <si>
    <t>01883813</t>
  </si>
  <si>
    <t>01883814</t>
  </si>
  <si>
    <t>01883816</t>
  </si>
  <si>
    <t>01883817</t>
  </si>
  <si>
    <t>01883820</t>
  </si>
  <si>
    <t>01883821</t>
  </si>
  <si>
    <t>01883822</t>
  </si>
  <si>
    <t>01883825</t>
  </si>
  <si>
    <t>01883826</t>
  </si>
  <si>
    <t>01883828</t>
  </si>
  <si>
    <t>01883830</t>
  </si>
  <si>
    <t>01883831</t>
  </si>
  <si>
    <t>01883832</t>
  </si>
  <si>
    <t>01883836</t>
  </si>
  <si>
    <t>01883839</t>
  </si>
  <si>
    <t>01883840</t>
  </si>
  <si>
    <t>01883841</t>
  </si>
  <si>
    <t>01883842</t>
  </si>
  <si>
    <t>01883844</t>
  </si>
  <si>
    <t>01883845</t>
  </si>
  <si>
    <t>01883846</t>
  </si>
  <si>
    <t>01883861</t>
  </si>
  <si>
    <t>01883862</t>
  </si>
  <si>
    <t>01883863</t>
  </si>
  <si>
    <t>01883864</t>
  </si>
  <si>
    <t>01883984</t>
  </si>
  <si>
    <t>884</t>
  </si>
  <si>
    <t>01884000</t>
  </si>
  <si>
    <t>885</t>
  </si>
  <si>
    <t>01885000</t>
  </si>
  <si>
    <t>886</t>
  </si>
  <si>
    <t>01886000</t>
  </si>
  <si>
    <t>887</t>
  </si>
  <si>
    <t>01887000</t>
  </si>
  <si>
    <t>NORMAL STNDRD SHIFT DIFFER</t>
  </si>
  <si>
    <t>01887801</t>
  </si>
  <si>
    <t>01887802</t>
  </si>
  <si>
    <t>01887803</t>
  </si>
  <si>
    <t>01887804</t>
  </si>
  <si>
    <t>01887805</t>
  </si>
  <si>
    <t>01887807</t>
  </si>
  <si>
    <t>01887810</t>
  </si>
  <si>
    <t>01887811</t>
  </si>
  <si>
    <t>01887812</t>
  </si>
  <si>
    <t>01887813</t>
  </si>
  <si>
    <t>01887814</t>
  </si>
  <si>
    <t>01887816</t>
  </si>
  <si>
    <t>01887817</t>
  </si>
  <si>
    <t>01887820</t>
  </si>
  <si>
    <t>01887821</t>
  </si>
  <si>
    <t>01887822</t>
  </si>
  <si>
    <t>01887825</t>
  </si>
  <si>
    <t>01887826</t>
  </si>
  <si>
    <t>01887828</t>
  </si>
  <si>
    <t>01887830</t>
  </si>
  <si>
    <t>01887831</t>
  </si>
  <si>
    <t>01887832</t>
  </si>
  <si>
    <t>01887836</t>
  </si>
  <si>
    <t>01887837</t>
  </si>
  <si>
    <t>01887839</t>
  </si>
  <si>
    <t>01887840</t>
  </si>
  <si>
    <t>01887841</t>
  </si>
  <si>
    <t>01887842</t>
  </si>
  <si>
    <t>01887844</t>
  </si>
  <si>
    <t>01887845</t>
  </si>
  <si>
    <t>01887861</t>
  </si>
  <si>
    <t>01887862</t>
  </si>
  <si>
    <t>01887863</t>
  </si>
  <si>
    <t>01887864</t>
  </si>
  <si>
    <t>01887984</t>
  </si>
  <si>
    <t>888</t>
  </si>
  <si>
    <t>01888812</t>
  </si>
  <si>
    <t>01888816</t>
  </si>
  <si>
    <t>889</t>
  </si>
  <si>
    <t>01889000</t>
  </si>
  <si>
    <t>JANITOR/ENGINEER RETIREMEN</t>
  </si>
  <si>
    <t>890</t>
  </si>
  <si>
    <t>01890000</t>
  </si>
  <si>
    <t>CLEANING SUPPLIES</t>
  </si>
  <si>
    <t>54545</t>
  </si>
  <si>
    <t>PARKS EQUIPMENT</t>
  </si>
  <si>
    <t>891</t>
  </si>
  <si>
    <t>01891000</t>
  </si>
  <si>
    <t>WATER UTILITY</t>
  </si>
  <si>
    <t>53110</t>
  </si>
  <si>
    <t>SEWER USER FEES</t>
  </si>
  <si>
    <t>53120</t>
  </si>
  <si>
    <t>ELECTRIC UTILITY SERVICES</t>
  </si>
  <si>
    <t>53130</t>
  </si>
  <si>
    <t>GAS UTILITY SERVICES</t>
  </si>
  <si>
    <t>53140</t>
  </si>
  <si>
    <t>HEATING OIL</t>
  </si>
  <si>
    <t>892</t>
  </si>
  <si>
    <t>01892000</t>
  </si>
  <si>
    <t>REFUSE SERVICES</t>
  </si>
  <si>
    <t>893</t>
  </si>
  <si>
    <t>01893000</t>
  </si>
  <si>
    <t>COMPUTER SERVICES</t>
  </si>
  <si>
    <t>56055</t>
  </si>
  <si>
    <t>894</t>
  </si>
  <si>
    <t>01894000</t>
  </si>
  <si>
    <t>HVAC EQUIPMENT</t>
  </si>
  <si>
    <t>BUILDING MAINTENANCE SERVICE</t>
  </si>
  <si>
    <t>56045</t>
  </si>
  <si>
    <t>CONSTRUCTION SERVICES</t>
  </si>
  <si>
    <t>ENVIRONMENTAL SERVICES</t>
  </si>
  <si>
    <t>LANDSCAPING SERVICES</t>
  </si>
  <si>
    <t>895</t>
  </si>
  <si>
    <t>01895000</t>
  </si>
  <si>
    <t>AUTOMOTIVE PARTS</t>
  </si>
  <si>
    <t>TIRES &amp; TUBES</t>
  </si>
  <si>
    <t>ROADWAY EQUIPMENT</t>
  </si>
  <si>
    <t>896</t>
  </si>
  <si>
    <t>01896000</t>
  </si>
  <si>
    <t>PLUMBING SUPPLIES</t>
  </si>
  <si>
    <t>ELECTRICAL EQUIPMENT</t>
  </si>
  <si>
    <t>EQUIPMENT RENTAL/LEASE</t>
  </si>
  <si>
    <t>WATER/SEWER EQUIPMENT</t>
  </si>
  <si>
    <t>State Bilingual</t>
  </si>
  <si>
    <t>Priority</t>
  </si>
  <si>
    <t>Title I</t>
  </si>
  <si>
    <t>Title IIA</t>
  </si>
  <si>
    <t>Impact Aid</t>
  </si>
  <si>
    <t>PROJECT NUMBER</t>
  </si>
  <si>
    <t>GRANT TITLE</t>
  </si>
  <si>
    <t xml:space="preserve">Family Resource Center - Roosevelt                                  </t>
  </si>
  <si>
    <t>x</t>
  </si>
  <si>
    <t xml:space="preserve">Family Resource Center - Batalla                                             </t>
  </si>
  <si>
    <t xml:space="preserve">Family Resource Center - Dunbar                                          </t>
  </si>
  <si>
    <t>Priority Grant</t>
  </si>
  <si>
    <t>PSDG - Extended School Hours</t>
  </si>
  <si>
    <t>School Accountability - Summer School</t>
  </si>
  <si>
    <t>After School Program</t>
  </si>
  <si>
    <t>Smart Start (Operations)</t>
  </si>
  <si>
    <t xml:space="preserve">Bridgeport Interdistrict Discovery Magnet                        </t>
  </si>
  <si>
    <t xml:space="preserve">HS Interdistrict Magnet: Info Tech                                           </t>
  </si>
  <si>
    <t xml:space="preserve">HS Interdistrict Magnet: Zoo Science                                   </t>
  </si>
  <si>
    <t xml:space="preserve">HS Interdistrict Magnet: Phy Science                                       </t>
  </si>
  <si>
    <t>Alliance/ECS</t>
  </si>
  <si>
    <t>Title IV, Part A</t>
  </si>
  <si>
    <t>Title I, Part A (Carryover)</t>
  </si>
  <si>
    <t>Title I, Part D (Carryover)</t>
  </si>
  <si>
    <t>Title I, Part D</t>
  </si>
  <si>
    <t xml:space="preserve">Carl D. Perkins                                                                           </t>
  </si>
  <si>
    <t>18066</t>
  </si>
  <si>
    <t>School Improvement - Cross</t>
  </si>
  <si>
    <t>School Improvement - Dunbar</t>
  </si>
  <si>
    <t>School Improvement - Marin</t>
  </si>
  <si>
    <t>Title IIA (carryover)</t>
  </si>
  <si>
    <t>21st Century</t>
  </si>
  <si>
    <t>Title III</t>
  </si>
  <si>
    <t>Immigrant &amp; Youth Education</t>
  </si>
  <si>
    <t>17109</t>
  </si>
  <si>
    <t xml:space="preserve">Bridgeport Rotary Club - Bassick                                                 </t>
  </si>
  <si>
    <t>IDEA Part B - Sect. 619 (PK)</t>
  </si>
  <si>
    <t>18115</t>
  </si>
  <si>
    <t>Enrichment Fund - Curiale</t>
  </si>
  <si>
    <t>19119</t>
  </si>
  <si>
    <t>Opportunities for Self-Discovery</t>
  </si>
  <si>
    <t>X</t>
  </si>
  <si>
    <t>19127</t>
  </si>
  <si>
    <t>Rockefeller SEL Teacher Innovation - Central</t>
  </si>
  <si>
    <t>18132</t>
  </si>
  <si>
    <t>Adversity to Prosperity - Harding Wrestling Program</t>
  </si>
  <si>
    <t>19134</t>
  </si>
  <si>
    <t>The Jessica Rekos Foundation - Blackham</t>
  </si>
  <si>
    <t>19135</t>
  </si>
  <si>
    <t>14137</t>
  </si>
  <si>
    <t>16137</t>
  </si>
  <si>
    <t>19139</t>
  </si>
  <si>
    <t>FCW - 2019 SAT Prep Program</t>
  </si>
  <si>
    <t>16140</t>
  </si>
  <si>
    <t>Unified Sports Program - PCM</t>
  </si>
  <si>
    <t>15143</t>
  </si>
  <si>
    <t>CSC Holding LLC Toy Drive</t>
  </si>
  <si>
    <t>17143</t>
  </si>
  <si>
    <t>18143</t>
  </si>
  <si>
    <t>Bridgeport Rotary Club - Vision Care</t>
  </si>
  <si>
    <t>16144</t>
  </si>
  <si>
    <t>17145</t>
  </si>
  <si>
    <t xml:space="preserve">Robie &amp; Scott Spector Charitable Fund - Hall          </t>
  </si>
  <si>
    <t>18145</t>
  </si>
  <si>
    <t>BPS Special Events and Activities</t>
  </si>
  <si>
    <t>18146</t>
  </si>
  <si>
    <t>Tokeneke Donations - Read</t>
  </si>
  <si>
    <t>Fitch Professional Development - Cross</t>
  </si>
  <si>
    <t>17147</t>
  </si>
  <si>
    <t>PreKindergarten Fees/Teacher Projects</t>
  </si>
  <si>
    <t>10148</t>
  </si>
  <si>
    <t>Coca Cola Vending</t>
  </si>
  <si>
    <t>18150</t>
  </si>
  <si>
    <t>Drama School Donation - Marin</t>
  </si>
  <si>
    <t>19150</t>
  </si>
  <si>
    <t xml:space="preserve">MCM Playground Fund </t>
  </si>
  <si>
    <t>18F05</t>
  </si>
  <si>
    <t>FEBPS SOAR Enrichment Camp - PVA</t>
  </si>
  <si>
    <t>18F06</t>
  </si>
  <si>
    <t>FEBPS Remote Control Car Program - Aero</t>
  </si>
  <si>
    <t>18F08</t>
  </si>
  <si>
    <t>FEBPS PVA Programs</t>
  </si>
  <si>
    <t>18F09</t>
  </si>
  <si>
    <t>FEBPS SEL Initiatives</t>
  </si>
  <si>
    <t>18F15</t>
  </si>
  <si>
    <t>18F25</t>
  </si>
  <si>
    <t>FEBPS The Mary McCann Bradicich Fund</t>
  </si>
  <si>
    <t>18F26</t>
  </si>
  <si>
    <t>FEBPS Technology Replacement - Black Rock</t>
  </si>
  <si>
    <t>18F27</t>
  </si>
  <si>
    <t>FEBPS SEL Student and Teacher Training</t>
  </si>
  <si>
    <t>18F28</t>
  </si>
  <si>
    <t xml:space="preserve">FEBPS MCM Playground Fund </t>
  </si>
  <si>
    <t>18F99</t>
  </si>
  <si>
    <t>FEBPS Indirects</t>
  </si>
  <si>
    <t>NOTE:  Title I, IIA, III and IDEA include both public and nonpublic school amounts.</t>
  </si>
  <si>
    <t>Title I, IIA, III and IDEA allow for rollover into the next fiscal year.</t>
  </si>
  <si>
    <t>END DATE</t>
  </si>
  <si>
    <t>STATE</t>
  </si>
  <si>
    <t>FEDERAL</t>
  </si>
  <si>
    <t>PRIVATE</t>
  </si>
  <si>
    <t>PURPOSE OF GRANT FUNDING</t>
  </si>
  <si>
    <t>Family Resource Center - Roosevelt</t>
  </si>
  <si>
    <t>Family Resource Center - Batalla</t>
  </si>
  <si>
    <t>Family Resource Center - Dunbar</t>
  </si>
  <si>
    <t>Educational programs for students over 17 years of age not enrolled in public school.</t>
  </si>
  <si>
    <t>School improvement grants, focused on interventions to improve achievement of students below proficiency</t>
  </si>
  <si>
    <t>To educate children identified as limited English proficient in schools where 20 or more are of the same language group.</t>
  </si>
  <si>
    <t>Focuses on four (4) priorities: Dropout Prevention, Early Childhood Education, Parent Involvement and Technology.</t>
  </si>
  <si>
    <t>Funding for mandated summer programs in priority school districts</t>
  </si>
  <si>
    <t>Provides open access for young children to quality prekindergarten programs that promote health and safety; and prepare them for formal schooling</t>
  </si>
  <si>
    <t>Extended day services</t>
  </si>
  <si>
    <t>Teachers and paraprofessionals for 4  classrooms</t>
  </si>
  <si>
    <t>Bridgeport Interdistrict Discovery Magnet</t>
  </si>
  <si>
    <t>Supports Discovery Interdistrict Magnet School</t>
  </si>
  <si>
    <t>Supports the Interdistrict Magnet High School campus</t>
  </si>
  <si>
    <t>HS Interdistrict Magnet: Phy Science</t>
  </si>
  <si>
    <t>The Alliance grant is awarded by the State to increase the district's ECS appropriation.   The funds are utilized to enable provision and continuation of essential educational services, that are part of the district's school improvement plan.</t>
  </si>
  <si>
    <t>Student Support and Academic Enrichment Program</t>
  </si>
  <si>
    <t>Supplemental services to support improved achievement in literacy and mathematics (Entitlement)</t>
  </si>
  <si>
    <t>Title I, Part A</t>
  </si>
  <si>
    <t>Educational Services for Delinquent Youth</t>
  </si>
  <si>
    <t>Resources for programs in technical and vocational education</t>
  </si>
  <si>
    <t>Seaweed Proceeds</t>
  </si>
  <si>
    <t>Aquaculture program</t>
  </si>
  <si>
    <t>Prepares, trains, recruits and retains high quality educators, including teachers and principals</t>
  </si>
  <si>
    <t>Programs to help English Language Learners (ELL) increase English proficiency and core academic content knowledge</t>
  </si>
  <si>
    <t>Program to aid in the education of children of immigrant families</t>
  </si>
  <si>
    <t>Bridgeport Rotary Club - Bassick</t>
  </si>
  <si>
    <t>Donation to support Bassick High School's Initiatives</t>
  </si>
  <si>
    <t>Ensures students with disabilities receive special education and related services designed to meet their unique needs and prepare for further education, employment and independent living.</t>
  </si>
  <si>
    <t>IDEA Part B - Section 611</t>
  </si>
  <si>
    <t>IDEA - Pre-school Education</t>
  </si>
  <si>
    <t>Donation to support student enrichment initiatives</t>
  </si>
  <si>
    <t>Lone Pine Foundation - Curiale School</t>
  </si>
  <si>
    <t>Donation to support the Opportunities for Self-Discovery Transition Program</t>
  </si>
  <si>
    <t>Provides early childhood services in the community</t>
  </si>
  <si>
    <t>Rockefeller SEL Teacher Innovation - CHS</t>
  </si>
  <si>
    <t>Grant to support the SEL Mentorship Program</t>
  </si>
  <si>
    <t xml:space="preserve">Impact Aid </t>
  </si>
  <si>
    <t>Aid to school districts that have lost tax revenues due to the presence of  tax-exempt Federal property.  Considered general aid; may be used as a district chooses.  Typical expenditures: textbooks, computers, school supplies, intervention and enrichment activities.</t>
  </si>
  <si>
    <t>Grant to upgrade the emergency communication system</t>
  </si>
  <si>
    <t xml:space="preserve">First County Bank Foundation - Madison </t>
  </si>
  <si>
    <t>Grant to support the Sensory Super Heroes Program</t>
  </si>
  <si>
    <t>SERC - Harding High School</t>
  </si>
  <si>
    <t>For professional development stipend</t>
  </si>
  <si>
    <t>Bassick High School Robotics Club</t>
  </si>
  <si>
    <t>Donation to support Bassick High School's Robotics Program</t>
  </si>
  <si>
    <t>SERC/School Climate Transformation Grant - Cross School</t>
  </si>
  <si>
    <t>Assist Cross School in improving behavioral outcomes and learning conditions</t>
  </si>
  <si>
    <t>Grant to support the Unified Sports and education related programs</t>
  </si>
  <si>
    <t>Donation to support the Parent Center initiatives</t>
  </si>
  <si>
    <t>Patterson Family Foundation - Bassick</t>
  </si>
  <si>
    <t>Support to rejuvenate school library</t>
  </si>
  <si>
    <t>Donation to support vision care services</t>
  </si>
  <si>
    <t>Donation to support Curiale School</t>
  </si>
  <si>
    <t>Robie &amp; Scott Spector Charitable Fund - Hall School</t>
  </si>
  <si>
    <t>Support of Hall School Art Programs</t>
  </si>
  <si>
    <t>Support for BPS special events and activities</t>
  </si>
  <si>
    <t>Donation to support Read School activities</t>
  </si>
  <si>
    <t>Grant to facilitate tracking of deposits and services for PreK teacher projects</t>
  </si>
  <si>
    <t xml:space="preserve">Vending machine revenue used to purchase student supplies. </t>
  </si>
  <si>
    <t>Donation to support the Drama Club Program at Marin School</t>
  </si>
  <si>
    <t>MCM Playground Fund</t>
  </si>
  <si>
    <t>Donations to support the Playground Fund at MCM</t>
  </si>
  <si>
    <t>Donation to support the SOAR Enrichment Camp</t>
  </si>
  <si>
    <t>Donation to support the Remote Control Car Program</t>
  </si>
  <si>
    <t>Donation to support the Performing and Visual Arts initiatives</t>
  </si>
  <si>
    <t>Donation to support the SEL Initiatives</t>
  </si>
  <si>
    <t>FEBPS Ancillary Programing</t>
  </si>
  <si>
    <t>Donations to support ancillary programing</t>
  </si>
  <si>
    <t>Donation to support EL Summit Initiatives</t>
  </si>
  <si>
    <t>Grant to support technology replacement at Black Rock School</t>
  </si>
  <si>
    <t>Grant to SEL student and teacher training</t>
  </si>
  <si>
    <t>Grant to support the Playground Fund at MCM</t>
  </si>
  <si>
    <t xml:space="preserve">FEBPS Indirects </t>
  </si>
  <si>
    <t>2018-19</t>
  </si>
  <si>
    <t>..</t>
  </si>
  <si>
    <t>Loc Code</t>
  </si>
  <si>
    <t>Location</t>
  </si>
  <si>
    <t>Barnum</t>
  </si>
  <si>
    <t>Beardsley</t>
  </si>
  <si>
    <t>Black Rock</t>
  </si>
  <si>
    <t>Bryant</t>
  </si>
  <si>
    <t>Columbus</t>
  </si>
  <si>
    <t>Zoo Science HS</t>
  </si>
  <si>
    <t>Edison</t>
  </si>
  <si>
    <t>Physical Science HS</t>
  </si>
  <si>
    <t>Marin</t>
  </si>
  <si>
    <t>Hall</t>
  </si>
  <si>
    <t>Hallen</t>
  </si>
  <si>
    <t>Hooker</t>
  </si>
  <si>
    <t>Batalla</t>
  </si>
  <si>
    <t>Info Tech HS</t>
  </si>
  <si>
    <t>BMA HS</t>
  </si>
  <si>
    <t>Park City Magnet</t>
  </si>
  <si>
    <t>Madison</t>
  </si>
  <si>
    <t>Classical Studies Academy</t>
  </si>
  <si>
    <t>Tisdale</t>
  </si>
  <si>
    <t>Read</t>
  </si>
  <si>
    <t>Roosevelt</t>
  </si>
  <si>
    <t>Bridgeport Learning Center</t>
  </si>
  <si>
    <t>Waltersville</t>
  </si>
  <si>
    <t>Claytor</t>
  </si>
  <si>
    <t>Johnson</t>
  </si>
  <si>
    <t>Winthrop</t>
  </si>
  <si>
    <t>Discovery</t>
  </si>
  <si>
    <t>Cross</t>
  </si>
  <si>
    <t>Blackham</t>
  </si>
  <si>
    <t>Dunbar</t>
  </si>
  <si>
    <t>Curiale</t>
  </si>
  <si>
    <t>Skane</t>
  </si>
  <si>
    <t>High Horizons Magnet</t>
  </si>
  <si>
    <t>Multicultural Magnet</t>
  </si>
  <si>
    <t>Traveler</t>
  </si>
  <si>
    <t>Bassick HS</t>
  </si>
  <si>
    <t>Central HS</t>
  </si>
  <si>
    <t>Harding HS</t>
  </si>
  <si>
    <t>Juvenile Detention Center</t>
  </si>
  <si>
    <t>Human Resources Office</t>
  </si>
  <si>
    <t>Superintendent's Office</t>
  </si>
  <si>
    <t>Office of Specialized Instruction</t>
  </si>
  <si>
    <t>FCW campus</t>
  </si>
  <si>
    <t>CSA Annex</t>
  </si>
  <si>
    <t>BRIDGEPORT SCHOOL DISTRICT</t>
  </si>
  <si>
    <t>FOOD AND NUTRITION SERVICES (FNS): FINANCIAL CONDITION REPORT</t>
  </si>
  <si>
    <t>2016-2017</t>
  </si>
  <si>
    <t>2017-18</t>
  </si>
  <si>
    <t>Code</t>
  </si>
  <si>
    <t>Actual</t>
  </si>
  <si>
    <t>Actual.</t>
  </si>
  <si>
    <t>REVENUE</t>
  </si>
  <si>
    <t>CATERING SALES</t>
  </si>
  <si>
    <t>STUDENT SALES</t>
  </si>
  <si>
    <t>OTHER SALES</t>
  </si>
  <si>
    <t>HEALTHY FOOD CERTIFICATION</t>
  </si>
  <si>
    <t>FEDERAL FRESH FRUIT OPERATING</t>
  </si>
  <si>
    <t>FEDERAL FRESH FRUIT ADMIN</t>
  </si>
  <si>
    <t>FEDERAL SUMMER FOOD OPERATING</t>
  </si>
  <si>
    <t>FEDERAL SUMMER FOOD ADMIN</t>
  </si>
  <si>
    <t>FEDERAL SUPPER PROG OPERATING</t>
  </si>
  <si>
    <t>FEDERAL SUPPER PROGRAM ADMIN</t>
  </si>
  <si>
    <t>FEDERAL AFTER SCHOOL SNACK</t>
  </si>
  <si>
    <t>NUTRITION-FEDERALPORTION,CAF</t>
  </si>
  <si>
    <t>FEDERAL BREAKFAST PROGRAM</t>
  </si>
  <si>
    <t>UNREALIZED REVENUE: IN MUNIS - NOT TO BE EXPENDED</t>
  </si>
  <si>
    <t>Totals</t>
  </si>
  <si>
    <t>MUNIS</t>
  </si>
  <si>
    <t>Object</t>
  </si>
  <si>
    <t>REQ</t>
  </si>
  <si>
    <t>ENCUMB</t>
  </si>
  <si>
    <t>Total YTD</t>
  </si>
  <si>
    <t>Balance</t>
  </si>
  <si>
    <t>UNREALIZED REVENUE: ON THIS LINE = NOT TO BE EXPENDED.</t>
  </si>
  <si>
    <t>52150</t>
  </si>
  <si>
    <t>LIFE INSURANCE NUTRITION</t>
  </si>
  <si>
    <t>STATE OF CT ANNUAL ASMT FEE</t>
  </si>
  <si>
    <t>CT 2ND INJURY FUND ASSESSM</t>
  </si>
  <si>
    <t>WORKERS' COMP ADM FEE</t>
  </si>
  <si>
    <t>52312</t>
  </si>
  <si>
    <t>WORKERS' COMP INDM - NUTRITION</t>
  </si>
  <si>
    <t>52314</t>
  </si>
  <si>
    <t>WORKERS' COMP MED - NUTRITION</t>
  </si>
  <si>
    <t>54595</t>
  </si>
  <si>
    <t>MEETING/WORKSHOP/CATERING FOOD</t>
  </si>
  <si>
    <t>54600</t>
  </si>
  <si>
    <t>FOOD SERVICE SUPPLIES</t>
  </si>
  <si>
    <t>55045</t>
  </si>
  <si>
    <t>VEHICLES</t>
  </si>
  <si>
    <t>55095</t>
  </si>
  <si>
    <t>FOOD SERVICE EQUIPMENT</t>
  </si>
  <si>
    <t>56015</t>
  </si>
  <si>
    <t>AGRIC/HEAVY EQ MAINT SRVCS</t>
  </si>
  <si>
    <t>OTHER MAINTENANCE &amp; REPAIRS</t>
  </si>
  <si>
    <t>56175</t>
  </si>
  <si>
    <t>OFFICE EQUIPMENT MAINT SRVCS</t>
  </si>
  <si>
    <t>MAILING SERVICES</t>
  </si>
  <si>
    <t>TOTALS</t>
  </si>
  <si>
    <t>Fitch Professional Development - BMA</t>
  </si>
  <si>
    <t>Fitch Professional Development - Bryant</t>
  </si>
  <si>
    <t>19F05</t>
  </si>
  <si>
    <t xml:space="preserve">FEBPS – SOAR Enrichment Summer Camp                           </t>
  </si>
  <si>
    <t xml:space="preserve">FEBPS – SOAR Enrichment Summer Camp                           </t>
  </si>
  <si>
    <t>Grant to support the Summer II Arts Enrichment Camp</t>
  </si>
  <si>
    <t xml:space="preserve">FEBPS – Advance Manufacturing Summer Coding Program                           </t>
  </si>
  <si>
    <t>FEBPS - Indirects</t>
  </si>
  <si>
    <t xml:space="preserve">FEBPS - MCM Playground Fund </t>
  </si>
  <si>
    <t>FEBPS - SEL Student and Teacher Training</t>
  </si>
  <si>
    <t>FEBPS - Technology Replacement - Black Rock</t>
  </si>
  <si>
    <t>FEBPS - The Mary McCann Bradicich Fund</t>
  </si>
  <si>
    <t>FEBPS - Ancillary Programming</t>
  </si>
  <si>
    <t>FEBPS - SEL Initiatives</t>
  </si>
  <si>
    <t>FEBPS - PVA Programs</t>
  </si>
  <si>
    <t>FEBPS - Remote Control Car Program - Aero</t>
  </si>
  <si>
    <t>FEBPS - SOAR Enrichment Camp - PVA</t>
  </si>
  <si>
    <t>19116</t>
  </si>
  <si>
    <t>Bridgeport Unified Sports Donations</t>
  </si>
  <si>
    <t>LONGEVITY RETIREMENT</t>
  </si>
  <si>
    <t>*FY19 State ECS Addition = $472,810.   This amount includes:</t>
  </si>
  <si>
    <t>* +$250,000 [FY18 ECS holdback restored] PLUS</t>
  </si>
  <si>
    <t>* +$222,810 = a supplement for displaced students.</t>
  </si>
  <si>
    <t>The ECS supplement for displaced students may or may not be continued in 2019-20.</t>
  </si>
  <si>
    <t>FY20</t>
  </si>
  <si>
    <t>2019-20</t>
  </si>
  <si>
    <t>Actual..</t>
  </si>
  <si>
    <t>….</t>
  </si>
  <si>
    <t>Family Resource Center</t>
  </si>
  <si>
    <t xml:space="preserve">Extended School Hours (ESH) grants to schools that were successful in the internal district RFP competition, conducted in the spring 2017 term.  </t>
  </si>
  <si>
    <t xml:space="preserve">Carl D. Perkins </t>
  </si>
  <si>
    <t>20143</t>
  </si>
  <si>
    <t>Discovery PK Support</t>
  </si>
  <si>
    <t>Fees collected from the Discovery Magnet PK program, applied to direct services to benefit the PK program at Discovery Magnet.</t>
  </si>
  <si>
    <t>ALLIANCE ECS</t>
  </si>
  <si>
    <t>20146</t>
  </si>
  <si>
    <t>20145</t>
  </si>
  <si>
    <t xml:space="preserve">SEL Initiatives </t>
  </si>
  <si>
    <t>20127</t>
  </si>
  <si>
    <t>20144</t>
  </si>
  <si>
    <t>BMA Senior Naval Science</t>
  </si>
  <si>
    <t>20141</t>
  </si>
  <si>
    <t>20140</t>
  </si>
  <si>
    <t xml:space="preserve">Grant to support the partnership </t>
  </si>
  <si>
    <t>01810802</t>
  </si>
  <si>
    <t>01810830</t>
  </si>
  <si>
    <t>01810831</t>
  </si>
  <si>
    <t>01814861</t>
  </si>
  <si>
    <t>MEDICAL MEDICARE RETIREES BOE</t>
  </si>
  <si>
    <t>01854861</t>
  </si>
  <si>
    <t>01856803</t>
  </si>
  <si>
    <t>01883837</t>
  </si>
  <si>
    <t>01887800</t>
  </si>
  <si>
    <t>LANDSCAPING EQUIPMENT</t>
  </si>
  <si>
    <t>SUM OF CREDITS:</t>
  </si>
  <si>
    <t>20039</t>
  </si>
  <si>
    <t>Department of Social Services/Medicaid</t>
  </si>
  <si>
    <t>20106</t>
  </si>
  <si>
    <t>Math Initiatives - Greg Tang Math Workshops</t>
  </si>
  <si>
    <t>41620</t>
  </si>
  <si>
    <t>41621</t>
  </si>
  <si>
    <t>41622</t>
  </si>
  <si>
    <t>42040</t>
  </si>
  <si>
    <t>42041</t>
  </si>
  <si>
    <t>42042</t>
  </si>
  <si>
    <t>42043</t>
  </si>
  <si>
    <t>42044</t>
  </si>
  <si>
    <t>42045</t>
  </si>
  <si>
    <t>42046</t>
  </si>
  <si>
    <t>42121</t>
  </si>
  <si>
    <t>42617</t>
  </si>
  <si>
    <t>FY19 Final Revenue</t>
  </si>
  <si>
    <t>Fitch Professional Development - Black Rock</t>
  </si>
  <si>
    <t>20125</t>
  </si>
  <si>
    <t>Grant to support the Science Matters Professional Development at Wilbur Cross School</t>
  </si>
  <si>
    <t>20139</t>
  </si>
  <si>
    <t>Unified Sports Program - HHM</t>
  </si>
  <si>
    <t>Award to support the Early Childhood SEL initiatives</t>
  </si>
  <si>
    <t>BECSELI - School Readiness</t>
  </si>
  <si>
    <t>BECSELI - Early Childhood</t>
  </si>
  <si>
    <t>20131</t>
  </si>
  <si>
    <t>PSEG - Nature's Classroom Trip - Roosevelt</t>
  </si>
  <si>
    <t xml:space="preserve">Grant to support the Nature’s Classroom Trip </t>
  </si>
  <si>
    <t>20129</t>
  </si>
  <si>
    <t>Fairfield University HOPE Club - Batalla</t>
  </si>
  <si>
    <t>Grant to support the HOPE Afterschool Club at Batalla School</t>
  </si>
  <si>
    <t>20116</t>
  </si>
  <si>
    <t xml:space="preserve">SEL Initiatives - Harding </t>
  </si>
  <si>
    <t>20119</t>
  </si>
  <si>
    <t>SEL Initiatives - School Readiness</t>
  </si>
  <si>
    <t>Grant to support the School Readiness Program SEL initiatives</t>
  </si>
  <si>
    <t>Grant to support Harding High School’s SEL initiatives</t>
  </si>
  <si>
    <t>20137</t>
  </si>
  <si>
    <t>Band Donation - Madison</t>
  </si>
  <si>
    <t>Grant to support the Band Department at Madison School</t>
  </si>
  <si>
    <t>20136</t>
  </si>
  <si>
    <t>Dinardo Family Athletic Donation</t>
  </si>
  <si>
    <t xml:space="preserve">Grant to support the district’s Athletic Department </t>
  </si>
  <si>
    <t>20121</t>
  </si>
  <si>
    <t>20081</t>
  </si>
  <si>
    <t>20084</t>
  </si>
  <si>
    <t>Fitch Professional Development - Aero</t>
  </si>
  <si>
    <t>Fitch Professional Development - Biotech</t>
  </si>
  <si>
    <t>TEAM Mentors</t>
  </si>
  <si>
    <t xml:space="preserve">District CEEDAR Program </t>
  </si>
  <si>
    <t xml:space="preserve">Grant to support the attendance to the MSA and Teach Thought Conferences </t>
  </si>
  <si>
    <t>Grant to support technical assistance from SERC offering resources to improve student achievements</t>
  </si>
  <si>
    <t xml:space="preserve">Grant to support Greg Tang Math workshops </t>
  </si>
  <si>
    <t>Donation to support the Bridgeport Unified Sports Program</t>
  </si>
  <si>
    <t xml:space="preserve">Donation to support the FWC SAT Prep Program </t>
  </si>
  <si>
    <t>BMA JROTC Program</t>
  </si>
  <si>
    <t>Award to support SEL initiatives</t>
  </si>
  <si>
    <t xml:space="preserve">FEBPS – Girls Who Code Summer Coding Program                           </t>
  </si>
  <si>
    <t>Grant to support the First Challenge Summer Coding Camp</t>
  </si>
  <si>
    <t>20067</t>
  </si>
  <si>
    <t>20069</t>
  </si>
  <si>
    <t>Fitch Professional Development - Bassick</t>
  </si>
  <si>
    <t>Grant to support attending the Instructional Response to a Widening Gap workshop</t>
  </si>
  <si>
    <t xml:space="preserve">Grant to support Student/Teacher Connections </t>
  </si>
  <si>
    <t>803</t>
  </si>
  <si>
    <t>FY21</t>
  </si>
  <si>
    <t>2020-21</t>
  </si>
  <si>
    <t>21147</t>
  </si>
  <si>
    <t>Walter Luckett Jr. Foundation – Tisdale</t>
  </si>
  <si>
    <t>Grant to support the purchase of Chromebooks for the Winning Play$ Program</t>
  </si>
  <si>
    <t>Actual…</t>
  </si>
  <si>
    <t>IN MUNIS…</t>
  </si>
  <si>
    <t>FY20 Final Revenue</t>
  </si>
  <si>
    <t>19128</t>
  </si>
  <si>
    <t>01814830</t>
  </si>
  <si>
    <t>01819000</t>
  </si>
  <si>
    <t>01837000</t>
  </si>
  <si>
    <t>CT PARTNERSHIP BOE RETIREES</t>
  </si>
  <si>
    <t>MANAGEMENT SERVICES</t>
  </si>
  <si>
    <t>21105</t>
  </si>
  <si>
    <t>Field of Dreams - Math Initiatives</t>
  </si>
  <si>
    <t>Donation to support the district’s Math initiatives.</t>
  </si>
  <si>
    <t>21146</t>
  </si>
  <si>
    <t>BPS High School Scholarships</t>
  </si>
  <si>
    <t>Funds to support High School Scholarships</t>
  </si>
  <si>
    <t>21144</t>
  </si>
  <si>
    <t>BPT Field of Dreams - Marin</t>
  </si>
  <si>
    <t>01810000</t>
  </si>
  <si>
    <t>01814801</t>
  </si>
  <si>
    <t>01816817</t>
  </si>
  <si>
    <t>01827807</t>
  </si>
  <si>
    <t>01853828</t>
  </si>
  <si>
    <t>01854801</t>
  </si>
  <si>
    <t>01854836</t>
  </si>
  <si>
    <t>01854984</t>
  </si>
  <si>
    <t>Extended day services at Barnum and Waltersville Schools</t>
  </si>
  <si>
    <t>Extended day services at Batalla, Columbus and Curiale Schools</t>
  </si>
  <si>
    <t>Extended day services at Dunbar, Edison and Hall Schools</t>
  </si>
  <si>
    <t>Extended day services at Bassick, Central and Harding High Schools</t>
  </si>
  <si>
    <t>21138</t>
  </si>
  <si>
    <t>Grant to support the IT Park City Community Project</t>
  </si>
  <si>
    <t>21106</t>
  </si>
  <si>
    <t xml:space="preserve">2021 Math Initiatives </t>
  </si>
  <si>
    <t>01860844</t>
  </si>
  <si>
    <t>21034</t>
  </si>
  <si>
    <t>Magnet Retro Revenue - Discovery</t>
  </si>
  <si>
    <t>21035</t>
  </si>
  <si>
    <t>Magnet Retro Revenue - Info Tech HS</t>
  </si>
  <si>
    <t>21036</t>
  </si>
  <si>
    <t>Magnet Retro Revenue - Biotech HS</t>
  </si>
  <si>
    <t>21037</t>
  </si>
  <si>
    <t>Magnet Retro Revenue - Aero HS</t>
  </si>
  <si>
    <t>21038</t>
  </si>
  <si>
    <t>Magnet Retro Revenue - District Reserve</t>
  </si>
  <si>
    <t>21108</t>
  </si>
  <si>
    <t>BPS Technology Improvements</t>
  </si>
  <si>
    <t>Line 52917: Surplus =$925,299 to ISF</t>
  </si>
  <si>
    <t>21104</t>
  </si>
  <si>
    <t>BPS Technology &amp; Literacy Initiatives</t>
  </si>
  <si>
    <t>Grant to support the district’s technology and literacy initiatives</t>
  </si>
  <si>
    <t>01886878</t>
  </si>
  <si>
    <t>01887070</t>
  </si>
  <si>
    <t>21119</t>
  </si>
  <si>
    <t>21124</t>
  </si>
  <si>
    <t>21128</t>
  </si>
  <si>
    <t>21129</t>
  </si>
  <si>
    <t>Fitch Professional Development -Waltersville</t>
  </si>
  <si>
    <t>21135</t>
  </si>
  <si>
    <t>Eberstadt Family Foundation - MCM</t>
  </si>
  <si>
    <t>Grant to support the Mindfulness Alleviating Student Anxiety During a Pandemic Workshop</t>
  </si>
  <si>
    <t xml:space="preserve">Grant to support the Focusing on Persuasive Thinking and Writing as a Lifelong Skills to Build Communication and Respect Workshop </t>
  </si>
  <si>
    <t xml:space="preserve">Grant to support the Faculty &amp; Staff Self-Identified Professional Development </t>
  </si>
  <si>
    <t>Donation to support Multicultural Magnet School’s general initiatives</t>
  </si>
  <si>
    <t>21F01</t>
  </si>
  <si>
    <t>FEBPS – Summer Family Assistance</t>
  </si>
  <si>
    <t>Grant to support Summer Family Assistance Programs at the Family Resource Center sites</t>
  </si>
  <si>
    <t xml:space="preserve">FEBPS – Girls Robotics HS Summer  Program                           </t>
  </si>
  <si>
    <t>21113</t>
  </si>
  <si>
    <t>Student Device Damage Fees</t>
  </si>
  <si>
    <t>Fees collected from students for damages to computer devices</t>
  </si>
  <si>
    <t>21131</t>
  </si>
  <si>
    <t>Fitch Professional Development -Biotech</t>
  </si>
  <si>
    <t>21132</t>
  </si>
  <si>
    <t>Fitch Professional Development -Info Tech</t>
  </si>
  <si>
    <t>21133</t>
  </si>
  <si>
    <t>Fitch Professional Development - Curiale</t>
  </si>
  <si>
    <t>Grant to attend the NSTA STEM Forum and Expo conference</t>
  </si>
  <si>
    <t>Grant to support the Culturally Responsive Book Study</t>
  </si>
  <si>
    <t xml:space="preserve">OPERATING BUDGET APPROPRIATION </t>
  </si>
  <si>
    <t>FY22</t>
  </si>
  <si>
    <r>
      <t xml:space="preserve">&gt; Adjusted: </t>
    </r>
    <r>
      <rPr>
        <b/>
        <sz val="11"/>
        <color rgb="FFFF0000"/>
        <rFont val="Calibri"/>
        <family val="2"/>
      </rPr>
      <t>($9,962)</t>
    </r>
    <r>
      <rPr>
        <b/>
        <sz val="11"/>
        <rFont val="Calibri"/>
        <family val="2"/>
      </rPr>
      <t xml:space="preserve"> and </t>
    </r>
    <r>
      <rPr>
        <b/>
        <sz val="11"/>
        <color rgb="FFFF0000"/>
        <rFont val="Calibri"/>
        <family val="2"/>
      </rPr>
      <t>($2,098,205 - $2,300,000)</t>
    </r>
  </si>
  <si>
    <t>2021-22</t>
  </si>
  <si>
    <t>FY21 compared to FY20</t>
  </si>
  <si>
    <t>FY20 compared to FY19</t>
  </si>
  <si>
    <t>FY19 compared to FY18</t>
  </si>
  <si>
    <t>FY18 compared to FY17</t>
  </si>
  <si>
    <t>FY17 compared to FY16</t>
  </si>
  <si>
    <t>FY16 compared to FY15</t>
  </si>
  <si>
    <t>FY15 compared to FY14</t>
  </si>
  <si>
    <t>FY14 compared to FY13</t>
  </si>
  <si>
    <t>FY13 compared to FY12</t>
  </si>
  <si>
    <t>FY12 State ECS</t>
  </si>
  <si>
    <t>FY13 State ECS</t>
  </si>
  <si>
    <t>FY13 State ALLIANCE/ECS</t>
  </si>
  <si>
    <t>FY14 State ECS</t>
  </si>
  <si>
    <t>FY14 State ALLIANCE/ECS</t>
  </si>
  <si>
    <t>FY15 State ECS</t>
  </si>
  <si>
    <t>FY15 State ALLIANCE/ECS</t>
  </si>
  <si>
    <t>FY16 State ECS</t>
  </si>
  <si>
    <t>FY16 State ALLIANCE/ECS</t>
  </si>
  <si>
    <t>FY17 State ECS</t>
  </si>
  <si>
    <t>FY17 State ALLIANCE/ECS - reduced from FY 16</t>
  </si>
  <si>
    <t>FY17 State ALLIANCE/ECS - REQUESTED ADDITION</t>
  </si>
  <si>
    <t>FY18 State ECS</t>
  </si>
  <si>
    <t>FY18 State ALLIANCE ECS</t>
  </si>
  <si>
    <t xml:space="preserve">FY18 State ALLIANCE/ECS </t>
  </si>
  <si>
    <t>FY19 State ECS</t>
  </si>
  <si>
    <t>FY19 State ECS Addition</t>
  </si>
  <si>
    <t>FY19 ALLIANCE ECS</t>
  </si>
  <si>
    <t>FY19 Alliance ECS Addition</t>
  </si>
  <si>
    <t>FY20 State ECS</t>
  </si>
  <si>
    <t>FY20 State ECS Addition</t>
  </si>
  <si>
    <t>FY20 ALLIANCE ECS</t>
  </si>
  <si>
    <t>FY20 Alliance ECS Addition</t>
  </si>
  <si>
    <t>FY21 State ECS</t>
  </si>
  <si>
    <t>FY21 State ECS Addition</t>
  </si>
  <si>
    <t>FY21 ALLIANCE ECS</t>
  </si>
  <si>
    <t>FY21 Alliance ECS Addition</t>
  </si>
  <si>
    <t>FY22 State ECS Addition</t>
  </si>
  <si>
    <t>FY22 State ECS</t>
  </si>
  <si>
    <t>FY22 ALLIANCE ECS</t>
  </si>
  <si>
    <t>FY 22 Alliance ECS Addition</t>
  </si>
  <si>
    <t>FY22 compared to FY21</t>
  </si>
  <si>
    <t>DIST</t>
  </si>
  <si>
    <t>PK</t>
  </si>
  <si>
    <t>22056</t>
  </si>
  <si>
    <t>ARP ESSER</t>
  </si>
  <si>
    <t>American Rescue Plan, Elementary and Secondary School Emergency Coronavirus Aid</t>
  </si>
  <si>
    <t>N/A</t>
  </si>
  <si>
    <t>LEAP Home Visiting Program</t>
  </si>
  <si>
    <t>01803861</t>
  </si>
  <si>
    <t>01803862</t>
  </si>
  <si>
    <t>01803863</t>
  </si>
  <si>
    <t>01803984</t>
  </si>
  <si>
    <t>01813803</t>
  </si>
  <si>
    <t>01829841</t>
  </si>
  <si>
    <t>01831000</t>
  </si>
  <si>
    <t>ACTUARIAL SERVICES</t>
  </si>
  <si>
    <t>01853805</t>
  </si>
  <si>
    <t>01855000</t>
  </si>
  <si>
    <t>01857822</t>
  </si>
  <si>
    <t>Grant to support district efforts to increase student achievement through intentional relationship focused home visitation with related supports and services</t>
  </si>
  <si>
    <t>Yearlong SEL Coordinator</t>
  </si>
  <si>
    <t>Grant to support the district's SEL initiatives</t>
  </si>
  <si>
    <t>01856825</t>
  </si>
  <si>
    <t>01860810</t>
  </si>
  <si>
    <t>01860837</t>
  </si>
  <si>
    <t>Actual….</t>
  </si>
  <si>
    <t>FEDERAL EMERGENCY MEAL REIMB</t>
  </si>
  <si>
    <t>42122</t>
  </si>
  <si>
    <t>PANDEMIC LOCAL LEVEL COST GRANT</t>
  </si>
  <si>
    <t>42123</t>
  </si>
  <si>
    <t>FY21 Final Revenue</t>
  </si>
  <si>
    <t>Line 52917: Surplus =$851,129 to ISF</t>
  </si>
  <si>
    <t>Compared to Projected Revenue</t>
  </si>
  <si>
    <t>School Improvement - Bassick</t>
  </si>
  <si>
    <t>22F09</t>
  </si>
  <si>
    <t xml:space="preserve">FEBPS – Afterschool Coding Program - Claytor                           </t>
  </si>
  <si>
    <t>Reimbursement</t>
  </si>
  <si>
    <t>22145</t>
  </si>
  <si>
    <t>22146</t>
  </si>
  <si>
    <t>Grant to support the School Readiness SEL initiatives</t>
  </si>
  <si>
    <t>Grant to support the Early Childhood SEL related initiatives</t>
  </si>
  <si>
    <t>Assist schools with providing added supports and services for children and families while we continue to adapt to the changing dynamics and recovery from this pandemic</t>
  </si>
  <si>
    <t>22017</t>
  </si>
  <si>
    <t>22019</t>
  </si>
  <si>
    <t xml:space="preserve">Family Resource Center ESSER II - Roosevelt                                            </t>
  </si>
  <si>
    <t xml:space="preserve">Family Resource Center ESSER II - Dunbar                                         </t>
  </si>
  <si>
    <t>01814831</t>
  </si>
  <si>
    <t>01853842</t>
  </si>
  <si>
    <t>01855864</t>
  </si>
  <si>
    <t>01888811</t>
  </si>
  <si>
    <t>01888861</t>
  </si>
  <si>
    <t>01860822</t>
  </si>
  <si>
    <t>Turnaround Arts - Block Fund</t>
  </si>
  <si>
    <t>Grant to support community engagement and professional development projects</t>
  </si>
  <si>
    <t>22130</t>
  </si>
  <si>
    <t>22144</t>
  </si>
  <si>
    <t>Ketchum Inc. Donation – CSA</t>
  </si>
  <si>
    <t>Grant to support Classical Studies Academy initiatives</t>
  </si>
  <si>
    <t>22142</t>
  </si>
  <si>
    <t xml:space="preserve">Bassick High School Enrichment </t>
  </si>
  <si>
    <t>Donation to support Bassick High School’s enrichment initiatives</t>
  </si>
  <si>
    <t>August 31st Final Report:  The  rollover amounts for all grants that allow for rollover reflect amounts rolled over as of June 30th (end of fiscal year close).</t>
  </si>
  <si>
    <t>22131</t>
  </si>
  <si>
    <t>Grant to support the eMints Professional Development Program</t>
  </si>
  <si>
    <t>22132</t>
  </si>
  <si>
    <t>22135</t>
  </si>
  <si>
    <t>Grant to support the BMA Summer Professional Development Program</t>
  </si>
  <si>
    <t>22139</t>
  </si>
  <si>
    <t xml:space="preserve">RESC MRT Alliance District Grant </t>
  </si>
  <si>
    <t>Grant to support the district’s efforts to recruit and retain racially, ethnically, and culturally diverse professional educator workforce</t>
  </si>
  <si>
    <t>Nita M. Lowey 21st Century Community Learning</t>
  </si>
  <si>
    <t>22052</t>
  </si>
  <si>
    <t>ARP ESSER Homeless Children and Youth (HCY) II</t>
  </si>
  <si>
    <t>Grant to provide the assistance needed for homeless children and youth to attend and participate fully in school activities</t>
  </si>
  <si>
    <t>22F04</t>
  </si>
  <si>
    <t>22F06</t>
  </si>
  <si>
    <t>Grant to support the Girls Who Code 2022 Summer Camp</t>
  </si>
  <si>
    <t>SUPPLY CHAIN ASSISTANCE FUNDS</t>
  </si>
  <si>
    <t>IN BUDGET</t>
  </si>
  <si>
    <t xml:space="preserve"> </t>
  </si>
  <si>
    <t>01853832</t>
  </si>
  <si>
    <t>01854820</t>
  </si>
  <si>
    <t>SHIFT 3 - 2X OVERTIME</t>
  </si>
  <si>
    <t>898</t>
  </si>
  <si>
    <t>01898000</t>
  </si>
  <si>
    <t>ACCREDITATION-BOE</t>
  </si>
  <si>
    <t>FY23</t>
  </si>
  <si>
    <t>w/o Alliance ECS</t>
  </si>
  <si>
    <t>FY23 State ECS</t>
  </si>
  <si>
    <t>FY23 State ECS Addition</t>
  </si>
  <si>
    <t>FY23 ALLIANCE ECS</t>
  </si>
  <si>
    <t>FY23 Alliance ECS Addition</t>
  </si>
  <si>
    <t>Alliance ECS</t>
  </si>
  <si>
    <t>FY23 compared to FY22</t>
  </si>
  <si>
    <t>2022-23</t>
  </si>
  <si>
    <t>Title III - Carryover</t>
  </si>
  <si>
    <t>Title IIA - Carryover</t>
  </si>
  <si>
    <t>Title I, Part A - Carryover</t>
  </si>
  <si>
    <t>Title IV, Part A - Carryover</t>
  </si>
  <si>
    <t>IDEA Part B - Section 611 - Carryover</t>
  </si>
  <si>
    <t>23131</t>
  </si>
  <si>
    <t>23136</t>
  </si>
  <si>
    <t>Fitch Professional Development -School Counseling</t>
  </si>
  <si>
    <t>Fitch Professional Development - Speech &amp; Language Services</t>
  </si>
  <si>
    <t>23055</t>
  </si>
  <si>
    <t>ESSER Supports for Pregnant &amp; Parenting Teens Program</t>
  </si>
  <si>
    <t>ARP ESSER JDC</t>
  </si>
  <si>
    <t>Fitch Professional Development - Hall</t>
  </si>
  <si>
    <t>23137</t>
  </si>
  <si>
    <t xml:space="preserve">IDEA Part B - Section 611 </t>
  </si>
  <si>
    <t>ARP ESSER funds to provide supports that focus on improving the health, education and social outcomes for pregnant and parenting students and their children</t>
  </si>
  <si>
    <t>Elementary and Secondary School Emergency Relief Fund (ESSER) Guidance: Reimagining Schools to Transform Students’ Lives</t>
  </si>
  <si>
    <t>Title IV, Part A (Carryover)</t>
  </si>
  <si>
    <t xml:space="preserve">Title IV, Part A </t>
  </si>
  <si>
    <t>School Improvement - Barnum</t>
  </si>
  <si>
    <t>School Improvement - BMA</t>
  </si>
  <si>
    <t>School Improvement - Harding</t>
  </si>
  <si>
    <t>IDEA Part B - Section 611 (Carryover)</t>
  </si>
  <si>
    <t>Grant to support the Wrestling Program</t>
  </si>
  <si>
    <t>Grant to support the Interdisciplinary Biotechnology PBL Design</t>
  </si>
  <si>
    <t>Grant to support the Whole School Implementation of Restorative Practices</t>
  </si>
  <si>
    <t>23132</t>
  </si>
  <si>
    <t>Grant to support the Special Education Law Symposium</t>
  </si>
  <si>
    <t>Grant to support the Learning and Connection at ASHA conference</t>
  </si>
  <si>
    <t>Grant to support the Unified Sports and education related programs at PCM</t>
  </si>
  <si>
    <t xml:space="preserve">Donation to support Marin School's initiatives </t>
  </si>
  <si>
    <t>23150</t>
  </si>
  <si>
    <t>Grant to support the After School Coding Program at Claytor</t>
  </si>
  <si>
    <t>23029</t>
  </si>
  <si>
    <t>Summer Enrichment - Expansion</t>
  </si>
  <si>
    <t>Summer Enrichment Program</t>
  </si>
  <si>
    <t>23027</t>
  </si>
  <si>
    <t>ARP After School Enhancement Grant</t>
  </si>
  <si>
    <t>23026</t>
  </si>
  <si>
    <t>23024</t>
  </si>
  <si>
    <t>ARP ESSER Innovation After School</t>
  </si>
  <si>
    <t>23133</t>
  </si>
  <si>
    <t>Grant to support the Visual Art Technique: Air Brush Instructional Program</t>
  </si>
  <si>
    <t>23134</t>
  </si>
  <si>
    <t>Fitch Professional Development - Winthrop TAG</t>
  </si>
  <si>
    <t>Projected</t>
  </si>
  <si>
    <t>Alliance</t>
  </si>
  <si>
    <t>IDEA 611</t>
  </si>
  <si>
    <t>Open Choice</t>
  </si>
  <si>
    <t>23F08</t>
  </si>
  <si>
    <t>01813801</t>
  </si>
  <si>
    <t>01813812</t>
  </si>
  <si>
    <t>01813839</t>
  </si>
  <si>
    <t>01815000</t>
  </si>
  <si>
    <t>01817813</t>
  </si>
  <si>
    <t>01819807</t>
  </si>
  <si>
    <t>01820826</t>
  </si>
  <si>
    <t>01822808</t>
  </si>
  <si>
    <t>01822815</t>
  </si>
  <si>
    <t>01825000</t>
  </si>
  <si>
    <t>01827826</t>
  </si>
  <si>
    <t>01829805</t>
  </si>
  <si>
    <t>01829810</t>
  </si>
  <si>
    <t>01829830</t>
  </si>
  <si>
    <t>01832000</t>
  </si>
  <si>
    <t>844</t>
  </si>
  <si>
    <t>01844000</t>
  </si>
  <si>
    <t>01853836</t>
  </si>
  <si>
    <t>SUBSCRIPTIONS</t>
  </si>
  <si>
    <t>01888000</t>
  </si>
  <si>
    <t>ROADWAY SUPPLIES</t>
  </si>
  <si>
    <t>23135</t>
  </si>
  <si>
    <t>23044</t>
  </si>
  <si>
    <t xml:space="preserve">CHDI CBITS/Bounce Back </t>
  </si>
  <si>
    <t>23045</t>
  </si>
  <si>
    <t>CHDI CBITS/Bounce Back Training</t>
  </si>
  <si>
    <t>23106</t>
  </si>
  <si>
    <t>Grant to support the 2022-2023 Math Meet, Developing Lead Teacher Model, and Parent Math Workshops</t>
  </si>
  <si>
    <t>23F09</t>
  </si>
  <si>
    <t xml:space="preserve">FEBPS – Year-Long Coding Program - Claytor                           </t>
  </si>
  <si>
    <t>Grant to support the Year-Long Coding Program at Claytor</t>
  </si>
  <si>
    <t>Grant to support the Accelerated Teaching Training</t>
  </si>
  <si>
    <t xml:space="preserve">Commissioner's Network - Barnum                           </t>
  </si>
  <si>
    <t>Grant to support the implementation of Cognitive Behavioral Intervention of Trauma in Schools</t>
  </si>
  <si>
    <t>Extended day services at Beardsley, Claytor and Hooker Schools</t>
  </si>
  <si>
    <t>Rotary Club - IT Park City Community Project</t>
  </si>
  <si>
    <t>01814810</t>
  </si>
  <si>
    <t>01853821</t>
  </si>
  <si>
    <t>Actual…..</t>
  </si>
  <si>
    <t>Unrealized Revenue</t>
  </si>
  <si>
    <t>FY22 Final Revenue</t>
  </si>
  <si>
    <t>Revenue&gt;Budget</t>
  </si>
  <si>
    <t>Added to ISF</t>
  </si>
  <si>
    <t>Line 52917: Balance = $6,416,150.53 to ISF, incl. excess revenue</t>
  </si>
  <si>
    <t>•FNS retiree HI+WC costs = $1.25M [ISF/BOE]</t>
  </si>
  <si>
    <t>•FNS Center Equipment = $1M</t>
  </si>
  <si>
    <t>•FNS School Equipment = $1M</t>
  </si>
  <si>
    <t>•FNS Reserves = $3.2M</t>
  </si>
  <si>
    <t>excluding Unrealized Revenue</t>
  </si>
  <si>
    <t>CONDITION</t>
  </si>
  <si>
    <t xml:space="preserve">2023 Math Initiatives </t>
  </si>
  <si>
    <t>23062</t>
  </si>
  <si>
    <t>SERC CT-SEDS</t>
  </si>
  <si>
    <t>Grant to support the attendance to CT-SEDS Experts Trainer Webinar</t>
  </si>
  <si>
    <t>42124</t>
  </si>
  <si>
    <t>23019</t>
  </si>
  <si>
    <t>ARPA - Priority School Districts</t>
  </si>
  <si>
    <t>23035</t>
  </si>
  <si>
    <t>School Violence Prevention Program</t>
  </si>
  <si>
    <t>Grant to improve security at schools and on school grounds through school safety programs and technology</t>
  </si>
  <si>
    <t>end 9-30-25</t>
  </si>
  <si>
    <t>Priority Summer School</t>
  </si>
  <si>
    <t>23138</t>
  </si>
  <si>
    <t>Fitch Professional Development - Bilingual &amp; World Languages Department</t>
  </si>
  <si>
    <t>23139</t>
  </si>
  <si>
    <t>Fitch Professional Development - HHM</t>
  </si>
  <si>
    <t>23142</t>
  </si>
  <si>
    <t>Fitch Professional Development - Claytor</t>
  </si>
  <si>
    <t>23144</t>
  </si>
  <si>
    <t>Fitch Professional Development - MCM</t>
  </si>
  <si>
    <t>Grant to support the Language is a Corridor for Life Professional Development</t>
  </si>
  <si>
    <t>Grant to support the Teacher Learning to Help My Students RISE Professional Development</t>
  </si>
  <si>
    <t>Grant to support the Teaching Executive Functioning Skills Professional Development</t>
  </si>
  <si>
    <t>Grant to support the Teacher Development and Training for Student Success and Functional gains at Multicultural Magnet</t>
  </si>
  <si>
    <t>23017</t>
  </si>
  <si>
    <t>School Readiness - Priority Admin Funds Enhancement</t>
  </si>
  <si>
    <t>01813807</t>
  </si>
  <si>
    <t>01856839</t>
  </si>
  <si>
    <t>Commissioner’s Network of schools to improve student academic achievement in low-performing schools</t>
  </si>
  <si>
    <t>end 9-30-24</t>
  </si>
  <si>
    <t>01829802</t>
  </si>
  <si>
    <t>23146</t>
  </si>
  <si>
    <t>23F13</t>
  </si>
  <si>
    <t>FEBPS – The Daisy Fund - HHM</t>
  </si>
  <si>
    <t>23F12</t>
  </si>
  <si>
    <t>FEBPS – The Catherine &amp; Elwood Davis Family Fund - Hallen</t>
  </si>
  <si>
    <t>23F10</t>
  </si>
  <si>
    <t>FEBPS – Pathways to Success</t>
  </si>
  <si>
    <t>FEBPS - Pathway to Success</t>
  </si>
  <si>
    <t>Grant to support engaging students and families to increase high school opportunities as part of the Fairfield County Business Collaborative for Education Equity</t>
  </si>
  <si>
    <t xml:space="preserve">ARPA Expand Supp for LEAP </t>
  </si>
  <si>
    <t>Grant to support High Horizons Magnet School’s initiatives</t>
  </si>
  <si>
    <t>Grant to support  Ms. Price’s 6th grade English classes and Mr. Kelly’s 6th grade Math classes</t>
  </si>
  <si>
    <t>01814000</t>
  </si>
  <si>
    <t>01817842</t>
  </si>
  <si>
    <t>Xerox XPS</t>
  </si>
  <si>
    <t>23130</t>
  </si>
  <si>
    <t>23118</t>
  </si>
  <si>
    <t>Fitch Professional Development - NAC</t>
  </si>
  <si>
    <t>Grant to support the SIOP Institute’s professional development</t>
  </si>
  <si>
    <t>23119</t>
  </si>
  <si>
    <t>Grant to support the Principles of Practice of Sheltered Instruction professional development</t>
  </si>
  <si>
    <t>23121</t>
  </si>
  <si>
    <t>Fitch Professional Development - CSA</t>
  </si>
  <si>
    <t>Grant to support the Fostering emotional regulation in our youngest learners professional development</t>
  </si>
  <si>
    <t>23122</t>
  </si>
  <si>
    <t>23123</t>
  </si>
  <si>
    <t>Grant to support the  Motivating Students Who Don't Care University of La Verne professional development</t>
  </si>
  <si>
    <t>Grant to support the ISTE Conference professional development</t>
  </si>
  <si>
    <t>Fitch Professional Development - Infotech</t>
  </si>
  <si>
    <t>23124</t>
  </si>
  <si>
    <t>Fitch Professional Development - Hallen</t>
  </si>
  <si>
    <t>Grant to support the CMEA Inservice Conference professional development</t>
  </si>
  <si>
    <t>Grant to support the National Art Education Association 2023 professional development</t>
  </si>
  <si>
    <t>23125</t>
  </si>
  <si>
    <t xml:space="preserve">Fitch Professional Development - Winthrop </t>
  </si>
  <si>
    <t>23128</t>
  </si>
  <si>
    <t>Fitch Professional Development - TAG</t>
  </si>
  <si>
    <t>Grant to support the Growing into Gifted Leadership &amp; Development Conference</t>
  </si>
  <si>
    <t>01804984</t>
  </si>
  <si>
    <t>01814813</t>
  </si>
  <si>
    <t>01818000</t>
  </si>
  <si>
    <t>01823000</t>
  </si>
  <si>
    <t>01855830</t>
  </si>
  <si>
    <t>858</t>
  </si>
  <si>
    <t>01858805</t>
  </si>
  <si>
    <t>01858811</t>
  </si>
  <si>
    <t>01858814</t>
  </si>
  <si>
    <t>01858817</t>
  </si>
  <si>
    <t>01858826</t>
  </si>
  <si>
    <t>01858832</t>
  </si>
  <si>
    <t>01858863</t>
  </si>
  <si>
    <t>23F04</t>
  </si>
  <si>
    <t>23F05</t>
  </si>
  <si>
    <t xml:space="preserve">FEBPS – FAME Summer Camp                           </t>
  </si>
  <si>
    <t>23F06</t>
  </si>
  <si>
    <t>23F07</t>
  </si>
  <si>
    <t>23052</t>
  </si>
  <si>
    <t>ARP ESSER Homeless Children and Youth (HCY) I</t>
  </si>
  <si>
    <t>01815808</t>
  </si>
  <si>
    <t>01819815</t>
  </si>
  <si>
    <t>01888820</t>
  </si>
  <si>
    <t>01888822</t>
  </si>
  <si>
    <t>01888831</t>
  </si>
  <si>
    <t>23114</t>
  </si>
  <si>
    <t>TD Bank Interest Earned</t>
  </si>
  <si>
    <t>23113</t>
  </si>
  <si>
    <t>BPS Transcript/Research Fees</t>
  </si>
  <si>
    <t>FY24</t>
  </si>
  <si>
    <t>FY24 State ECS</t>
  </si>
  <si>
    <t>FY24 State ECS Addition</t>
  </si>
  <si>
    <t>FY24 ALLIANCE ECS</t>
  </si>
  <si>
    <t>FY24 Alliance ECS Addition</t>
  </si>
  <si>
    <t>FY24 compared to FY23</t>
  </si>
  <si>
    <t>FY24 Adopted Budget</t>
  </si>
  <si>
    <t>MUNIS: REVENUE Year to Date</t>
  </si>
  <si>
    <t>REVENUE VARIANCE to Date</t>
  </si>
  <si>
    <t>2023-24</t>
  </si>
  <si>
    <t>24060</t>
  </si>
  <si>
    <t>24090</t>
  </si>
  <si>
    <t>24101</t>
  </si>
  <si>
    <t>24110</t>
  </si>
  <si>
    <t>24111</t>
  </si>
  <si>
    <t>24059</t>
  </si>
  <si>
    <t>24061</t>
  </si>
  <si>
    <t>Actual…...</t>
  </si>
  <si>
    <t>FY23 Final Revenue</t>
  </si>
  <si>
    <t>Revenue&lt;Budget</t>
  </si>
  <si>
    <t>Line 52917: Balance = $3,957.904 to ISF</t>
  </si>
  <si>
    <t>•FNS retiree HI+WC costs = $2.4M [ISF/BOE]</t>
  </si>
  <si>
    <t>•FNS Reserves = $1.55M</t>
  </si>
  <si>
    <t>CLAYTOR CODING</t>
  </si>
  <si>
    <t>NPS Services</t>
  </si>
  <si>
    <t>Roosevelt CN</t>
  </si>
  <si>
    <t>Title I PART D</t>
  </si>
  <si>
    <t>Fiber Network</t>
  </si>
  <si>
    <t>JDC Supervisor</t>
  </si>
  <si>
    <t>Administrators</t>
  </si>
  <si>
    <t>MAGNET TUITION</t>
  </si>
  <si>
    <t>Commissioner's Network - Columbus</t>
  </si>
  <si>
    <t>NPS=$37,264</t>
  </si>
  <si>
    <t>24016</t>
  </si>
  <si>
    <t>School Readines - Priority Enrollment Based</t>
  </si>
  <si>
    <t>Provies open access for young children to qualify for Prekindergarten programs that promote health and safety, and prepare them for formal schooling</t>
  </si>
  <si>
    <t>School Readiness - COLA</t>
  </si>
  <si>
    <t>School Readiness COLA</t>
  </si>
  <si>
    <t>Cost of living adjustment for School Readiness providers</t>
  </si>
  <si>
    <t>24017</t>
  </si>
  <si>
    <t>24006</t>
  </si>
  <si>
    <t>LPS Bond Funding - Barnum</t>
  </si>
  <si>
    <t>24007</t>
  </si>
  <si>
    <t>LPS Bond Funding - Bassick</t>
  </si>
  <si>
    <t>24008</t>
  </si>
  <si>
    <t>LPS Bond Funding - BMA</t>
  </si>
  <si>
    <t>24009</t>
  </si>
  <si>
    <t xml:space="preserve">LPS Bond Funding - Cross </t>
  </si>
  <si>
    <t>24010</t>
  </si>
  <si>
    <t>LPS Bond Funding - Dunbar</t>
  </si>
  <si>
    <t>24011</t>
  </si>
  <si>
    <t xml:space="preserve">LPS Bond Funding - Harding </t>
  </si>
  <si>
    <t>24012</t>
  </si>
  <si>
    <t>LPS Bond Funding -  Marin</t>
  </si>
  <si>
    <t>23067</t>
  </si>
  <si>
    <t>Fitch Professional Development - Central</t>
  </si>
  <si>
    <t>23066</t>
  </si>
  <si>
    <t>Fitch Professional Development - Skane</t>
  </si>
  <si>
    <t>23068</t>
  </si>
  <si>
    <t>23069</t>
  </si>
  <si>
    <t>Fitch Professional Development - Info Tech</t>
  </si>
  <si>
    <t>23070</t>
  </si>
  <si>
    <t>Fitch Professional Development - PCM</t>
  </si>
  <si>
    <t>23071</t>
  </si>
  <si>
    <t>Fitch Professional Development - FAME</t>
  </si>
  <si>
    <t>24073</t>
  </si>
  <si>
    <t>24074</t>
  </si>
  <si>
    <t>24075</t>
  </si>
  <si>
    <t xml:space="preserve">School Improvement - Barnum     </t>
  </si>
  <si>
    <t>24077</t>
  </si>
  <si>
    <t>24076</t>
  </si>
  <si>
    <t>24078</t>
  </si>
  <si>
    <t xml:space="preserve">School Improvement - Harding    </t>
  </si>
  <si>
    <t>24079</t>
  </si>
  <si>
    <t xml:space="preserve">School Improvement - BMA     </t>
  </si>
  <si>
    <t>Congressionally Directed Spending - Library Refresh</t>
  </si>
  <si>
    <t>24080</t>
  </si>
  <si>
    <t>24081</t>
  </si>
  <si>
    <t xml:space="preserve">School Improvement Competitive - Batalla </t>
  </si>
  <si>
    <t>24082</t>
  </si>
  <si>
    <t>School Improvement Competitive - Claytor</t>
  </si>
  <si>
    <t>24083</t>
  </si>
  <si>
    <t>School Improvement Competitive - Columbus</t>
  </si>
  <si>
    <t>24084</t>
  </si>
  <si>
    <t>School Improvement Competitive -Roosevelt</t>
  </si>
  <si>
    <t>23115</t>
  </si>
  <si>
    <t>24116</t>
  </si>
  <si>
    <t>24146</t>
  </si>
  <si>
    <t xml:space="preserve">HS Athletics - Beachside Soccer </t>
  </si>
  <si>
    <t>24147</t>
  </si>
  <si>
    <t>Barbara Bush Foundation - Readsquad</t>
  </si>
  <si>
    <t>23116</t>
  </si>
  <si>
    <t xml:space="preserve">Alliance Increasing Educator Diversity </t>
  </si>
  <si>
    <t>23013</t>
  </si>
  <si>
    <t>Right to Read</t>
  </si>
  <si>
    <t>01800000</t>
  </si>
  <si>
    <t>01801000</t>
  </si>
  <si>
    <t>TEXTBOOKS</t>
  </si>
  <si>
    <t>SCHOOL EQUIPMENT</t>
  </si>
  <si>
    <t>01813821</t>
  </si>
  <si>
    <t>01813828</t>
  </si>
  <si>
    <t>01814832</t>
  </si>
  <si>
    <t>01815813</t>
  </si>
  <si>
    <t>01815826</t>
  </si>
  <si>
    <t>01816805</t>
  </si>
  <si>
    <t>01817826</t>
  </si>
  <si>
    <t>01817839</t>
  </si>
  <si>
    <t>01819805</t>
  </si>
  <si>
    <t>01823815</t>
  </si>
  <si>
    <t>01823816</t>
  </si>
  <si>
    <t>01832826</t>
  </si>
  <si>
    <t>DIESEL</t>
  </si>
  <si>
    <t>TRANSPORTATION EQUIPMENT</t>
  </si>
  <si>
    <t>01854810</t>
  </si>
  <si>
    <t>01854826</t>
  </si>
  <si>
    <t>01855815</t>
  </si>
  <si>
    <t>01860804</t>
  </si>
  <si>
    <t>01860820</t>
  </si>
  <si>
    <t>01860825</t>
  </si>
  <si>
    <t>01860845</t>
  </si>
  <si>
    <t>01860864</t>
  </si>
  <si>
    <t>TRAVEL SERVICES</t>
  </si>
  <si>
    <t>ADVERTISING SERVICES</t>
  </si>
  <si>
    <t>ELECTRONIC SUPPLIES</t>
  </si>
  <si>
    <t>PUBLIC FACILITIES SERVICES</t>
  </si>
  <si>
    <t>24064</t>
  </si>
  <si>
    <t>HS Athletics – UB Soccer Field Rental</t>
  </si>
  <si>
    <t>24050</t>
  </si>
  <si>
    <t>NOAA Bay Watershed Education and Training (B-WET)</t>
  </si>
  <si>
    <t>FEBPS – Advance Manufacturing Summer Coding Program</t>
  </si>
  <si>
    <t>Grant to support schools with alterations, repairs, improvements, technology, and equipment.</t>
  </si>
  <si>
    <t xml:space="preserve">Grant to support environmental education programs for students and teachers and provide memorable/experiential hands-on learning. In addition, this grant plays a significant role in providing development to classroom teachers that increases their content knowledge, skills, and pedagogical expertise. </t>
  </si>
  <si>
    <t xml:space="preserve">Grant to support the American Occupational Therapy Conference </t>
  </si>
  <si>
    <t xml:space="preserve">Grant to support the Disability Specific Professional Development for Teachers of Students with Visual Impairments.  </t>
  </si>
  <si>
    <t xml:space="preserve">Grant to support Elevate – Take Teaching to New Heights </t>
  </si>
  <si>
    <t xml:space="preserve">Grant to support the CompTIA A+ Certification </t>
  </si>
  <si>
    <t xml:space="preserve">Grant to support the NCTM 2023 Annual Meeting and Exposition </t>
  </si>
  <si>
    <t xml:space="preserve">Grant to support Light &amp; Sound Training for Theater Production </t>
  </si>
  <si>
    <t xml:space="preserve">Grant to support modernizing Bridgeport Public Schools’ Libraries. </t>
  </si>
  <si>
    <t>Grant to support the Summer Curriculum Writing.</t>
  </si>
  <si>
    <t xml:space="preserve">Grant to support NGSS Curriculum Redesign and Alignment </t>
  </si>
  <si>
    <t>Grant to support the TAG You’re It Professional Development for Talented and Gifted Educators</t>
  </si>
  <si>
    <t>The legislation systematizes a statewide reading response—based on the Science of Reading—by requiring the state to oversee all state and local efforts related to literacy, including setting reading curriculum requirements for districts, providing professional development, hiring external literacy coaches, and coordinating with teacher preparation programs</t>
  </si>
  <si>
    <t>School Readiness admin funds.</t>
  </si>
  <si>
    <t>Competitive SIG.</t>
  </si>
  <si>
    <t>Connects middle school mentors with mentees in grades 1-3 that are reading 4 months or more below grade level</t>
  </si>
  <si>
    <t>24F29</t>
  </si>
  <si>
    <t>FEBPS - Pitney Bowes Literacy Clinic - Cross</t>
  </si>
  <si>
    <t>Grant to support afterschool Literacy Clinic utilizing One on one tutoring, family engagement, and social emotional support to Bolster Reading in Kindergarten-3rd grade students.</t>
  </si>
  <si>
    <t>end 1-31-25</t>
  </si>
  <si>
    <t>end 12-31-24</t>
  </si>
  <si>
    <t>24087</t>
  </si>
  <si>
    <t xml:space="preserve">ARPA - Summer Mental Health Supports </t>
  </si>
  <si>
    <t>Enhances the capacity of Bridgeport Public Schools’ (BPS) school mental health professionals to provide exceptional support to students through trauma-informed training and professional development (PD).</t>
  </si>
  <si>
    <t>24085</t>
  </si>
  <si>
    <t>Energize CT</t>
  </si>
  <si>
    <t>24086</t>
  </si>
  <si>
    <t xml:space="preserve">ARPA - Dual Credit Expansion </t>
  </si>
  <si>
    <t>Connecticut General Statutes 10-221x (Challenging curriculum policy) seeks to ensure all students enroll in advanced courses or programs allowing them to earn college credit prior to graduation. The Dual Credit Expansion Grant Program will provide funding for public school districts for start-up costs associated with increasing the number and types of dual credit courses offered in partnership with Connecticut’s institutions of higher education (IHE). These courses can be part of traditional college pathways or career-oriented pathways leading to industry-recognized credentials. Dual credit courses include dual enrollment (taken on a college campus) and concurrent enrollment courses (taken on the high school campus). The goal of these expansion efforts is to increase the number of students earning non-remedial college credit while enrolled in high school and increase the number of college credits students earn prior to high school graduation</t>
  </si>
  <si>
    <t>The Energize CT Community Partnership Initiative offers funding towards community 
engagement projects focused on driving participation in select residential and small business energy 
efficiency programs and offerings.</t>
  </si>
  <si>
    <t>24088</t>
  </si>
  <si>
    <t>24089</t>
  </si>
  <si>
    <t>Multi-Media School Security Competitive (MMSSCGP)</t>
  </si>
  <si>
    <t>School Security Competitive (SSCGP)</t>
  </si>
  <si>
    <t>FY24 Final Revenue</t>
  </si>
  <si>
    <t xml:space="preserve">PROJECTED EXPENDITURES </t>
  </si>
  <si>
    <t>Original Budget</t>
  </si>
  <si>
    <t>24067</t>
  </si>
  <si>
    <t>24121</t>
  </si>
  <si>
    <t>24129</t>
  </si>
  <si>
    <t>Fitch Professional Development - Marin</t>
  </si>
  <si>
    <t xml:space="preserve">Grant to support the NCSS Conference </t>
  </si>
  <si>
    <t>Grant to Support the NCTE 2023: Elevating ELA in Bridgeport</t>
  </si>
  <si>
    <t>Grant to support the ADOS-2 Clinical Training Workshop</t>
  </si>
  <si>
    <t>24091</t>
  </si>
  <si>
    <t xml:space="preserve">High-Dosage Tutoring </t>
  </si>
  <si>
    <t>High-Dosage Tutoring Program</t>
  </si>
  <si>
    <t xml:space="preserve">High-Dosage Turtoring is a well researched strategy to address learning loss, ensuring students have intensive, curriculum-aligned support to close academics gaps. </t>
  </si>
  <si>
    <t>24F04</t>
  </si>
  <si>
    <t>24F05</t>
  </si>
  <si>
    <t>24F06</t>
  </si>
  <si>
    <t>24F07</t>
  </si>
  <si>
    <t>24094</t>
  </si>
  <si>
    <t>24095</t>
  </si>
  <si>
    <t>24098</t>
  </si>
  <si>
    <t>24099</t>
  </si>
  <si>
    <t>24100</t>
  </si>
  <si>
    <t>24F09</t>
  </si>
  <si>
    <t>01800815</t>
  </si>
  <si>
    <t>01800837</t>
  </si>
  <si>
    <t>01801837</t>
  </si>
  <si>
    <t>01803802</t>
  </si>
  <si>
    <t>01803803</t>
  </si>
  <si>
    <t>01803804</t>
  </si>
  <si>
    <t>01803810</t>
  </si>
  <si>
    <t>01803813</t>
  </si>
  <si>
    <t>01803814</t>
  </si>
  <si>
    <t>01803817</t>
  </si>
  <si>
    <t>01803820</t>
  </si>
  <si>
    <t>01803822</t>
  </si>
  <si>
    <t>01803825</t>
  </si>
  <si>
    <t>01803826</t>
  </si>
  <si>
    <t>01803830</t>
  </si>
  <si>
    <t>01803832</t>
  </si>
  <si>
    <t>01803837</t>
  </si>
  <si>
    <t>01803840</t>
  </si>
  <si>
    <t>01803841</t>
  </si>
  <si>
    <t>01803845</t>
  </si>
  <si>
    <t>01803846</t>
  </si>
  <si>
    <t>01804808</t>
  </si>
  <si>
    <t>01804815</t>
  </si>
  <si>
    <t>01804818</t>
  </si>
  <si>
    <t>01810825</t>
  </si>
  <si>
    <t>811</t>
  </si>
  <si>
    <t>01811000</t>
  </si>
  <si>
    <t>01811805</t>
  </si>
  <si>
    <t>01811814</t>
  </si>
  <si>
    <t>01811826</t>
  </si>
  <si>
    <t>01811842</t>
  </si>
  <si>
    <t>01815841</t>
  </si>
  <si>
    <t>01823863</t>
  </si>
  <si>
    <t>01829000</t>
  </si>
  <si>
    <t>01829820</t>
  </si>
  <si>
    <t>01829826</t>
  </si>
  <si>
    <t>01829828</t>
  </si>
  <si>
    <t>01829831</t>
  </si>
  <si>
    <t>01829837</t>
  </si>
  <si>
    <t>834</t>
  </si>
  <si>
    <t>01834000</t>
  </si>
  <si>
    <t>01834801</t>
  </si>
  <si>
    <t>01834831</t>
  </si>
  <si>
    <t>01834842</t>
  </si>
  <si>
    <t>01853841</t>
  </si>
  <si>
    <t>01855808</t>
  </si>
  <si>
    <t>01855818</t>
  </si>
  <si>
    <t>01856836</t>
  </si>
  <si>
    <t>01858836</t>
  </si>
  <si>
    <t>FAFSA Challenge</t>
  </si>
  <si>
    <t>838</t>
  </si>
  <si>
    <t>01838000</t>
  </si>
  <si>
    <t>01883815</t>
  </si>
  <si>
    <t>In MUNIS, expenditure limit is $59 lower than the budget maximum</t>
  </si>
  <si>
    <t>School Readiness - Priority</t>
  </si>
  <si>
    <t>end 6-30-25</t>
  </si>
  <si>
    <t>STATE PORTION-BREAKFAST PROGRAM</t>
  </si>
  <si>
    <t>STATE MATCHING LUNCH</t>
  </si>
  <si>
    <t>NPS=$504,296</t>
  </si>
  <si>
    <t>Actual…&gt;</t>
  </si>
  <si>
    <t>Line 52917: Balance = $ to ISF</t>
  </si>
  <si>
    <t>•FNS retiree HI+WC costs = $1.0M [ISF/BOE]</t>
  </si>
  <si>
    <t>01827811</t>
  </si>
  <si>
    <t>01887815</t>
  </si>
  <si>
    <t>CLEANING EQUIPMENT</t>
  </si>
  <si>
    <t>•FNS Reserves = $1,708,189</t>
  </si>
  <si>
    <t xml:space="preserve">AS OF </t>
  </si>
  <si>
    <t>SCH #</t>
  </si>
  <si>
    <t xml:space="preserve">ADDITIONAL REVENUE </t>
  </si>
  <si>
    <t>FINAL BUDGET</t>
  </si>
  <si>
    <t xml:space="preserve">EXPENDED </t>
  </si>
  <si>
    <t xml:space="preserve">AVAILABLE </t>
  </si>
  <si>
    <t>% USED</t>
  </si>
  <si>
    <t>ROLLOVER</t>
  </si>
  <si>
    <t>24029</t>
  </si>
  <si>
    <t>Every Child Art  Experience - Black Rock</t>
  </si>
  <si>
    <t>end 11-30-24</t>
  </si>
  <si>
    <t>MAGNET TOTAL</t>
  </si>
  <si>
    <t>McKinney-Vento Homeless Assistance</t>
  </si>
  <si>
    <t xml:space="preserve">CT Stronger Connections </t>
  </si>
  <si>
    <t>end 9-30-26</t>
  </si>
  <si>
    <t>24062</t>
  </si>
  <si>
    <t>24072</t>
  </si>
  <si>
    <t>end 6-30-26</t>
  </si>
  <si>
    <t>24093</t>
  </si>
  <si>
    <t>Fairfield University Donation - Bryant School</t>
  </si>
  <si>
    <t>United Way Early  Reading Success - Lexia</t>
  </si>
  <si>
    <t>City of Bridgeport - SLFRF Subcontract</t>
  </si>
  <si>
    <t>School Readiness - Priority Quality Enhancement</t>
  </si>
  <si>
    <t>Aquaculture Sale of Catherine Moore Boat</t>
  </si>
  <si>
    <t>Fitch Professional Development - Early Childhood</t>
  </si>
  <si>
    <t>end 2-15-25</t>
  </si>
  <si>
    <t>24F13</t>
  </si>
  <si>
    <t>end 4-4-25</t>
  </si>
  <si>
    <t>FY25</t>
  </si>
  <si>
    <t>FY25 State ECS</t>
  </si>
  <si>
    <t>FY25 State ECS Addition</t>
  </si>
  <si>
    <t>FY25 ALLIANCE ECS</t>
  </si>
  <si>
    <t>FY25 Alliance ECS Addition</t>
  </si>
  <si>
    <t>October 31</t>
  </si>
  <si>
    <t>2024-25 GENERAL OPERATING BUDGET</t>
  </si>
  <si>
    <t>01810896</t>
  </si>
  <si>
    <t>01814841</t>
  </si>
  <si>
    <t>01835864</t>
  </si>
  <si>
    <t>01853822</t>
  </si>
  <si>
    <t>01855839</t>
  </si>
  <si>
    <t>01858862</t>
  </si>
  <si>
    <t>01887808</t>
  </si>
  <si>
    <t>01887835</t>
  </si>
  <si>
    <t>Xerox</t>
  </si>
  <si>
    <t>District Academic Team</t>
  </si>
  <si>
    <t xml:space="preserve">Xerox: School to Careers </t>
  </si>
  <si>
    <t>Xerox: General</t>
  </si>
  <si>
    <t>KES:Substitute TR Staff</t>
  </si>
  <si>
    <t>25F08</t>
  </si>
  <si>
    <t>Delta-T: 'Sub PARA Staff</t>
  </si>
  <si>
    <t>BMA: Open Choice Students</t>
  </si>
  <si>
    <t>CSA Annex @ St. Peter's: Utilities</t>
  </si>
  <si>
    <t>State HS Magnet</t>
  </si>
  <si>
    <t>25041-42-43</t>
  </si>
  <si>
    <t>Xerox at FCW</t>
  </si>
  <si>
    <t>Ass't Supt-SEL, Comp Health, Stud Svc</t>
  </si>
  <si>
    <t>JDC Teacher-Business</t>
  </si>
  <si>
    <t>Title IV</t>
  </si>
  <si>
    <t>FNS BUDGET</t>
  </si>
  <si>
    <t>01-900</t>
  </si>
  <si>
    <t>INDIRECT COST</t>
  </si>
  <si>
    <t>SUBURBAN DISTRICTS: REVENUE</t>
  </si>
  <si>
    <t>Internal Service Fund</t>
  </si>
  <si>
    <t>NET SURPLUS/(DEFICIT)</t>
  </si>
  <si>
    <t>2024-25</t>
  </si>
  <si>
    <t>FY25 PROJECTED REVENUE</t>
  </si>
  <si>
    <t>MERS 20.59%</t>
  </si>
  <si>
    <t>OCTOBER 31</t>
  </si>
  <si>
    <t>2024-25 GRANT BUDGETS</t>
  </si>
  <si>
    <t>FY2024-2025 BUDGET</t>
  </si>
  <si>
    <t>25002</t>
  </si>
  <si>
    <t>25004</t>
  </si>
  <si>
    <t xml:space="preserve">SEL and Mental Health Support </t>
  </si>
  <si>
    <t>PSDG - Extended School Hours: Bryant</t>
  </si>
  <si>
    <t>PSDG - Extended School Hours: Classical Studies</t>
  </si>
  <si>
    <t>PSDG - Extended School Hours: Cross</t>
  </si>
  <si>
    <t>PSDG - Extended School Hours: Hallen</t>
  </si>
  <si>
    <t>PSDG - Extended School Hours: Read</t>
  </si>
  <si>
    <t>end 1-30-25</t>
  </si>
  <si>
    <t>NPS=$64,660.01</t>
  </si>
  <si>
    <t>NPS=$63,420.82</t>
  </si>
  <si>
    <t>NPS=$666,542.47</t>
  </si>
  <si>
    <t>Title I, Part D - Carryover</t>
  </si>
  <si>
    <t>IDEA Part B -Transition Support Activities</t>
  </si>
  <si>
    <t>IDEA Part B - Extended Support Para-Educator</t>
  </si>
  <si>
    <t>end 9-1-25</t>
  </si>
  <si>
    <t>25081</t>
  </si>
  <si>
    <t>25082</t>
  </si>
  <si>
    <t>25083</t>
  </si>
  <si>
    <t>25084</t>
  </si>
  <si>
    <t>25087</t>
  </si>
  <si>
    <t>end 6-30-27</t>
  </si>
  <si>
    <t>NPS = $61,601.73</t>
  </si>
  <si>
    <t>25090</t>
  </si>
  <si>
    <t xml:space="preserve">Title IIA </t>
  </si>
  <si>
    <t>NPS = $68,440.47</t>
  </si>
  <si>
    <t>25092</t>
  </si>
  <si>
    <t>25094</t>
  </si>
  <si>
    <t>25095</t>
  </si>
  <si>
    <t>24096</t>
  </si>
  <si>
    <t>25097</t>
  </si>
  <si>
    <t>Adult Ed - Program Enhancement Project</t>
  </si>
  <si>
    <t>25098</t>
  </si>
  <si>
    <t>25099</t>
  </si>
  <si>
    <t>25100</t>
  </si>
  <si>
    <t>NPS = $20,492.03</t>
  </si>
  <si>
    <t>25101</t>
  </si>
  <si>
    <t>NPS = $20,040.47</t>
  </si>
  <si>
    <t>NPS=$45,761.33</t>
  </si>
  <si>
    <t>IDEA Part B - Sect. 619 (PK) - Carryover</t>
  </si>
  <si>
    <t>School Readiness - Priority Private Provider Payment</t>
  </si>
  <si>
    <t>Fitch Professional Development - HHM/MCM</t>
  </si>
  <si>
    <t>25F04</t>
  </si>
  <si>
    <t>25F05</t>
  </si>
  <si>
    <t>25F07</t>
  </si>
  <si>
    <t>ADULT ED</t>
  </si>
  <si>
    <t>BUDGET GAP REDUCTION PLAN =</t>
  </si>
  <si>
    <t>BALANCE</t>
  </si>
  <si>
    <t>ISF Withdrawal</t>
  </si>
  <si>
    <t>Gap Reduction</t>
  </si>
  <si>
    <t>end 1-30-26</t>
  </si>
  <si>
    <t>end 8-31-25</t>
  </si>
  <si>
    <t>q</t>
  </si>
  <si>
    <t>2024-25 GRANT PROFILE</t>
  </si>
  <si>
    <t>25003</t>
  </si>
  <si>
    <t>25005</t>
  </si>
  <si>
    <t>24015</t>
  </si>
  <si>
    <t>25018</t>
  </si>
  <si>
    <t xml:space="preserve">SEL and Mental Health Supports </t>
  </si>
  <si>
    <t>25020</t>
  </si>
  <si>
    <t>25021</t>
  </si>
  <si>
    <t>25022</t>
  </si>
  <si>
    <t>25023</t>
  </si>
  <si>
    <t>25025</t>
  </si>
  <si>
    <t>School Readiness - Priotity</t>
  </si>
  <si>
    <t>25028</t>
  </si>
  <si>
    <t>Supplies for Teachers</t>
  </si>
  <si>
    <t>25030</t>
  </si>
  <si>
    <t>25031</t>
  </si>
  <si>
    <t>25032</t>
  </si>
  <si>
    <t>25033</t>
  </si>
  <si>
    <t>25040</t>
  </si>
  <si>
    <t>25041</t>
  </si>
  <si>
    <t>25042</t>
  </si>
  <si>
    <t>25043</t>
  </si>
  <si>
    <t>25047</t>
  </si>
  <si>
    <t>25048</t>
  </si>
  <si>
    <t>24051</t>
  </si>
  <si>
    <t xml:space="preserve">FAFSA Challenge </t>
  </si>
  <si>
    <t>24053</t>
  </si>
  <si>
    <t>24054</t>
  </si>
  <si>
    <t>25057</t>
  </si>
  <si>
    <t>25058</t>
  </si>
  <si>
    <t>25059</t>
  </si>
  <si>
    <t>25060</t>
  </si>
  <si>
    <t>25061</t>
  </si>
  <si>
    <t>25063</t>
  </si>
  <si>
    <t>25065</t>
  </si>
  <si>
    <t>25073</t>
  </si>
  <si>
    <t>25074</t>
  </si>
  <si>
    <t>25075</t>
  </si>
  <si>
    <t>25076</t>
  </si>
  <si>
    <t>25077</t>
  </si>
  <si>
    <t>25078</t>
  </si>
  <si>
    <t>25079</t>
  </si>
  <si>
    <t xml:space="preserve">Title III - Carryover </t>
  </si>
  <si>
    <t>24103</t>
  </si>
  <si>
    <t>24106</t>
  </si>
  <si>
    <t>24108</t>
  </si>
  <si>
    <t>24109</t>
  </si>
  <si>
    <t>25109</t>
  </si>
  <si>
    <t>25110</t>
  </si>
  <si>
    <t>IDEA Part B - Sect. 619 - Carryover</t>
  </si>
  <si>
    <t>25111</t>
  </si>
  <si>
    <t>IDEA Part B - Sect. 619</t>
  </si>
  <si>
    <t>24112</t>
  </si>
  <si>
    <t>25120</t>
  </si>
  <si>
    <t>23126</t>
  </si>
  <si>
    <t>24126</t>
  </si>
  <si>
    <t>21130</t>
  </si>
  <si>
    <t>24130</t>
  </si>
  <si>
    <t>25140</t>
  </si>
  <si>
    <t>25145</t>
  </si>
  <si>
    <t>25148</t>
  </si>
  <si>
    <t>FEBPS – Girls Who Code Summer Coding Program </t>
  </si>
  <si>
    <t xml:space="preserve">FEBPS – FAME Summer Camp    </t>
  </si>
  <si>
    <t>FEBPS – Girls Robotics HS Summer  Program             </t>
  </si>
  <si>
    <t>FEBPS – Afterschool Coding Program - Claytor          </t>
  </si>
  <si>
    <t>(1)</t>
  </si>
  <si>
    <t>(2)</t>
  </si>
  <si>
    <t>(3)</t>
  </si>
  <si>
    <t>ALL OPERATIONAL ACCOUNTS/PAYROLL FREEZE - EXCEPT ABSOLUTELY ESSENTIAL EXPENSES</t>
  </si>
  <si>
    <t>REVIEW ALL FILLED FULLTIME POSITIONS - DOWNSIZE/CONSOLIDATE AND REVERT BACK TO PRE-ESSER FUNDED POSITIONS (Annual Savings $12m)</t>
  </si>
  <si>
    <t>RE-ASSESS SPECAIL ED. PROGRAMS FOR CONSOLIDATION AND OPERATIONAL SAVINGS - REVERT BACK TO PRE-ESSER PARA LEVELS COVERAGE</t>
  </si>
  <si>
    <t>TOTAL POSSIBLE (DEFICIT)/GAP CLOSING MEASURES</t>
  </si>
  <si>
    <t>FY24-25 REMAINING DEFICIT/GAP REDUCTION PLAN / MEASURES:</t>
  </si>
  <si>
    <t>FY24-25 ADDITIONAL BUDGET (DEFICIT) / GAP PLAN MEASURES - See below listed itemization:</t>
  </si>
  <si>
    <t>FY24-25 REMAINING (DEFICIT) AFTER ADDITIONAL GAP CLOSING MEASURES</t>
  </si>
  <si>
    <t>ISF: FY24-25 Projected Withdrawal =</t>
  </si>
  <si>
    <t>Gap Reduction Plan</t>
  </si>
  <si>
    <t>NET FY24-25 REMAINING SURPLUS / (DEFICIT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</si>
</sst>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0"/>
    <numFmt numFmtId="165" formatCode="#,##0.0"/>
    <numFmt numFmtId="166" formatCode="m/d/yy;@"/>
    <numFmt numFmtId="167" formatCode="&quot;$&quot;#,##0"/>
    <numFmt numFmtId="168" formatCode="0.0%"/>
    <numFmt numFmtId="169" formatCode="&quot;$&quot;#,##0.00"/>
  </numFmts>
  <fonts count="166" x14ac:knownFonts="1">
    <font>
      <sz val="11"/>
      <color theme="1"/>
      <name val="Calibri"/>
      <family val="2"/>
      <scheme val="minor"/>
    </font>
    <font>
      <b/>
      <sz val="11"/>
      <color indexed="8"/>
      <name val="Calibri"/>
      <family val="2"/>
    </font>
    <font>
      <b/>
      <sz val="9"/>
      <color indexed="8"/>
      <name val="Calibri"/>
      <family val="2"/>
    </font>
    <font>
      <b/>
      <sz val="14"/>
      <color indexed="8"/>
      <name val="Calibri"/>
      <family val="2"/>
    </font>
    <font>
      <sz val="8"/>
      <color indexed="8"/>
      <name val="Calibri"/>
      <family val="2"/>
    </font>
    <font>
      <b/>
      <sz val="8"/>
      <color indexed="8"/>
      <name val="Calibri"/>
      <family val="2"/>
    </font>
    <font>
      <sz val="10"/>
      <name val="Arial"/>
      <family val="2"/>
    </font>
    <font>
      <sz val="10"/>
      <color indexed="8"/>
      <name val="Calibri"/>
      <family val="2"/>
    </font>
    <font>
      <b/>
      <sz val="10"/>
      <color indexed="8"/>
      <name val="Calibri"/>
      <family val="2"/>
    </font>
    <font>
      <b/>
      <sz val="14"/>
      <color indexed="9"/>
      <name val="Calibri"/>
      <family val="2"/>
    </font>
    <font>
      <sz val="10"/>
      <name val="Arial"/>
      <family val="2"/>
    </font>
    <font>
      <b/>
      <sz val="10"/>
      <color indexed="9"/>
      <name val="Calibri"/>
      <family val="2"/>
    </font>
    <font>
      <b/>
      <sz val="9"/>
      <color indexed="9"/>
      <name val="Calibri"/>
      <family val="2"/>
    </font>
    <font>
      <sz val="9"/>
      <name val="Arial"/>
      <family val="2"/>
    </font>
    <font>
      <sz val="9"/>
      <name val="Calibri"/>
      <family val="2"/>
    </font>
    <font>
      <sz val="9"/>
      <color indexed="8"/>
      <name val="Calibri"/>
      <family val="2"/>
    </font>
    <font>
      <b/>
      <sz val="8"/>
      <color indexed="9"/>
      <name val="Calibri"/>
      <family val="2"/>
    </font>
    <font>
      <sz val="10"/>
      <name val="Calibri"/>
      <family val="2"/>
    </font>
    <font>
      <b/>
      <sz val="12"/>
      <color indexed="9"/>
      <name val="Arial"/>
      <family val="2"/>
    </font>
    <font>
      <b/>
      <sz val="11"/>
      <name val="Arial"/>
      <family val="2"/>
    </font>
    <font>
      <b/>
      <sz val="10"/>
      <name val="Calibri"/>
      <family val="2"/>
    </font>
    <font>
      <b/>
      <sz val="11"/>
      <name val="Calibri"/>
      <family val="2"/>
    </font>
    <font>
      <b/>
      <sz val="12"/>
      <name val="Calibri"/>
      <family val="2"/>
    </font>
    <font>
      <b/>
      <sz val="12"/>
      <color indexed="9"/>
      <name val="Calibri"/>
      <family val="2"/>
    </font>
    <font>
      <sz val="12"/>
      <name val="Calibri"/>
      <family val="2"/>
    </font>
    <font>
      <b/>
      <sz val="9"/>
      <name val="Calibri"/>
      <family val="2"/>
    </font>
    <font>
      <sz val="8"/>
      <name val="Calibri"/>
      <family val="2"/>
    </font>
    <font>
      <b/>
      <sz val="9"/>
      <color indexed="9"/>
      <name val="Arial"/>
      <family val="2"/>
    </font>
    <font>
      <sz val="8"/>
      <name val="Calibri"/>
      <family val="2"/>
    </font>
    <font>
      <sz val="11"/>
      <color indexed="8"/>
      <name val="Calibri"/>
      <family val="2"/>
    </font>
    <font>
      <b/>
      <sz val="8"/>
      <name val="Calibri"/>
      <family val="2"/>
    </font>
    <font>
      <sz val="10"/>
      <name val="Arial"/>
      <family val="2"/>
    </font>
    <font>
      <sz val="11"/>
      <color theme="1"/>
      <name val="Calibri"/>
      <family val="2"/>
      <scheme val="minor"/>
    </font>
    <font>
      <sz val="10"/>
      <name val="Arial"/>
      <family val="2"/>
    </font>
    <font>
      <sz val="8"/>
      <color rgb="FF000000"/>
      <name val="Arial"/>
      <family val="2"/>
    </font>
    <font>
      <b/>
      <sz val="9"/>
      <color rgb="FF002060"/>
      <name val="Calibri"/>
      <family val="2"/>
    </font>
    <font>
      <sz val="12"/>
      <name val="Arial"/>
      <family val="2"/>
    </font>
    <font>
      <sz val="10"/>
      <color rgb="FF002060"/>
      <name val="Calibri"/>
      <family val="2"/>
    </font>
    <font>
      <b/>
      <sz val="11"/>
      <color rgb="FF002060"/>
      <name val="Calibri"/>
      <family val="2"/>
    </font>
    <font>
      <sz val="11"/>
      <color rgb="FF000000"/>
      <name val="Calibri"/>
      <family val="2"/>
      <scheme val="minor"/>
    </font>
    <font>
      <sz val="12"/>
      <color theme="1"/>
      <name val="Times New Roman"/>
      <family val="1"/>
    </font>
    <font>
      <b/>
      <sz val="12"/>
      <color theme="1"/>
      <name val="Times New Roman"/>
      <family val="1"/>
    </font>
    <font>
      <sz val="13"/>
      <color theme="1"/>
      <name val="Calibri"/>
      <family val="2"/>
      <scheme val="minor"/>
    </font>
    <font>
      <b/>
      <sz val="11"/>
      <color theme="1"/>
      <name val="Times New Roman"/>
      <family val="1"/>
    </font>
    <font>
      <sz val="10"/>
      <name val="Arial"/>
      <family val="2"/>
    </font>
    <font>
      <b/>
      <sz val="9"/>
      <name val="Arial Narrow"/>
      <family val="2"/>
    </font>
    <font>
      <b/>
      <sz val="10"/>
      <name val="Arial Narrow"/>
      <family val="2"/>
    </font>
    <font>
      <sz val="10"/>
      <name val="Arial Narrow"/>
      <family val="2"/>
    </font>
    <font>
      <sz val="10"/>
      <color rgb="FF002060"/>
      <name val="Arial Narrow"/>
      <family val="2"/>
    </font>
    <font>
      <sz val="10"/>
      <name val="Arial"/>
      <family val="2"/>
    </font>
    <font>
      <b/>
      <sz val="8"/>
      <name val="Calibri"/>
      <family val="2"/>
      <scheme val="minor"/>
    </font>
    <font>
      <sz val="10"/>
      <name val="MS Sans Serif"/>
      <family val="2"/>
    </font>
    <font>
      <sz val="10"/>
      <name val="Arial"/>
      <family val="2"/>
    </font>
    <font>
      <b/>
      <sz val="9"/>
      <name val="Calibri"/>
      <family val="2"/>
      <scheme val="minor"/>
    </font>
    <font>
      <sz val="14"/>
      <color indexed="10"/>
      <name val="Calibri"/>
      <family val="2"/>
    </font>
    <font>
      <b/>
      <sz val="8"/>
      <color rgb="FF002060"/>
      <name val="Arial Narrow"/>
      <family val="2"/>
    </font>
    <font>
      <sz val="10"/>
      <color rgb="FF000000"/>
      <name val="Times New Roman"/>
      <family val="1"/>
    </font>
    <font>
      <sz val="10"/>
      <name val="Arial"/>
      <family val="2"/>
    </font>
    <font>
      <sz val="10"/>
      <name val="Arial"/>
      <family val="2"/>
    </font>
    <font>
      <sz val="10"/>
      <name val="Arial"/>
      <family val="2"/>
    </font>
    <font>
      <sz val="10"/>
      <name val="Arial"/>
      <family val="2"/>
    </font>
    <font>
      <sz val="10"/>
      <name val="Arial"/>
      <family val="2"/>
    </font>
    <font>
      <b/>
      <sz val="9"/>
      <color rgb="FF000000"/>
      <name val="Calibri"/>
      <family val="2"/>
      <scheme val="minor"/>
    </font>
    <font>
      <b/>
      <sz val="10.5"/>
      <name val="Calibri"/>
      <family val="2"/>
    </font>
    <font>
      <sz val="10.5"/>
      <name val="Calibri"/>
      <family val="2"/>
    </font>
    <font>
      <b/>
      <sz val="10"/>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color rgb="FFFF0000"/>
      <name val="Calibri"/>
      <family val="2"/>
    </font>
    <font>
      <sz val="10"/>
      <name val="Arial"/>
      <family val="2"/>
    </font>
    <font>
      <b/>
      <sz val="10"/>
      <color theme="0"/>
      <name val="Calibri"/>
      <family val="2"/>
      <scheme val="minor"/>
    </font>
    <font>
      <sz val="10"/>
      <name val="Arial"/>
      <family val="2"/>
    </font>
    <font>
      <b/>
      <sz val="12"/>
      <color rgb="FFFF0000"/>
      <name val="Calibri"/>
      <family val="2"/>
    </font>
    <font>
      <b/>
      <sz val="10"/>
      <color rgb="FFFF0000"/>
      <name val="Calibri"/>
      <family val="2"/>
    </font>
    <font>
      <b/>
      <sz val="10"/>
      <color theme="1"/>
      <name val="Calibri"/>
      <family val="2"/>
      <scheme val="minor"/>
    </font>
    <font>
      <sz val="10"/>
      <name val="Arial"/>
      <family val="2"/>
    </font>
    <font>
      <b/>
      <sz val="11"/>
      <color theme="0"/>
      <name val="Calibri"/>
      <family val="2"/>
      <scheme val="minor"/>
    </font>
    <font>
      <sz val="10"/>
      <name val="Arial"/>
      <family val="2"/>
    </font>
    <font>
      <b/>
      <sz val="14"/>
      <name val="Calibri"/>
      <family val="2"/>
    </font>
    <font>
      <b/>
      <sz val="8"/>
      <color theme="0"/>
      <name val="Arial"/>
      <family val="2"/>
    </font>
    <font>
      <sz val="10"/>
      <name val="Arial"/>
      <family val="2"/>
    </font>
    <font>
      <sz val="10"/>
      <name val="Arial"/>
      <family val="2"/>
    </font>
    <font>
      <sz val="10"/>
      <name val="Arial"/>
      <family val="2"/>
    </font>
    <font>
      <sz val="9"/>
      <color theme="1"/>
      <name val="Calibri"/>
      <family val="2"/>
      <scheme val="minor"/>
    </font>
    <font>
      <sz val="10"/>
      <name val="Arial"/>
      <family val="2"/>
    </font>
    <font>
      <sz val="10"/>
      <name val="Arial"/>
      <family val="2"/>
    </font>
    <font>
      <b/>
      <sz val="9"/>
      <color theme="1"/>
      <name val="Calibri"/>
      <family val="2"/>
      <scheme val="minor"/>
    </font>
    <font>
      <b/>
      <sz val="11"/>
      <color theme="1"/>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b/>
      <sz val="11"/>
      <color theme="0"/>
      <name val="Calibri"/>
      <family val="2"/>
    </font>
    <font>
      <sz val="10"/>
      <name val="Arial"/>
      <family val="2"/>
    </font>
    <font>
      <sz val="10"/>
      <name val="Arial"/>
      <family val="2"/>
    </font>
    <font>
      <sz val="10"/>
      <name val="Arial"/>
      <family val="2"/>
    </font>
    <font>
      <sz val="10"/>
      <name val="Arial"/>
      <family val="2"/>
    </font>
    <font>
      <b/>
      <sz val="11"/>
      <color rgb="FFFF0000"/>
      <name val="Calibri"/>
      <family val="2"/>
    </font>
    <font>
      <b/>
      <sz val="14"/>
      <color theme="0"/>
      <name val="Calibri"/>
      <family val="2"/>
      <scheme val="minor"/>
    </font>
    <font>
      <b/>
      <sz val="11"/>
      <color rgb="FF000000"/>
      <name val="Calibri"/>
      <family val="2"/>
      <scheme val="minor"/>
    </font>
    <font>
      <b/>
      <sz val="10"/>
      <color rgb="FF000000"/>
      <name val="Calibri"/>
      <family val="2"/>
      <scheme val="minor"/>
    </font>
    <font>
      <sz val="12"/>
      <color rgb="FF000000"/>
      <name val="Calibri"/>
      <family val="2"/>
      <scheme val="minor"/>
    </font>
    <font>
      <sz val="12"/>
      <color rgb="FF000000"/>
      <name val="Calibri"/>
      <family val="2"/>
    </font>
    <font>
      <sz val="10"/>
      <name val="Arial"/>
      <family val="2"/>
    </font>
    <font>
      <b/>
      <sz val="8"/>
      <color rgb="FF000000"/>
      <name val="Arial"/>
      <family val="2"/>
    </font>
    <font>
      <b/>
      <sz val="10"/>
      <color rgb="FF000000"/>
      <name val="Calibri"/>
      <family val="2"/>
    </font>
    <font>
      <sz val="11"/>
      <color rgb="FF000000"/>
      <name val="Calibri"/>
      <family val="2"/>
    </font>
    <font>
      <b/>
      <sz val="11"/>
      <color rgb="FF000000"/>
      <name val="Calibri"/>
      <family val="2"/>
    </font>
    <font>
      <b/>
      <sz val="11"/>
      <name val="Calibri"/>
      <family val="2"/>
      <scheme val="minor"/>
    </font>
    <font>
      <b/>
      <sz val="9"/>
      <color rgb="FF000000"/>
      <name val="Arial"/>
      <family val="2"/>
    </font>
    <font>
      <b/>
      <sz val="9"/>
      <color rgb="FF0070C0"/>
      <name val="Calibri"/>
      <family val="2"/>
      <scheme val="minor"/>
    </font>
    <font>
      <b/>
      <sz val="9"/>
      <color theme="0"/>
      <name val="Calibri"/>
      <family val="2"/>
      <scheme val="minor"/>
    </font>
    <font>
      <sz val="9"/>
      <color theme="0"/>
      <name val="Calibri"/>
      <family val="2"/>
      <scheme val="minor"/>
    </font>
    <font>
      <b/>
      <sz val="9"/>
      <color indexed="8"/>
      <name val="Calibri"/>
      <family val="2"/>
      <scheme val="minor"/>
    </font>
    <font>
      <sz val="9"/>
      <color rgb="FF000000"/>
      <name val="Calibri"/>
      <family val="2"/>
      <scheme val="minor"/>
    </font>
    <font>
      <sz val="8"/>
      <color theme="0"/>
      <name val="Arial"/>
      <family val="2"/>
    </font>
    <font>
      <b/>
      <sz val="10"/>
      <color rgb="FF0070C0"/>
      <name val="Calibri"/>
      <family val="2"/>
      <scheme val="minor"/>
    </font>
    <font>
      <b/>
      <sz val="9"/>
      <color rgb="FF0070C0"/>
      <name val="Arial"/>
      <family val="2"/>
    </font>
    <font>
      <sz val="9"/>
      <color rgb="FF000000"/>
      <name val="Arial"/>
      <family val="2"/>
    </font>
    <font>
      <b/>
      <sz val="10"/>
      <color rgb="FF000000"/>
      <name val="Arial"/>
      <family val="2"/>
    </font>
    <font>
      <b/>
      <sz val="12"/>
      <color rgb="FF000000"/>
      <name val="Calibri"/>
      <family val="2"/>
    </font>
    <font>
      <b/>
      <sz val="12"/>
      <color rgb="FF000000"/>
      <name val="Calibri"/>
      <family val="2"/>
      <scheme val="minor"/>
    </font>
    <font>
      <b/>
      <sz val="12"/>
      <color rgb="FF0070C0"/>
      <name val="Calibri"/>
      <family val="2"/>
      <scheme val="minor"/>
    </font>
    <font>
      <b/>
      <sz val="14"/>
      <color indexed="10"/>
      <name val="Calibri"/>
      <family val="2"/>
    </font>
    <font>
      <b/>
      <i/>
      <sz val="10"/>
      <color rgb="FFC00000"/>
      <name val="Calibri"/>
      <family val="2"/>
    </font>
    <font>
      <sz val="10"/>
      <color indexed="9"/>
      <name val="Calibri"/>
      <family val="2"/>
    </font>
    <font>
      <sz val="12"/>
      <color theme="0"/>
      <name val="Calibri"/>
      <family val="2"/>
    </font>
    <font>
      <sz val="12"/>
      <name val="Calibri"/>
      <family val="2"/>
      <scheme val="minor"/>
    </font>
    <font>
      <sz val="10"/>
      <color theme="1"/>
      <name val="Calibri"/>
      <family val="2"/>
      <scheme val="minor"/>
    </font>
    <font>
      <sz val="8"/>
      <name val="Calibri"/>
      <family val="2"/>
      <scheme val="minor"/>
    </font>
    <font>
      <b/>
      <sz val="8.5"/>
      <name val="Calibri"/>
      <family val="2"/>
    </font>
    <font>
      <sz val="11"/>
      <name val="Calibri"/>
      <family val="2"/>
    </font>
    <font>
      <b/>
      <sz val="9"/>
      <color rgb="FF000000"/>
      <name val="Calibri"/>
      <family val="2"/>
    </font>
    <font>
      <sz val="11"/>
      <name val="Calibri"/>
      <family val="2"/>
    </font>
    <font>
      <b/>
      <sz val="11"/>
      <color indexed="9"/>
      <name val="Calibri"/>
      <family val="2"/>
    </font>
    <font>
      <sz val="10"/>
      <color indexed="8"/>
      <name val="MS Sans Serif"/>
    </font>
    <font>
      <sz val="11"/>
      <color rgb="FF002060"/>
      <name val="Calibri"/>
      <family val="2"/>
    </font>
    <font>
      <sz val="11"/>
      <name val="Arial"/>
      <family val="2"/>
    </font>
    <font>
      <b/>
      <sz val="9"/>
      <color indexed="81"/>
      <name val="Tahoma"/>
      <family val="2"/>
    </font>
    <font>
      <sz val="9"/>
      <color indexed="81"/>
      <name val="Tahoma"/>
      <family val="2"/>
    </font>
    <font>
      <b/>
      <sz val="8"/>
      <color rgb="FF000000"/>
      <name val="Calibri"/>
      <family val="2"/>
    </font>
    <font>
      <sz val="10.5"/>
      <color theme="1"/>
      <name val="Calibri"/>
      <family val="2"/>
      <scheme val="minor"/>
    </font>
    <font>
      <b/>
      <sz val="10"/>
      <color theme="8" tint="-0.249977111117893"/>
      <name val="Calibri"/>
      <family val="2"/>
    </font>
    <font>
      <b/>
      <sz val="12"/>
      <name val="Arial"/>
      <family val="2"/>
    </font>
    <font>
      <b/>
      <sz val="12"/>
      <color rgb="FF002060"/>
      <name val="Calibri"/>
      <family val="2"/>
    </font>
    <font>
      <sz val="12"/>
      <color rgb="FF002060"/>
      <name val="Calibri"/>
      <family val="2"/>
    </font>
    <font>
      <sz val="11"/>
      <name val="Calibri"/>
      <family val="2"/>
    </font>
    <font>
      <sz val="10"/>
      <color rgb="FF000000"/>
      <name val="Calibri"/>
      <family val="2"/>
      <scheme val="minor"/>
    </font>
    <font>
      <b/>
      <sz val="12"/>
      <color rgb="FFFFFFFF"/>
      <name val="Calibri"/>
      <family val="2"/>
    </font>
    <font>
      <sz val="10"/>
      <color rgb="FF000000"/>
      <name val="Calibri"/>
      <family val="2"/>
    </font>
    <font>
      <b/>
      <sz val="8"/>
      <color theme="1"/>
      <name val="Calibri"/>
      <family val="2"/>
      <scheme val="minor"/>
    </font>
    <font>
      <sz val="11"/>
      <name val="Calibri"/>
      <family val="2"/>
    </font>
    <font>
      <b/>
      <sz val="9"/>
      <color rgb="FF0070C0"/>
      <name val="Calibri"/>
      <family val="2"/>
      <scheme val="minor"/>
    </font>
    <font>
      <b/>
      <sz val="10"/>
      <color indexed="8"/>
      <name val="Calibri"/>
      <family val="2"/>
      <scheme val="minor"/>
    </font>
    <font>
      <b/>
      <sz val="20"/>
      <color indexed="9"/>
      <name val="Calibri"/>
      <family val="2"/>
      <scheme val="minor"/>
    </font>
    <font>
      <b/>
      <sz val="9"/>
      <color indexed="9"/>
      <name val="Calibri"/>
      <family val="2"/>
      <scheme val="minor"/>
    </font>
    <font>
      <sz val="8"/>
      <color theme="4" tint="-0.249977111117893"/>
      <name val="Calibri"/>
      <family val="2"/>
    </font>
    <font>
      <b/>
      <sz val="9"/>
      <color theme="4" tint="-0.249977111117893"/>
      <name val="Calibri"/>
      <family val="2"/>
    </font>
    <font>
      <sz val="11"/>
      <color theme="0"/>
      <name val="Calibri"/>
      <family val="2"/>
      <scheme val="minor"/>
    </font>
    <font>
      <b/>
      <sz val="9"/>
      <color theme="1"/>
      <name val="Calibri"/>
      <family val="2"/>
    </font>
    <font>
      <sz val="11"/>
      <color theme="1"/>
      <name val="Calibri"/>
      <family val="2"/>
    </font>
    <font>
      <b/>
      <sz val="8"/>
      <color rgb="FFFF0000"/>
      <name val="Calibri"/>
      <family val="2"/>
    </font>
  </fonts>
  <fills count="48">
    <fill>
      <patternFill patternType="none"/>
    </fill>
    <fill>
      <patternFill patternType="gray125"/>
    </fill>
    <fill>
      <patternFill patternType="solid">
        <fgColor indexed="30"/>
        <bgColor indexed="64"/>
      </patternFill>
    </fill>
    <fill>
      <patternFill patternType="solid">
        <fgColor indexed="56"/>
        <bgColor indexed="64"/>
      </patternFill>
    </fill>
    <fill>
      <patternFill patternType="solid">
        <fgColor indexed="13"/>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00B050"/>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indexed="4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A50021"/>
        <bgColor indexed="64"/>
      </patternFill>
    </fill>
    <fill>
      <patternFill patternType="solid">
        <fgColor rgb="FFC00000"/>
        <bgColor indexed="64"/>
      </patternFill>
    </fill>
    <fill>
      <patternFill patternType="solid">
        <fgColor rgb="FFFCB6C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DCBD6"/>
        <bgColor indexed="64"/>
      </patternFill>
    </fill>
    <fill>
      <patternFill patternType="solid">
        <fgColor rgb="FFE7E7FF"/>
        <bgColor indexed="64"/>
      </patternFill>
    </fill>
    <fill>
      <patternFill patternType="solid">
        <fgColor theme="0"/>
        <bgColor theme="4" tint="0.79998168889431442"/>
      </patternFill>
    </fill>
    <fill>
      <patternFill patternType="solid">
        <fgColor rgb="FF9999FF"/>
        <bgColor indexed="64"/>
      </patternFill>
    </fill>
    <fill>
      <patternFill patternType="solid">
        <fgColor theme="4" tint="-0.249977111117893"/>
        <bgColor theme="4"/>
      </patternFill>
    </fill>
    <fill>
      <patternFill patternType="solid">
        <fgColor rgb="FF002060"/>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66FF99"/>
        <bgColor indexed="64"/>
      </patternFill>
    </fill>
    <fill>
      <patternFill patternType="solid">
        <fgColor theme="7" tint="0.79998168889431442"/>
        <bgColor indexed="64"/>
      </patternFill>
    </fill>
    <fill>
      <patternFill patternType="solid">
        <fgColor rgb="FF99FFCC"/>
        <bgColor indexed="64"/>
      </patternFill>
    </fill>
    <fill>
      <patternFill patternType="solid">
        <fgColor rgb="FFCCECFF"/>
        <bgColor indexed="64"/>
      </patternFill>
    </fill>
    <fill>
      <patternFill patternType="solid">
        <fgColor rgb="FFFFFF00"/>
        <bgColor rgb="FF000000"/>
      </patternFill>
    </fill>
    <fill>
      <patternFill patternType="solid">
        <fgColor rgb="FFFABF8F"/>
        <bgColor rgb="FF000000"/>
      </patternFill>
    </fill>
    <fill>
      <patternFill patternType="solid">
        <fgColor rgb="FFEBF1DE"/>
        <bgColor rgb="FF000000"/>
      </patternFill>
    </fill>
    <fill>
      <patternFill patternType="solid">
        <fgColor rgb="FFFFFFFF"/>
        <bgColor rgb="FF000000"/>
      </patternFill>
    </fill>
    <fill>
      <patternFill patternType="solid">
        <fgColor rgb="FFF2DCDB"/>
        <bgColor rgb="FF000000"/>
      </patternFill>
    </fill>
    <fill>
      <patternFill patternType="solid">
        <fgColor rgb="FF7030A0"/>
        <bgColor indexed="64"/>
      </patternFill>
    </fill>
    <fill>
      <patternFill patternType="solid">
        <fgColor rgb="FFC00000"/>
        <bgColor rgb="FF000000"/>
      </patternFill>
    </fill>
    <fill>
      <patternFill patternType="solid">
        <fgColor rgb="FFC1EAFF"/>
        <bgColor indexed="64"/>
      </patternFill>
    </fill>
    <fill>
      <patternFill patternType="solid">
        <fgColor theme="4" tint="-0.249977111117893"/>
        <bgColor indexed="8"/>
      </patternFill>
    </fill>
    <fill>
      <patternFill patternType="solid">
        <fgColor theme="4" tint="0.39997558519241921"/>
        <bgColor indexed="64"/>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right style="thin">
        <color theme="6" tint="0.39997558519241921"/>
      </right>
      <top style="thin">
        <color theme="6" tint="0.39997558519241921"/>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style="thick">
        <color indexed="64"/>
      </left>
      <right/>
      <top/>
      <bottom style="medium">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indexed="6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diagonal/>
    </border>
    <border>
      <left/>
      <right style="thin">
        <color theme="4"/>
      </right>
      <top style="thin">
        <color theme="4"/>
      </top>
      <bottom/>
      <diagonal/>
    </border>
    <border>
      <left/>
      <right/>
      <top style="thin">
        <color indexed="64"/>
      </top>
      <bottom style="thin">
        <color indexed="64"/>
      </bottom>
      <diagonal/>
    </border>
    <border>
      <left style="thin">
        <color theme="4"/>
      </left>
      <right style="thin">
        <color theme="4"/>
      </right>
      <top/>
      <bottom/>
      <diagonal/>
    </border>
    <border>
      <left style="thin">
        <color theme="4"/>
      </left>
      <right/>
      <top/>
      <bottom/>
      <diagonal/>
    </border>
    <border>
      <left/>
      <right style="thin">
        <color theme="4"/>
      </right>
      <top/>
      <bottom/>
      <diagonal/>
    </border>
    <border>
      <left/>
      <right style="thin">
        <color indexed="64"/>
      </right>
      <top style="medium">
        <color indexed="64"/>
      </top>
      <bottom/>
      <diagonal/>
    </border>
    <border>
      <left style="thin">
        <color theme="4"/>
      </left>
      <right style="thin">
        <color theme="4"/>
      </right>
      <top/>
      <bottom style="thin">
        <color theme="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23">
    <xf numFmtId="0" fontId="0" fillId="0" borderId="0"/>
    <xf numFmtId="0" fontId="6" fillId="0" borderId="0"/>
    <xf numFmtId="0" fontId="10" fillId="0" borderId="0"/>
    <xf numFmtId="0" fontId="31" fillId="0" borderId="0"/>
    <xf numFmtId="0" fontId="33" fillId="0" borderId="0"/>
    <xf numFmtId="44" fontId="6" fillId="0" borderId="0" applyFont="0" applyFill="0" applyBorder="0" applyAlignment="0" applyProtection="0"/>
    <xf numFmtId="0" fontId="6" fillId="0" borderId="0"/>
    <xf numFmtId="0" fontId="32" fillId="0" borderId="0"/>
    <xf numFmtId="0" fontId="32" fillId="0" borderId="0"/>
    <xf numFmtId="0" fontId="39" fillId="0" borderId="0"/>
    <xf numFmtId="0" fontId="6" fillId="0" borderId="0"/>
    <xf numFmtId="0" fontId="6" fillId="0" borderId="0"/>
    <xf numFmtId="0" fontId="6" fillId="0" borderId="0"/>
    <xf numFmtId="0" fontId="44" fillId="0" borderId="0"/>
    <xf numFmtId="0" fontId="49" fillId="0" borderId="0"/>
    <xf numFmtId="43" fontId="29" fillId="0" borderId="0" applyFont="0" applyFill="0" applyBorder="0" applyAlignment="0" applyProtection="0"/>
    <xf numFmtId="0" fontId="32" fillId="0" borderId="0"/>
    <xf numFmtId="0" fontId="6" fillId="0" borderId="0"/>
    <xf numFmtId="0" fontId="6" fillId="0" borderId="0"/>
    <xf numFmtId="0" fontId="32" fillId="0" borderId="0"/>
    <xf numFmtId="0" fontId="32" fillId="0" borderId="0"/>
    <xf numFmtId="0" fontId="32" fillId="0" borderId="0"/>
    <xf numFmtId="0" fontId="32" fillId="0" borderId="0"/>
    <xf numFmtId="0" fontId="51" fillId="0" borderId="0"/>
    <xf numFmtId="0" fontId="52" fillId="0" borderId="0"/>
    <xf numFmtId="0" fontId="6" fillId="0" borderId="0"/>
    <xf numFmtId="9" fontId="29"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56" fillId="0" borderId="0"/>
    <xf numFmtId="0" fontId="56"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xf numFmtId="0" fontId="57" fillId="0" borderId="0"/>
    <xf numFmtId="0" fontId="58" fillId="0" borderId="0"/>
    <xf numFmtId="0" fontId="59" fillId="0" borderId="0"/>
    <xf numFmtId="0" fontId="6" fillId="0" borderId="0"/>
    <xf numFmtId="0" fontId="6" fillId="0" borderId="0"/>
    <xf numFmtId="0" fontId="60" fillId="0" borderId="0"/>
    <xf numFmtId="0" fontId="61" fillId="0" borderId="0"/>
    <xf numFmtId="0" fontId="6" fillId="0" borderId="0"/>
    <xf numFmtId="0" fontId="66" fillId="0" borderId="0"/>
    <xf numFmtId="0" fontId="6" fillId="0" borderId="0"/>
    <xf numFmtId="0" fontId="67" fillId="0" borderId="0"/>
    <xf numFmtId="0" fontId="68" fillId="0" borderId="0"/>
    <xf numFmtId="0" fontId="69" fillId="0" borderId="0"/>
    <xf numFmtId="0" fontId="70" fillId="0" borderId="0"/>
    <xf numFmtId="0" fontId="6" fillId="0" borderId="0"/>
    <xf numFmtId="0" fontId="6" fillId="0" borderId="0"/>
    <xf numFmtId="0" fontId="6" fillId="0" borderId="0"/>
    <xf numFmtId="0" fontId="71" fillId="0" borderId="0"/>
    <xf numFmtId="0" fontId="6" fillId="0" borderId="0"/>
    <xf numFmtId="0" fontId="6" fillId="0" borderId="0"/>
    <xf numFmtId="0" fontId="6" fillId="0" borderId="0"/>
    <xf numFmtId="0" fontId="6" fillId="0" borderId="0"/>
    <xf numFmtId="0" fontId="6" fillId="0" borderId="0"/>
    <xf numFmtId="0" fontId="72" fillId="0" borderId="0"/>
    <xf numFmtId="0" fontId="74" fillId="0" borderId="0"/>
    <xf numFmtId="0" fontId="6" fillId="0" borderId="0"/>
    <xf numFmtId="0" fontId="76" fillId="0" borderId="0"/>
    <xf numFmtId="0" fontId="80" fillId="0" borderId="0"/>
    <xf numFmtId="0" fontId="6" fillId="0" borderId="0"/>
    <xf numFmtId="0" fontId="82" fillId="0" borderId="0"/>
    <xf numFmtId="0" fontId="6" fillId="0" borderId="0"/>
    <xf numFmtId="0" fontId="6" fillId="0" borderId="0"/>
    <xf numFmtId="0" fontId="85" fillId="0" borderId="0"/>
    <xf numFmtId="0" fontId="86" fillId="0" borderId="0"/>
    <xf numFmtId="0" fontId="87" fillId="0" borderId="0"/>
    <xf numFmtId="0" fontId="89" fillId="0" borderId="0"/>
    <xf numFmtId="0" fontId="90" fillId="0" borderId="0"/>
    <xf numFmtId="44" fontId="32" fillId="0" borderId="0" applyFont="0" applyFill="0" applyBorder="0" applyAlignment="0" applyProtection="0"/>
    <xf numFmtId="0" fontId="97" fillId="0" borderId="0"/>
    <xf numFmtId="0" fontId="6" fillId="0" borderId="0"/>
    <xf numFmtId="0" fontId="6" fillId="0" borderId="0"/>
    <xf numFmtId="0" fontId="98" fillId="0" borderId="0"/>
    <xf numFmtId="0" fontId="99" fillId="0" borderId="0"/>
    <xf numFmtId="0" fontId="100" fillId="0" borderId="0"/>
    <xf numFmtId="0" fontId="6" fillId="0" borderId="0"/>
    <xf numFmtId="0" fontId="6" fillId="0" borderId="0"/>
    <xf numFmtId="0" fontId="6" fillId="0" borderId="0"/>
    <xf numFmtId="0" fontId="6" fillId="0" borderId="0"/>
    <xf numFmtId="0" fontId="107" fillId="0" borderId="0"/>
    <xf numFmtId="0" fontId="6" fillId="0" borderId="0"/>
    <xf numFmtId="0" fontId="39" fillId="0" borderId="0"/>
    <xf numFmtId="0" fontId="6" fillId="0" borderId="0"/>
    <xf numFmtId="0" fontId="6" fillId="0" borderId="0"/>
    <xf numFmtId="0" fontId="39" fillId="0" borderId="0"/>
    <xf numFmtId="0" fontId="32" fillId="0" borderId="0"/>
    <xf numFmtId="0" fontId="6" fillId="0" borderId="0"/>
    <xf numFmtId="0" fontId="6" fillId="0" borderId="0"/>
    <xf numFmtId="0" fontId="6" fillId="0" borderId="0"/>
    <xf numFmtId="0" fontId="6" fillId="0" borderId="0"/>
    <xf numFmtId="44" fontId="32" fillId="0" borderId="0" applyFont="0" applyFill="0" applyBorder="0" applyAlignment="0" applyProtection="0"/>
    <xf numFmtId="0" fontId="6" fillId="0" borderId="0"/>
    <xf numFmtId="0" fontId="135" fillId="0" borderId="0"/>
    <xf numFmtId="0" fontId="137" fillId="0" borderId="0"/>
    <xf numFmtId="0" fontId="32" fillId="0" borderId="0"/>
    <xf numFmtId="44" fontId="32" fillId="0" borderId="0" applyFont="0" applyFill="0" applyBorder="0" applyAlignment="0" applyProtection="0"/>
    <xf numFmtId="0" fontId="135" fillId="0" borderId="0"/>
    <xf numFmtId="0" fontId="139" fillId="0" borderId="0" applyNumberFormat="0" applyFill="0" applyBorder="0" applyProtection="0"/>
    <xf numFmtId="0" fontId="135" fillId="0" borderId="0"/>
    <xf numFmtId="43" fontId="135" fillId="0" borderId="0" applyFont="0" applyFill="0" applyBorder="0" applyAlignment="0" applyProtection="0"/>
    <xf numFmtId="44" fontId="135" fillId="0" borderId="0" applyFont="0" applyFill="0" applyBorder="0" applyAlignment="0" applyProtection="0"/>
    <xf numFmtId="0" fontId="135" fillId="0" borderId="0"/>
    <xf numFmtId="43" fontId="135" fillId="0" borderId="0" applyFont="0" applyFill="0" applyBorder="0" applyAlignment="0" applyProtection="0"/>
    <xf numFmtId="0" fontId="150" fillId="0" borderId="0"/>
    <xf numFmtId="0" fontId="135" fillId="0" borderId="0"/>
    <xf numFmtId="0" fontId="135" fillId="0" borderId="0"/>
    <xf numFmtId="0" fontId="155" fillId="0" borderId="0"/>
    <xf numFmtId="0" fontId="135" fillId="0" borderId="0"/>
    <xf numFmtId="0" fontId="32" fillId="0" borderId="0"/>
    <xf numFmtId="9" fontId="32" fillId="0" borderId="0" applyFont="0" applyFill="0" applyBorder="0" applyAlignment="0" applyProtection="0"/>
  </cellStyleXfs>
  <cellXfs count="894">
    <xf numFmtId="0" fontId="0" fillId="0" borderId="0" xfId="0"/>
    <xf numFmtId="0" fontId="2" fillId="0" borderId="0" xfId="0" applyFont="1"/>
    <xf numFmtId="0" fontId="3" fillId="0" borderId="0" xfId="0" applyFont="1"/>
    <xf numFmtId="0" fontId="1" fillId="0" borderId="0" xfId="0" applyFont="1"/>
    <xf numFmtId="3" fontId="15" fillId="0" borderId="0" xfId="0" applyNumberFormat="1" applyFont="1"/>
    <xf numFmtId="164" fontId="2" fillId="0" borderId="0" xfId="0" applyNumberFormat="1" applyFont="1"/>
    <xf numFmtId="3" fontId="2" fillId="0" borderId="0" xfId="0" applyNumberFormat="1" applyFont="1"/>
    <xf numFmtId="166" fontId="3" fillId="0" borderId="0" xfId="0" applyNumberFormat="1" applyFont="1" applyAlignment="1">
      <alignment horizontal="center"/>
    </xf>
    <xf numFmtId="166" fontId="0" fillId="0" borderId="0" xfId="0" applyNumberFormat="1" applyAlignment="1">
      <alignment horizontal="center"/>
    </xf>
    <xf numFmtId="0" fontId="6" fillId="0" borderId="0" xfId="1"/>
    <xf numFmtId="166" fontId="8" fillId="0" borderId="0" xfId="0" applyNumberFormat="1" applyFont="1" applyAlignment="1">
      <alignment horizontal="center"/>
    </xf>
    <xf numFmtId="0" fontId="5" fillId="0" borderId="0" xfId="0" applyFont="1" applyAlignment="1">
      <alignment horizontal="center" vertical="top" wrapText="1"/>
    </xf>
    <xf numFmtId="0" fontId="9" fillId="6" borderId="0" xfId="0" applyFont="1" applyFill="1"/>
    <xf numFmtId="0" fontId="0" fillId="0" borderId="0" xfId="0" applyAlignment="1">
      <alignment vertical="center"/>
    </xf>
    <xf numFmtId="3" fontId="0" fillId="0" borderId="0" xfId="0" applyNumberFormat="1" applyAlignment="1">
      <alignment vertical="center"/>
    </xf>
    <xf numFmtId="164" fontId="2" fillId="0" borderId="0" xfId="0" applyNumberFormat="1"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wrapText="1"/>
    </xf>
    <xf numFmtId="0" fontId="30" fillId="0" borderId="0" xfId="1" applyFont="1" applyAlignment="1">
      <alignment horizontal="center" vertical="center" wrapText="1"/>
    </xf>
    <xf numFmtId="3" fontId="0" fillId="0" borderId="0" xfId="0" applyNumberFormat="1"/>
    <xf numFmtId="0" fontId="6" fillId="0" borderId="0" xfId="6"/>
    <xf numFmtId="3" fontId="29" fillId="0" borderId="0" xfId="0" applyNumberFormat="1" applyFont="1"/>
    <xf numFmtId="0" fontId="40" fillId="0" borderId="0" xfId="0" applyFont="1" applyAlignment="1">
      <alignment vertical="center"/>
    </xf>
    <xf numFmtId="0" fontId="42" fillId="0" borderId="0" xfId="0" applyFont="1" applyAlignment="1">
      <alignment vertical="center"/>
    </xf>
    <xf numFmtId="0" fontId="41" fillId="0" borderId="0" xfId="0" applyFont="1" applyAlignment="1">
      <alignment vertical="center"/>
    </xf>
    <xf numFmtId="0" fontId="43" fillId="0" borderId="0" xfId="0" applyFont="1"/>
    <xf numFmtId="0" fontId="4" fillId="0" borderId="0" xfId="0" applyFont="1" applyAlignment="1">
      <alignment vertical="top" wrapText="1"/>
    </xf>
    <xf numFmtId="3" fontId="54" fillId="0" borderId="0" xfId="0" applyNumberFormat="1" applyFont="1" applyAlignment="1">
      <alignment horizontal="center" vertical="center"/>
    </xf>
    <xf numFmtId="3" fontId="6" fillId="0" borderId="0" xfId="6" applyNumberFormat="1"/>
    <xf numFmtId="0" fontId="12" fillId="6" borderId="0" xfId="0" applyFont="1" applyFill="1"/>
    <xf numFmtId="166" fontId="11" fillId="6" borderId="0" xfId="0" applyNumberFormat="1" applyFont="1" applyFill="1" applyAlignment="1">
      <alignment horizontal="center"/>
    </xf>
    <xf numFmtId="166" fontId="9" fillId="6" borderId="0" xfId="0" applyNumberFormat="1" applyFont="1" applyFill="1" applyAlignment="1">
      <alignment horizontal="center"/>
    </xf>
    <xf numFmtId="3" fontId="12" fillId="6" borderId="0" xfId="0" applyNumberFormat="1" applyFont="1" applyFill="1"/>
    <xf numFmtId="0" fontId="3" fillId="0" borderId="0" xfId="0" applyFont="1" applyAlignment="1">
      <alignment vertical="center"/>
    </xf>
    <xf numFmtId="3" fontId="3" fillId="0" borderId="0" xfId="0" applyNumberFormat="1" applyFont="1" applyAlignment="1">
      <alignment vertical="center"/>
    </xf>
    <xf numFmtId="49" fontId="8"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9" fillId="2" borderId="0" xfId="0" applyFont="1" applyFill="1" applyAlignment="1">
      <alignment vertical="center"/>
    </xf>
    <xf numFmtId="0" fontId="12" fillId="2" borderId="0" xfId="0" applyFont="1" applyFill="1" applyAlignment="1">
      <alignment vertical="center"/>
    </xf>
    <xf numFmtId="3" fontId="9" fillId="2" borderId="0" xfId="0" applyNumberFormat="1" applyFont="1" applyFill="1" applyAlignment="1">
      <alignment vertical="center"/>
    </xf>
    <xf numFmtId="164" fontId="8" fillId="0" borderId="0" xfId="0" applyNumberFormat="1" applyFont="1" applyAlignment="1">
      <alignment vertical="center"/>
    </xf>
    <xf numFmtId="0" fontId="25" fillId="0" borderId="0" xfId="2" applyFont="1" applyAlignment="1">
      <alignment vertical="center"/>
    </xf>
    <xf numFmtId="3" fontId="1" fillId="0" borderId="0" xfId="0" applyNumberFormat="1" applyFont="1" applyAlignment="1">
      <alignment vertical="center"/>
    </xf>
    <xf numFmtId="3" fontId="15" fillId="0" borderId="0" xfId="0" applyNumberFormat="1" applyFont="1" applyAlignment="1">
      <alignment vertical="center"/>
    </xf>
    <xf numFmtId="3" fontId="2" fillId="0" borderId="0" xfId="0" applyNumberFormat="1" applyFont="1" applyAlignment="1">
      <alignment vertical="center"/>
    </xf>
    <xf numFmtId="0" fontId="29" fillId="0" borderId="0" xfId="0" applyFont="1" applyAlignment="1">
      <alignment vertical="center"/>
    </xf>
    <xf numFmtId="49" fontId="30" fillId="0" borderId="0" xfId="1" applyNumberFormat="1" applyFont="1" applyAlignment="1">
      <alignment horizontal="center" vertical="center"/>
    </xf>
    <xf numFmtId="0" fontId="0" fillId="0" borderId="24" xfId="0" applyBorder="1" applyAlignment="1">
      <alignment vertical="center"/>
    </xf>
    <xf numFmtId="0" fontId="2" fillId="0" borderId="0" xfId="0" applyFont="1" applyAlignment="1">
      <alignment vertical="center" wrapText="1"/>
    </xf>
    <xf numFmtId="0" fontId="5" fillId="0" borderId="0" xfId="0" applyFont="1" applyAlignment="1">
      <alignment vertical="top" wrapText="1"/>
    </xf>
    <xf numFmtId="0" fontId="26" fillId="0" borderId="10" xfId="1" applyFont="1" applyBorder="1" applyAlignment="1">
      <alignment horizontal="center" vertical="center" wrapText="1"/>
    </xf>
    <xf numFmtId="0" fontId="0" fillId="0" borderId="24" xfId="0" applyBorder="1" applyAlignment="1">
      <alignment horizontal="center" vertical="center"/>
    </xf>
    <xf numFmtId="0" fontId="8" fillId="0" borderId="0" xfId="0" applyFont="1" applyAlignment="1">
      <alignment horizontal="center" vertical="center"/>
    </xf>
    <xf numFmtId="0" fontId="19" fillId="0" borderId="11" xfId="6" applyFont="1" applyBorder="1" applyAlignment="1">
      <alignment vertical="center"/>
    </xf>
    <xf numFmtId="0" fontId="21" fillId="10" borderId="18" xfId="6" applyFont="1" applyFill="1" applyBorder="1" applyAlignment="1">
      <alignment vertical="center"/>
    </xf>
    <xf numFmtId="0" fontId="21" fillId="0" borderId="19" xfId="6" applyFont="1" applyBorder="1" applyAlignment="1">
      <alignment vertical="center"/>
    </xf>
    <xf numFmtId="0" fontId="17" fillId="0" borderId="19" xfId="6" applyFont="1" applyBorder="1" applyAlignment="1">
      <alignment vertical="center"/>
    </xf>
    <xf numFmtId="0" fontId="6" fillId="0" borderId="19" xfId="6" applyBorder="1" applyAlignment="1">
      <alignment vertical="center"/>
    </xf>
    <xf numFmtId="3" fontId="21" fillId="0" borderId="15" xfId="6" applyNumberFormat="1" applyFont="1" applyBorder="1" applyAlignment="1">
      <alignment vertical="center"/>
    </xf>
    <xf numFmtId="3" fontId="21" fillId="0" borderId="19" xfId="6" applyNumberFormat="1" applyFont="1" applyBorder="1" applyAlignment="1">
      <alignment vertical="center"/>
    </xf>
    <xf numFmtId="3" fontId="21" fillId="0" borderId="20" xfId="6" applyNumberFormat="1" applyFont="1" applyBorder="1" applyAlignment="1">
      <alignment vertical="center"/>
    </xf>
    <xf numFmtId="0" fontId="21" fillId="0" borderId="6" xfId="6" applyFont="1" applyBorder="1" applyAlignment="1">
      <alignment vertical="center"/>
    </xf>
    <xf numFmtId="0" fontId="17" fillId="0" borderId="0" xfId="6" applyFont="1" applyAlignment="1">
      <alignment vertical="center"/>
    </xf>
    <xf numFmtId="0" fontId="17" fillId="0" borderId="0" xfId="6" applyFont="1" applyAlignment="1">
      <alignment vertical="center" wrapText="1"/>
    </xf>
    <xf numFmtId="0" fontId="6" fillId="0" borderId="0" xfId="6" applyAlignment="1">
      <alignment vertical="center"/>
    </xf>
    <xf numFmtId="3" fontId="21" fillId="0" borderId="11" xfId="1" applyNumberFormat="1" applyFont="1" applyBorder="1" applyAlignment="1">
      <alignment vertical="center"/>
    </xf>
    <xf numFmtId="0" fontId="17" fillId="8" borderId="11" xfId="6" applyFont="1" applyFill="1" applyBorder="1" applyAlignment="1">
      <alignment vertical="center"/>
    </xf>
    <xf numFmtId="0" fontId="21" fillId="10" borderId="6" xfId="6" applyFont="1" applyFill="1" applyBorder="1" applyAlignment="1">
      <alignment vertical="center"/>
    </xf>
    <xf numFmtId="0" fontId="25" fillId="9" borderId="11" xfId="6" applyFont="1" applyFill="1" applyBorder="1" applyAlignment="1">
      <alignment vertical="center" wrapText="1"/>
    </xf>
    <xf numFmtId="167" fontId="25" fillId="11" borderId="25" xfId="6" applyNumberFormat="1" applyFont="1" applyFill="1" applyBorder="1" applyAlignment="1">
      <alignment vertical="center"/>
    </xf>
    <xf numFmtId="167" fontId="20" fillId="11" borderId="25" xfId="6" applyNumberFormat="1" applyFont="1" applyFill="1" applyBorder="1" applyAlignment="1">
      <alignment vertical="center"/>
    </xf>
    <xf numFmtId="167" fontId="20" fillId="12" borderId="23" xfId="6" applyNumberFormat="1" applyFont="1" applyFill="1" applyBorder="1" applyAlignment="1">
      <alignment horizontal="right" vertical="center"/>
    </xf>
    <xf numFmtId="167" fontId="20" fillId="16" borderId="15" xfId="6" applyNumberFormat="1" applyFont="1" applyFill="1" applyBorder="1" applyAlignment="1">
      <alignment horizontal="center" vertical="center"/>
    </xf>
    <xf numFmtId="167" fontId="20" fillId="12" borderId="15" xfId="6" applyNumberFormat="1" applyFont="1" applyFill="1" applyBorder="1" applyAlignment="1">
      <alignment horizontal="right" vertical="center"/>
    </xf>
    <xf numFmtId="0" fontId="20" fillId="0" borderId="9" xfId="6" applyFont="1" applyBorder="1" applyAlignment="1">
      <alignment vertical="center"/>
    </xf>
    <xf numFmtId="0" fontId="17" fillId="0" borderId="9" xfId="6" applyFont="1" applyBorder="1" applyAlignment="1">
      <alignment vertical="center"/>
    </xf>
    <xf numFmtId="0" fontId="20" fillId="8" borderId="9" xfId="6" applyFont="1" applyFill="1" applyBorder="1" applyAlignment="1">
      <alignment vertical="center"/>
    </xf>
    <xf numFmtId="3" fontId="17" fillId="8" borderId="9" xfId="6" applyNumberFormat="1" applyFont="1" applyFill="1" applyBorder="1" applyAlignment="1">
      <alignment vertical="center"/>
    </xf>
    <xf numFmtId="0" fontId="17" fillId="8" borderId="9" xfId="6" applyFont="1" applyFill="1" applyBorder="1" applyAlignment="1">
      <alignment vertical="center"/>
    </xf>
    <xf numFmtId="167" fontId="20" fillId="11" borderId="15" xfId="6" applyNumberFormat="1" applyFont="1" applyFill="1" applyBorder="1" applyAlignment="1">
      <alignment horizontal="right" vertical="center"/>
    </xf>
    <xf numFmtId="10" fontId="20" fillId="14" borderId="11" xfId="6" applyNumberFormat="1" applyFont="1" applyFill="1" applyBorder="1" applyAlignment="1">
      <alignment horizontal="center" vertical="center"/>
    </xf>
    <xf numFmtId="0" fontId="6" fillId="14" borderId="0" xfId="6" applyFill="1"/>
    <xf numFmtId="3" fontId="21" fillId="0" borderId="11" xfId="6" applyNumberFormat="1" applyFont="1" applyBorder="1" applyAlignment="1">
      <alignment vertical="center"/>
    </xf>
    <xf numFmtId="0" fontId="21" fillId="0" borderId="18" xfId="6" applyFont="1" applyBorder="1" applyAlignment="1">
      <alignment vertical="center"/>
    </xf>
    <xf numFmtId="0" fontId="20" fillId="0" borderId="19" xfId="6" applyFont="1" applyBorder="1" applyAlignment="1">
      <alignment vertical="center"/>
    </xf>
    <xf numFmtId="167" fontId="17" fillId="0" borderId="19" xfId="6" applyNumberFormat="1" applyFont="1" applyBorder="1" applyAlignment="1">
      <alignment vertical="center"/>
    </xf>
    <xf numFmtId="3" fontId="20" fillId="0" borderId="19" xfId="6" applyNumberFormat="1" applyFont="1" applyBorder="1" applyAlignment="1">
      <alignment vertical="center"/>
    </xf>
    <xf numFmtId="0" fontId="25" fillId="0" borderId="6" xfId="6" applyFont="1" applyBorder="1" applyAlignment="1">
      <alignment vertical="center"/>
    </xf>
    <xf numFmtId="3" fontId="25" fillId="0" borderId="11" xfId="6" applyNumberFormat="1" applyFont="1" applyBorder="1" applyAlignment="1">
      <alignment vertical="center"/>
    </xf>
    <xf numFmtId="0" fontId="13" fillId="0" borderId="0" xfId="6" applyFont="1"/>
    <xf numFmtId="3" fontId="20" fillId="0" borderId="15" xfId="6" applyNumberFormat="1" applyFont="1" applyBorder="1" applyAlignment="1">
      <alignment vertical="center"/>
    </xf>
    <xf numFmtId="167" fontId="20" fillId="0" borderId="15" xfId="6" applyNumberFormat="1" applyFont="1" applyBorder="1" applyAlignment="1">
      <alignment vertical="center"/>
    </xf>
    <xf numFmtId="3" fontId="30" fillId="0" borderId="11" xfId="6" applyNumberFormat="1" applyFont="1" applyBorder="1" applyAlignment="1">
      <alignment horizontal="left" vertical="center"/>
    </xf>
    <xf numFmtId="0" fontId="21" fillId="0" borderId="32" xfId="6" applyFont="1" applyBorder="1" applyAlignment="1">
      <alignment vertical="center"/>
    </xf>
    <xf numFmtId="0" fontId="21" fillId="0" borderId="30" xfId="6" applyFont="1" applyBorder="1" applyAlignment="1">
      <alignment vertical="center"/>
    </xf>
    <xf numFmtId="0" fontId="20" fillId="0" borderId="30" xfId="6" applyFont="1" applyBorder="1" applyAlignment="1">
      <alignment vertical="center"/>
    </xf>
    <xf numFmtId="0" fontId="17" fillId="0" borderId="30" xfId="6" applyFont="1" applyBorder="1" applyAlignment="1">
      <alignment vertical="center"/>
    </xf>
    <xf numFmtId="3" fontId="17" fillId="0" borderId="30" xfId="6" applyNumberFormat="1" applyFont="1" applyBorder="1" applyAlignment="1">
      <alignment vertical="center"/>
    </xf>
    <xf numFmtId="0" fontId="21" fillId="0" borderId="8" xfId="6" applyFont="1" applyBorder="1" applyAlignment="1">
      <alignment vertical="center"/>
    </xf>
    <xf numFmtId="0" fontId="21" fillId="0" borderId="9" xfId="6" applyFont="1" applyBorder="1" applyAlignment="1">
      <alignment vertical="center"/>
    </xf>
    <xf numFmtId="42" fontId="20" fillId="0" borderId="9" xfId="6" applyNumberFormat="1" applyFont="1" applyBorder="1" applyAlignment="1">
      <alignment vertical="center"/>
    </xf>
    <xf numFmtId="3" fontId="21" fillId="0" borderId="9" xfId="6" applyNumberFormat="1" applyFont="1" applyBorder="1" applyAlignment="1">
      <alignment vertical="center"/>
    </xf>
    <xf numFmtId="3" fontId="21" fillId="0" borderId="13" xfId="6" applyNumberFormat="1" applyFont="1" applyBorder="1" applyAlignment="1">
      <alignment vertical="center"/>
    </xf>
    <xf numFmtId="0" fontId="21" fillId="17" borderId="19" xfId="6" applyFont="1" applyFill="1" applyBorder="1" applyAlignment="1">
      <alignment vertical="center"/>
    </xf>
    <xf numFmtId="3" fontId="20" fillId="0" borderId="21" xfId="6" applyNumberFormat="1" applyFont="1" applyBorder="1" applyAlignment="1">
      <alignment vertical="center"/>
    </xf>
    <xf numFmtId="3" fontId="20" fillId="0" borderId="23" xfId="6" applyNumberFormat="1" applyFont="1" applyBorder="1" applyAlignment="1">
      <alignment vertical="center"/>
    </xf>
    <xf numFmtId="167" fontId="25" fillId="14" borderId="25" xfId="6" applyNumberFormat="1" applyFont="1" applyFill="1" applyBorder="1" applyAlignment="1">
      <alignment vertical="center"/>
    </xf>
    <xf numFmtId="167" fontId="20" fillId="14" borderId="25" xfId="6" applyNumberFormat="1" applyFont="1" applyFill="1" applyBorder="1" applyAlignment="1">
      <alignment vertical="center"/>
    </xf>
    <xf numFmtId="167" fontId="6" fillId="0" borderId="0" xfId="6" applyNumberFormat="1" applyAlignment="1">
      <alignment vertical="center"/>
    </xf>
    <xf numFmtId="0" fontId="0" fillId="0" borderId="0" xfId="0" applyAlignment="1">
      <alignment horizontal="center"/>
    </xf>
    <xf numFmtId="0" fontId="8" fillId="0" borderId="0" xfId="0" applyFont="1" applyAlignment="1">
      <alignment vertical="center" wrapText="1"/>
    </xf>
    <xf numFmtId="0" fontId="29" fillId="0" borderId="0" xfId="0" applyFont="1"/>
    <xf numFmtId="3" fontId="29" fillId="0" borderId="0" xfId="0" applyNumberFormat="1" applyFont="1" applyAlignment="1">
      <alignment vertical="center"/>
    </xf>
    <xf numFmtId="0" fontId="26" fillId="0" borderId="10" xfId="1" applyFont="1" applyBorder="1" applyAlignment="1">
      <alignment horizontal="center" vertical="center"/>
    </xf>
    <xf numFmtId="0" fontId="26" fillId="0" borderId="7" xfId="1" applyFont="1" applyBorder="1" applyAlignment="1">
      <alignment horizontal="center" vertical="center"/>
    </xf>
    <xf numFmtId="0" fontId="23" fillId="7" borderId="11" xfId="6" applyFont="1" applyFill="1" applyBorder="1" applyAlignment="1">
      <alignment horizontal="center" vertical="center"/>
    </xf>
    <xf numFmtId="0" fontId="17" fillId="8" borderId="13" xfId="6" applyFont="1" applyFill="1" applyBorder="1" applyAlignment="1">
      <alignment vertical="center"/>
    </xf>
    <xf numFmtId="167" fontId="20" fillId="0" borderId="0" xfId="6" applyNumberFormat="1" applyFont="1"/>
    <xf numFmtId="0" fontId="30" fillId="0" borderId="0" xfId="6" applyFont="1"/>
    <xf numFmtId="0" fontId="17" fillId="0" borderId="0" xfId="6" applyFont="1"/>
    <xf numFmtId="0" fontId="17" fillId="0" borderId="0" xfId="6" applyFont="1" applyAlignment="1">
      <alignment wrapText="1"/>
    </xf>
    <xf numFmtId="0" fontId="6" fillId="0" borderId="11" xfId="6" applyBorder="1" applyAlignment="1">
      <alignment vertical="center"/>
    </xf>
    <xf numFmtId="0" fontId="63" fillId="0" borderId="19" xfId="6" applyFont="1" applyBorder="1" applyAlignment="1">
      <alignment vertical="center"/>
    </xf>
    <xf numFmtId="0" fontId="64" fillId="0" borderId="19" xfId="6" applyFont="1" applyBorder="1" applyAlignment="1">
      <alignment vertical="center"/>
    </xf>
    <xf numFmtId="3" fontId="20" fillId="0" borderId="22" xfId="6" applyNumberFormat="1" applyFont="1" applyBorder="1" applyAlignment="1">
      <alignment vertical="center"/>
    </xf>
    <xf numFmtId="3" fontId="20" fillId="11" borderId="23" xfId="6" applyNumberFormat="1" applyFont="1" applyFill="1" applyBorder="1" applyAlignment="1">
      <alignment vertical="center"/>
    </xf>
    <xf numFmtId="6" fontId="20" fillId="10" borderId="15" xfId="6" applyNumberFormat="1" applyFont="1" applyFill="1" applyBorder="1" applyAlignment="1">
      <alignment vertical="center"/>
    </xf>
    <xf numFmtId="0" fontId="17" fillId="0" borderId="35" xfId="6" applyFont="1" applyBorder="1" applyAlignment="1">
      <alignment vertical="center"/>
    </xf>
    <xf numFmtId="0" fontId="17" fillId="0" borderId="35" xfId="6" applyFont="1" applyBorder="1" applyAlignment="1">
      <alignment vertical="center" wrapText="1"/>
    </xf>
    <xf numFmtId="3" fontId="77" fillId="0" borderId="24" xfId="6" applyNumberFormat="1" applyFont="1" applyBorder="1" applyAlignment="1">
      <alignment vertical="center"/>
    </xf>
    <xf numFmtId="0" fontId="0" fillId="0" borderId="0" xfId="0" applyAlignment="1">
      <alignment wrapText="1"/>
    </xf>
    <xf numFmtId="3" fontId="83" fillId="0" borderId="0" xfId="0" applyNumberFormat="1" applyFont="1" applyAlignment="1">
      <alignment vertical="center"/>
    </xf>
    <xf numFmtId="0" fontId="26" fillId="0" borderId="14" xfId="1" applyFont="1" applyBorder="1" applyAlignment="1">
      <alignment horizontal="center" vertical="center"/>
    </xf>
    <xf numFmtId="0" fontId="8" fillId="0" borderId="0" xfId="0" applyFont="1" applyAlignment="1">
      <alignment horizontal="center" vertical="center" wrapText="1"/>
    </xf>
    <xf numFmtId="167" fontId="20" fillId="0" borderId="15" xfId="6" applyNumberFormat="1" applyFont="1" applyBorder="1" applyAlignment="1">
      <alignment vertical="center" wrapText="1"/>
    </xf>
    <xf numFmtId="0" fontId="8" fillId="0" borderId="0" xfId="0" applyFont="1" applyAlignment="1">
      <alignment vertical="center"/>
    </xf>
    <xf numFmtId="0" fontId="79" fillId="0" borderId="0" xfId="0" applyFont="1"/>
    <xf numFmtId="44" fontId="95" fillId="0" borderId="0" xfId="0" applyNumberFormat="1" applyFont="1"/>
    <xf numFmtId="0" fontId="95" fillId="0" borderId="0" xfId="0" applyFont="1"/>
    <xf numFmtId="0" fontId="32" fillId="0" borderId="0" xfId="0" applyFont="1"/>
    <xf numFmtId="0" fontId="84" fillId="19" borderId="0" xfId="17" applyFont="1" applyFill="1"/>
    <xf numFmtId="0" fontId="101" fillId="0" borderId="6" xfId="6" applyFont="1" applyBorder="1" applyAlignment="1">
      <alignment horizontal="center" vertical="center"/>
    </xf>
    <xf numFmtId="0" fontId="95" fillId="0" borderId="0" xfId="0" applyFont="1" applyAlignment="1">
      <alignment wrapText="1"/>
    </xf>
    <xf numFmtId="0" fontId="0" fillId="0" borderId="0" xfId="0" applyAlignment="1">
      <alignment horizontal="center" wrapText="1"/>
    </xf>
    <xf numFmtId="44" fontId="95" fillId="0" borderId="0" xfId="0" applyNumberFormat="1" applyFont="1" applyAlignment="1">
      <alignment wrapText="1"/>
    </xf>
    <xf numFmtId="0" fontId="102" fillId="20" borderId="0" xfId="0" applyFont="1" applyFill="1" applyAlignment="1">
      <alignment horizontal="center" vertical="top"/>
    </xf>
    <xf numFmtId="0" fontId="102" fillId="20" borderId="0" xfId="0" applyFont="1" applyFill="1" applyAlignment="1">
      <alignment horizontal="center" vertical="top" wrapText="1"/>
    </xf>
    <xf numFmtId="0" fontId="81" fillId="18" borderId="0" xfId="0" applyFont="1" applyFill="1"/>
    <xf numFmtId="0" fontId="93" fillId="18" borderId="0" xfId="0" applyFont="1" applyFill="1" applyAlignment="1">
      <alignment wrapText="1"/>
    </xf>
    <xf numFmtId="0" fontId="93" fillId="18" borderId="0" xfId="0" applyFont="1" applyFill="1"/>
    <xf numFmtId="0" fontId="103" fillId="0" borderId="0" xfId="9" applyFont="1" applyAlignment="1">
      <alignment horizontal="center"/>
    </xf>
    <xf numFmtId="0" fontId="104" fillId="0" borderId="0" xfId="9" applyFont="1" applyAlignment="1">
      <alignment wrapText="1"/>
    </xf>
    <xf numFmtId="167" fontId="95" fillId="0" borderId="0" xfId="0" applyNumberFormat="1" applyFont="1"/>
    <xf numFmtId="167" fontId="95" fillId="14" borderId="0" xfId="0" applyNumberFormat="1" applyFont="1" applyFill="1"/>
    <xf numFmtId="0" fontId="93" fillId="10" borderId="0" xfId="0" applyFont="1" applyFill="1"/>
    <xf numFmtId="0" fontId="93" fillId="10" borderId="0" xfId="0" applyFont="1" applyFill="1" applyAlignment="1">
      <alignment wrapText="1"/>
    </xf>
    <xf numFmtId="167" fontId="93" fillId="10" borderId="0" xfId="0" applyNumberFormat="1" applyFont="1" applyFill="1"/>
    <xf numFmtId="167" fontId="93" fillId="18" borderId="0" xfId="0" applyNumberFormat="1" applyFont="1" applyFill="1"/>
    <xf numFmtId="6" fontId="105" fillId="0" borderId="0" xfId="9" applyNumberFormat="1" applyFont="1"/>
    <xf numFmtId="0" fontId="32" fillId="0" borderId="0" xfId="9" applyFont="1" applyAlignment="1">
      <alignment horizontal="center"/>
    </xf>
    <xf numFmtId="0" fontId="95" fillId="0" borderId="0" xfId="9" applyFont="1" applyAlignment="1">
      <alignment wrapText="1"/>
    </xf>
    <xf numFmtId="44" fontId="95" fillId="14" borderId="0" xfId="0" applyNumberFormat="1" applyFont="1" applyFill="1"/>
    <xf numFmtId="0" fontId="92" fillId="10" borderId="0" xfId="0" applyFont="1" applyFill="1"/>
    <xf numFmtId="6" fontId="93" fillId="0" borderId="0" xfId="0" applyNumberFormat="1" applyFont="1"/>
    <xf numFmtId="0" fontId="106" fillId="0" borderId="0" xfId="0" applyFont="1"/>
    <xf numFmtId="0" fontId="0" fillId="0" borderId="0" xfId="9" applyFont="1" applyAlignment="1">
      <alignment horizontal="center"/>
    </xf>
    <xf numFmtId="0" fontId="94" fillId="21" borderId="0" xfId="9" applyFont="1" applyFill="1" applyAlignment="1">
      <alignment wrapText="1"/>
    </xf>
    <xf numFmtId="167" fontId="94" fillId="21" borderId="0" xfId="0" applyNumberFormat="1" applyFont="1" applyFill="1"/>
    <xf numFmtId="0" fontId="92" fillId="22" borderId="0" xfId="9" applyFont="1" applyFill="1" applyAlignment="1">
      <alignment horizontal="center"/>
    </xf>
    <xf numFmtId="169" fontId="93" fillId="22" borderId="0" xfId="0" applyNumberFormat="1" applyFont="1" applyFill="1" applyAlignment="1">
      <alignment wrapText="1"/>
    </xf>
    <xf numFmtId="44" fontId="93" fillId="22" borderId="0" xfId="0" applyNumberFormat="1" applyFont="1" applyFill="1"/>
    <xf numFmtId="3" fontId="106" fillId="0" borderId="0" xfId="0" applyNumberFormat="1" applyFont="1"/>
    <xf numFmtId="0" fontId="92" fillId="0" borderId="0" xfId="0" applyFont="1" applyAlignment="1">
      <alignment horizontal="center"/>
    </xf>
    <xf numFmtId="3" fontId="95" fillId="0" borderId="0" xfId="0" applyNumberFormat="1" applyFont="1"/>
    <xf numFmtId="44" fontId="95" fillId="23" borderId="0" xfId="0" applyNumberFormat="1" applyFont="1" applyFill="1"/>
    <xf numFmtId="167" fontId="106" fillId="0" borderId="0" xfId="0" applyNumberFormat="1" applyFont="1"/>
    <xf numFmtId="0" fontId="92" fillId="0" borderId="0" xfId="0" applyFont="1"/>
    <xf numFmtId="40" fontId="109" fillId="24" borderId="0" xfId="0" applyNumberFormat="1" applyFont="1" applyFill="1" applyAlignment="1">
      <alignment horizontal="center" wrapText="1"/>
    </xf>
    <xf numFmtId="0" fontId="94" fillId="18" borderId="0" xfId="0" applyFont="1" applyFill="1" applyAlignment="1">
      <alignment horizontal="center" vertical="top" wrapText="1"/>
    </xf>
    <xf numFmtId="0" fontId="94" fillId="18" borderId="0" xfId="0" applyFont="1" applyFill="1" applyAlignment="1">
      <alignment horizontal="center" vertical="top"/>
    </xf>
    <xf numFmtId="0" fontId="81" fillId="21" borderId="0" xfId="0" applyFont="1" applyFill="1" applyAlignment="1">
      <alignment horizontal="center"/>
    </xf>
    <xf numFmtId="0" fontId="93" fillId="21" borderId="0" xfId="0" applyFont="1" applyFill="1" applyAlignment="1">
      <alignment wrapText="1"/>
    </xf>
    <xf numFmtId="167" fontId="93" fillId="21" borderId="0" xfId="0" applyNumberFormat="1" applyFont="1" applyFill="1"/>
    <xf numFmtId="0" fontId="102" fillId="7" borderId="0" xfId="0" applyFont="1" applyFill="1" applyAlignment="1">
      <alignment horizontal="center" vertical="top"/>
    </xf>
    <xf numFmtId="0" fontId="102" fillId="7" borderId="38" xfId="0" applyFont="1" applyFill="1" applyBorder="1" applyAlignment="1">
      <alignment horizontal="center"/>
    </xf>
    <xf numFmtId="0" fontId="102" fillId="7" borderId="39" xfId="0" applyFont="1" applyFill="1" applyBorder="1" applyAlignment="1">
      <alignment horizontal="center"/>
    </xf>
    <xf numFmtId="0" fontId="102" fillId="7" borderId="7" xfId="0" applyFont="1" applyFill="1" applyBorder="1" applyAlignment="1">
      <alignment horizontal="center" vertical="top" wrapText="1"/>
    </xf>
    <xf numFmtId="40" fontId="111" fillId="24" borderId="0" xfId="0" applyNumberFormat="1" applyFont="1" applyFill="1" applyAlignment="1">
      <alignment horizontal="center" vertical="center" wrapText="1"/>
    </xf>
    <xf numFmtId="0" fontId="75" fillId="18" borderId="0" xfId="0" applyFont="1" applyFill="1" applyAlignment="1">
      <alignment horizontal="center"/>
    </xf>
    <xf numFmtId="164" fontId="12" fillId="2" borderId="0" xfId="0" applyNumberFormat="1" applyFont="1" applyFill="1" applyAlignment="1">
      <alignment vertical="top" wrapText="1"/>
    </xf>
    <xf numFmtId="0" fontId="12" fillId="2" borderId="0" xfId="0" applyFont="1" applyFill="1" applyAlignment="1">
      <alignment vertical="top" wrapText="1"/>
    </xf>
    <xf numFmtId="3" fontId="27" fillId="2" borderId="0" xfId="1" applyNumberFormat="1" applyFont="1" applyFill="1" applyAlignment="1">
      <alignment horizontal="center" vertical="top" wrapText="1"/>
    </xf>
    <xf numFmtId="3" fontId="27" fillId="2" borderId="0" xfId="1" applyNumberFormat="1" applyFont="1" applyFill="1" applyAlignment="1">
      <alignment vertical="top" wrapText="1"/>
    </xf>
    <xf numFmtId="167" fontId="95" fillId="26" borderId="0" xfId="0" applyNumberFormat="1" applyFont="1" applyFill="1"/>
    <xf numFmtId="167" fontId="0" fillId="0" borderId="0" xfId="81" applyNumberFormat="1" applyFont="1"/>
    <xf numFmtId="0" fontId="94" fillId="20" borderId="0" xfId="0" applyFont="1" applyFill="1" applyAlignment="1">
      <alignment horizontal="center" vertical="top"/>
    </xf>
    <xf numFmtId="0" fontId="79" fillId="0" borderId="0" xfId="0" applyFont="1" applyAlignment="1">
      <alignment horizontal="left"/>
    </xf>
    <xf numFmtId="0" fontId="79" fillId="27" borderId="0" xfId="9" applyFont="1" applyFill="1" applyAlignment="1">
      <alignment wrapText="1"/>
    </xf>
    <xf numFmtId="0" fontId="75" fillId="18" borderId="0" xfId="94" applyFont="1" applyFill="1" applyAlignment="1">
      <alignment horizontal="center" vertical="top"/>
    </xf>
    <xf numFmtId="0" fontId="34" fillId="18" borderId="0" xfId="94" applyFont="1" applyFill="1"/>
    <xf numFmtId="0" fontId="34" fillId="0" borderId="0" xfId="94" applyFont="1"/>
    <xf numFmtId="40" fontId="34" fillId="0" borderId="0" xfId="94" applyNumberFormat="1" applyFont="1"/>
    <xf numFmtId="0" fontId="113" fillId="0" borderId="0" xfId="94" applyFont="1"/>
    <xf numFmtId="0" fontId="39" fillId="0" borderId="0" xfId="94"/>
    <xf numFmtId="0" fontId="114" fillId="0" borderId="0" xfId="94" applyFont="1"/>
    <xf numFmtId="0" fontId="115" fillId="18" borderId="0" xfId="94" applyFont="1" applyFill="1" applyAlignment="1">
      <alignment horizontal="center" vertical="top"/>
    </xf>
    <xf numFmtId="0" fontId="116" fillId="18" borderId="0" xfId="94" applyFont="1" applyFill="1" applyAlignment="1">
      <alignment horizontal="center" vertical="top"/>
    </xf>
    <xf numFmtId="40" fontId="115" fillId="18" borderId="0" xfId="94" applyNumberFormat="1" applyFont="1" applyFill="1" applyAlignment="1">
      <alignment horizontal="center" vertical="top"/>
    </xf>
    <xf numFmtId="0" fontId="118" fillId="14" borderId="0" xfId="94" applyFont="1" applyFill="1"/>
    <xf numFmtId="0" fontId="117" fillId="28" borderId="37" xfId="94" applyFont="1" applyFill="1" applyBorder="1" applyAlignment="1">
      <alignment vertical="center"/>
    </xf>
    <xf numFmtId="0" fontId="118" fillId="0" borderId="0" xfId="94" applyFont="1"/>
    <xf numFmtId="40" fontId="62" fillId="0" borderId="0" xfId="94" applyNumberFormat="1" applyFont="1" applyAlignment="1">
      <alignment horizontal="center"/>
    </xf>
    <xf numFmtId="0" fontId="117" fillId="14" borderId="37" xfId="94" applyFont="1" applyFill="1" applyBorder="1" applyAlignment="1">
      <alignment vertical="center"/>
    </xf>
    <xf numFmtId="0" fontId="34" fillId="14" borderId="0" xfId="94" applyFont="1" applyFill="1"/>
    <xf numFmtId="0" fontId="2" fillId="28" borderId="37" xfId="94" applyFont="1" applyFill="1" applyBorder="1" applyAlignment="1">
      <alignment vertical="center"/>
    </xf>
    <xf numFmtId="0" fontId="2" fillId="14" borderId="37" xfId="94" applyFont="1" applyFill="1" applyBorder="1" applyAlignment="1">
      <alignment vertical="center"/>
    </xf>
    <xf numFmtId="0" fontId="25" fillId="14" borderId="37" xfId="10" applyFont="1" applyFill="1" applyBorder="1" applyAlignment="1">
      <alignment vertical="center"/>
    </xf>
    <xf numFmtId="164" fontId="8" fillId="14" borderId="0" xfId="94" applyNumberFormat="1" applyFont="1" applyFill="1" applyAlignment="1">
      <alignment vertical="center"/>
    </xf>
    <xf numFmtId="40" fontId="115" fillId="18" borderId="40" xfId="94" applyNumberFormat="1" applyFont="1" applyFill="1" applyBorder="1" applyAlignment="1">
      <alignment horizontal="center" vertical="top"/>
    </xf>
    <xf numFmtId="40" fontId="115" fillId="18" borderId="41" xfId="94" applyNumberFormat="1" applyFont="1" applyFill="1" applyBorder="1" applyAlignment="1">
      <alignment horizontal="center" vertical="top"/>
    </xf>
    <xf numFmtId="0" fontId="39" fillId="18" borderId="0" xfId="94" applyFill="1"/>
    <xf numFmtId="0" fontId="118" fillId="18" borderId="0" xfId="94" applyFont="1" applyFill="1"/>
    <xf numFmtId="40" fontId="115" fillId="18" borderId="42" xfId="94" applyNumberFormat="1" applyFont="1" applyFill="1" applyBorder="1" applyAlignment="1">
      <alignment horizontal="center" vertical="top"/>
    </xf>
    <xf numFmtId="0" fontId="62" fillId="0" borderId="18" xfId="94" applyFont="1" applyBorder="1" applyAlignment="1">
      <alignment horizontal="center"/>
    </xf>
    <xf numFmtId="0" fontId="34" fillId="16" borderId="19" xfId="94" applyFont="1" applyFill="1" applyBorder="1"/>
    <xf numFmtId="0" fontId="104" fillId="0" borderId="19" xfId="94" applyFont="1" applyBorder="1"/>
    <xf numFmtId="0" fontId="62" fillId="0" borderId="6" xfId="94" applyFont="1" applyBorder="1" applyAlignment="1">
      <alignment horizontal="center"/>
    </xf>
    <xf numFmtId="0" fontId="34" fillId="16" borderId="0" xfId="94" applyFont="1" applyFill="1"/>
    <xf numFmtId="0" fontId="104" fillId="0" borderId="0" xfId="94" applyFont="1"/>
    <xf numFmtId="0" fontId="62" fillId="0" borderId="8" xfId="94" applyFont="1" applyBorder="1" applyAlignment="1">
      <alignment horizontal="center"/>
    </xf>
    <xf numFmtId="0" fontId="34" fillId="16" borderId="9" xfId="94" applyFont="1" applyFill="1" applyBorder="1"/>
    <xf numFmtId="0" fontId="104" fillId="0" borderId="9" xfId="94" applyFont="1" applyBorder="1"/>
    <xf numFmtId="0" fontId="39" fillId="0" borderId="9" xfId="94" applyBorder="1"/>
    <xf numFmtId="0" fontId="118" fillId="0" borderId="9" xfId="94" applyFont="1" applyBorder="1"/>
    <xf numFmtId="0" fontId="119" fillId="18" borderId="0" xfId="94" applyFont="1" applyFill="1"/>
    <xf numFmtId="0" fontId="81" fillId="18" borderId="0" xfId="94" applyFont="1" applyFill="1"/>
    <xf numFmtId="40" fontId="108" fillId="0" borderId="4" xfId="94" applyNumberFormat="1" applyFont="1" applyBorder="1"/>
    <xf numFmtId="40" fontId="108" fillId="0" borderId="5" xfId="94" applyNumberFormat="1" applyFont="1" applyBorder="1"/>
    <xf numFmtId="40" fontId="108" fillId="0" borderId="2" xfId="94" applyNumberFormat="1" applyFont="1" applyBorder="1"/>
    <xf numFmtId="40" fontId="108" fillId="0" borderId="15" xfId="94" applyNumberFormat="1" applyFont="1" applyBorder="1"/>
    <xf numFmtId="40" fontId="108" fillId="0" borderId="0" xfId="94" applyNumberFormat="1" applyFont="1"/>
    <xf numFmtId="40" fontId="108" fillId="18" borderId="0" xfId="94" applyNumberFormat="1" applyFont="1" applyFill="1"/>
    <xf numFmtId="0" fontId="108" fillId="0" borderId="0" xfId="94" applyFont="1"/>
    <xf numFmtId="0" fontId="103" fillId="0" borderId="0" xfId="94" applyFont="1"/>
    <xf numFmtId="0" fontId="120" fillId="16" borderId="0" xfId="94" applyFont="1" applyFill="1" applyAlignment="1">
      <alignment horizontal="center" vertical="top"/>
    </xf>
    <xf numFmtId="0" fontId="108" fillId="17" borderId="0" xfId="94" applyFont="1" applyFill="1" applyAlignment="1">
      <alignment vertical="top"/>
    </xf>
    <xf numFmtId="40" fontId="108" fillId="17" borderId="0" xfId="94" applyNumberFormat="1" applyFont="1" applyFill="1" applyAlignment="1">
      <alignment horizontal="center" vertical="top"/>
    </xf>
    <xf numFmtId="0" fontId="120" fillId="16" borderId="43" xfId="94" applyFont="1" applyFill="1" applyBorder="1" applyAlignment="1">
      <alignment horizontal="center" vertical="top"/>
    </xf>
    <xf numFmtId="0" fontId="121" fillId="16" borderId="43" xfId="94" applyFont="1" applyFill="1" applyBorder="1" applyAlignment="1">
      <alignment horizontal="center" vertical="top"/>
    </xf>
    <xf numFmtId="0" fontId="39" fillId="0" borderId="0" xfId="94" applyAlignment="1">
      <alignment vertical="top"/>
    </xf>
    <xf numFmtId="0" fontId="75" fillId="19" borderId="0" xfId="17" applyFont="1" applyFill="1"/>
    <xf numFmtId="0" fontId="75" fillId="7" borderId="0" xfId="17" applyFont="1" applyFill="1"/>
    <xf numFmtId="0" fontId="106" fillId="29" borderId="0" xfId="0" applyFont="1" applyFill="1"/>
    <xf numFmtId="0" fontId="75" fillId="18" borderId="0" xfId="97" applyFont="1" applyFill="1" applyAlignment="1">
      <alignment vertical="top"/>
    </xf>
    <xf numFmtId="0" fontId="94" fillId="30" borderId="41" xfId="97" applyFont="1" applyFill="1" applyBorder="1" applyAlignment="1">
      <alignment vertical="top"/>
    </xf>
    <xf numFmtId="0" fontId="39" fillId="0" borderId="0" xfId="97"/>
    <xf numFmtId="0" fontId="0" fillId="0" borderId="0" xfId="97" applyFont="1"/>
    <xf numFmtId="1" fontId="125" fillId="0" borderId="0" xfId="97" applyNumberFormat="1" applyFont="1" applyAlignment="1">
      <alignment horizontal="center"/>
    </xf>
    <xf numFmtId="0" fontId="125" fillId="0" borderId="0" xfId="97" applyFont="1"/>
    <xf numFmtId="0" fontId="125" fillId="0" borderId="0" xfId="97" applyFont="1" applyAlignment="1">
      <alignment horizontal="center"/>
    </xf>
    <xf numFmtId="0" fontId="108" fillId="17" borderId="0" xfId="94" applyFont="1" applyFill="1" applyAlignment="1">
      <alignment horizontal="center" vertical="top"/>
    </xf>
    <xf numFmtId="0" fontId="120" fillId="17" borderId="0" xfId="94" applyFont="1" applyFill="1" applyAlignment="1">
      <alignment horizontal="center" vertical="top"/>
    </xf>
    <xf numFmtId="0" fontId="39" fillId="0" borderId="0" xfId="0" applyFont="1"/>
    <xf numFmtId="0" fontId="34" fillId="14" borderId="0" xfId="0" applyFont="1" applyFill="1"/>
    <xf numFmtId="0" fontId="118" fillId="0" borderId="0" xfId="0" applyFont="1"/>
    <xf numFmtId="40" fontId="2" fillId="14" borderId="0" xfId="94" applyNumberFormat="1" applyFont="1" applyFill="1" applyAlignment="1">
      <alignment vertical="center"/>
    </xf>
    <xf numFmtId="40" fontId="118" fillId="0" borderId="0" xfId="0" applyNumberFormat="1" applyFont="1" applyAlignment="1">
      <alignment horizontal="center"/>
    </xf>
    <xf numFmtId="0" fontId="114" fillId="0" borderId="0" xfId="0" applyFont="1"/>
    <xf numFmtId="0" fontId="34" fillId="0" borderId="0" xfId="0" applyFont="1"/>
    <xf numFmtId="0" fontId="122" fillId="0" borderId="0" xfId="0" applyFont="1"/>
    <xf numFmtId="0" fontId="113" fillId="0" borderId="0" xfId="0" applyFont="1" applyAlignment="1">
      <alignment horizontal="center"/>
    </xf>
    <xf numFmtId="40" fontId="122" fillId="0" borderId="0" xfId="0" applyNumberFormat="1" applyFont="1"/>
    <xf numFmtId="40" fontId="122" fillId="16" borderId="0" xfId="0" applyNumberFormat="1" applyFont="1" applyFill="1"/>
    <xf numFmtId="0" fontId="126" fillId="0" borderId="0" xfId="0" applyFont="1"/>
    <xf numFmtId="167" fontId="0" fillId="0" borderId="0" xfId="0" applyNumberFormat="1"/>
    <xf numFmtId="0" fontId="11" fillId="2" borderId="1" xfId="0" applyFont="1" applyFill="1" applyBorder="1" applyAlignment="1">
      <alignment horizontal="center" vertical="center"/>
    </xf>
    <xf numFmtId="0" fontId="2" fillId="31" borderId="0" xfId="0" applyFont="1" applyFill="1" applyAlignment="1">
      <alignment vertical="center"/>
    </xf>
    <xf numFmtId="40" fontId="115" fillId="18" borderId="44" xfId="94" applyNumberFormat="1" applyFont="1" applyFill="1" applyBorder="1" applyAlignment="1">
      <alignment horizontal="center" vertical="top"/>
    </xf>
    <xf numFmtId="40" fontId="115" fillId="18" borderId="45" xfId="94" applyNumberFormat="1" applyFont="1" applyFill="1" applyBorder="1" applyAlignment="1">
      <alignment horizontal="left" vertical="top"/>
    </xf>
    <xf numFmtId="40" fontId="115" fillId="18" borderId="46" xfId="94" applyNumberFormat="1" applyFont="1" applyFill="1" applyBorder="1" applyAlignment="1">
      <alignment horizontal="center" vertical="top"/>
    </xf>
    <xf numFmtId="40" fontId="104" fillId="0" borderId="15" xfId="94" applyNumberFormat="1" applyFont="1" applyBorder="1"/>
    <xf numFmtId="38" fontId="104" fillId="0" borderId="1" xfId="94" applyNumberFormat="1" applyFont="1" applyBorder="1"/>
    <xf numFmtId="38" fontId="104" fillId="0" borderId="4" xfId="94" applyNumberFormat="1" applyFont="1" applyBorder="1"/>
    <xf numFmtId="38" fontId="104" fillId="0" borderId="15" xfId="94" applyNumberFormat="1" applyFont="1" applyBorder="1"/>
    <xf numFmtId="38" fontId="108" fillId="0" borderId="0" xfId="94" applyNumberFormat="1" applyFont="1"/>
    <xf numFmtId="40" fontId="104" fillId="0" borderId="0" xfId="94" applyNumberFormat="1" applyFont="1"/>
    <xf numFmtId="40" fontId="123" fillId="0" borderId="0" xfId="94" applyNumberFormat="1" applyFont="1"/>
    <xf numFmtId="40" fontId="123" fillId="18" borderId="0" xfId="94" applyNumberFormat="1" applyFont="1" applyFill="1"/>
    <xf numFmtId="3" fontId="88" fillId="0" borderId="0" xfId="0" applyNumberFormat="1" applyFont="1"/>
    <xf numFmtId="0" fontId="88" fillId="0" borderId="0" xfId="0" applyFont="1"/>
    <xf numFmtId="166" fontId="93" fillId="15" borderId="15" xfId="0" applyNumberFormat="1" applyFont="1" applyFill="1" applyBorder="1" applyAlignment="1">
      <alignment horizontal="center" vertical="center"/>
    </xf>
    <xf numFmtId="167" fontId="93" fillId="0" borderId="0" xfId="0" applyNumberFormat="1" applyFont="1"/>
    <xf numFmtId="49" fontId="20" fillId="0" borderId="0" xfId="1" applyNumberFormat="1" applyFont="1" applyAlignment="1">
      <alignment horizontal="center" vertical="center"/>
    </xf>
    <xf numFmtId="0" fontId="92" fillId="14" borderId="0" xfId="9" applyFont="1" applyFill="1" applyAlignment="1">
      <alignment horizontal="center"/>
    </xf>
    <xf numFmtId="0" fontId="92" fillId="14" borderId="0" xfId="9" applyFont="1" applyFill="1" applyAlignment="1">
      <alignment wrapText="1"/>
    </xf>
    <xf numFmtId="3" fontId="95" fillId="14" borderId="0" xfId="0" applyNumberFormat="1" applyFont="1" applyFill="1"/>
    <xf numFmtId="167" fontId="124" fillId="0" borderId="0" xfId="0" applyNumberFormat="1" applyFont="1"/>
    <xf numFmtId="0" fontId="124" fillId="0" borderId="0" xfId="0" applyFont="1"/>
    <xf numFmtId="0" fontId="124" fillId="25" borderId="0" xfId="0" applyFont="1" applyFill="1"/>
    <xf numFmtId="3" fontId="21" fillId="0" borderId="0" xfId="0" applyNumberFormat="1" applyFont="1" applyAlignment="1">
      <alignment vertical="center"/>
    </xf>
    <xf numFmtId="3" fontId="2" fillId="0" borderId="24" xfId="0" applyNumberFormat="1" applyFont="1" applyBorder="1" applyAlignment="1">
      <alignment vertical="center"/>
    </xf>
    <xf numFmtId="3" fontId="25" fillId="0" borderId="24" xfId="0" applyNumberFormat="1" applyFont="1" applyBorder="1" applyAlignment="1">
      <alignment vertical="center"/>
    </xf>
    <xf numFmtId="3" fontId="127" fillId="0" borderId="24" xfId="0" applyNumberFormat="1" applyFont="1" applyBorder="1" applyAlignment="1">
      <alignment horizontal="center" vertical="center"/>
    </xf>
    <xf numFmtId="3" fontId="8" fillId="0" borderId="0" xfId="0" applyNumberFormat="1" applyFont="1" applyAlignment="1">
      <alignment vertical="center"/>
    </xf>
    <xf numFmtId="3" fontId="20" fillId="0" borderId="0" xfId="0" applyNumberFormat="1" applyFont="1" applyAlignment="1">
      <alignment vertical="center"/>
    </xf>
    <xf numFmtId="0" fontId="92" fillId="0" borderId="24" xfId="0" applyFont="1" applyBorder="1" applyAlignment="1">
      <alignment vertical="center" wrapText="1"/>
    </xf>
    <xf numFmtId="38" fontId="0" fillId="0" borderId="0" xfId="0" applyNumberFormat="1"/>
    <xf numFmtId="0" fontId="19" fillId="0" borderId="0" xfId="6" applyFont="1"/>
    <xf numFmtId="0" fontId="23" fillId="7" borderId="0" xfId="6" applyFont="1" applyFill="1" applyAlignment="1">
      <alignment horizontal="center" vertical="center"/>
    </xf>
    <xf numFmtId="0" fontId="23" fillId="7" borderId="0" xfId="6" applyFont="1" applyFill="1" applyAlignment="1">
      <alignment vertical="center"/>
    </xf>
    <xf numFmtId="0" fontId="24" fillId="7" borderId="0" xfId="6" applyFont="1" applyFill="1" applyAlignment="1">
      <alignment horizontal="center" vertical="center"/>
    </xf>
    <xf numFmtId="0" fontId="36" fillId="0" borderId="0" xfId="6" applyFont="1"/>
    <xf numFmtId="0" fontId="21" fillId="0" borderId="0" xfId="6" applyFont="1" applyAlignment="1">
      <alignment vertical="center"/>
    </xf>
    <xf numFmtId="0" fontId="20" fillId="0" borderId="0" xfId="6" applyFont="1" applyAlignment="1">
      <alignment vertical="center"/>
    </xf>
    <xf numFmtId="3" fontId="21" fillId="0" borderId="0" xfId="6" applyNumberFormat="1" applyFont="1" applyAlignment="1">
      <alignment vertical="center"/>
    </xf>
    <xf numFmtId="0" fontId="25" fillId="0" borderId="0" xfId="6" applyFont="1" applyAlignment="1">
      <alignment vertical="center"/>
    </xf>
    <xf numFmtId="3" fontId="20" fillId="0" borderId="0" xfId="6" applyNumberFormat="1" applyFont="1" applyAlignment="1">
      <alignment vertical="center"/>
    </xf>
    <xf numFmtId="168" fontId="20" fillId="0" borderId="0" xfId="1" applyNumberFormat="1" applyFont="1" applyAlignment="1">
      <alignment vertical="center"/>
    </xf>
    <xf numFmtId="0" fontId="22" fillId="0" borderId="0" xfId="1" applyFont="1" applyAlignment="1">
      <alignment vertical="center"/>
    </xf>
    <xf numFmtId="0" fontId="21" fillId="0" borderId="0" xfId="1" applyFont="1" applyAlignment="1">
      <alignment vertical="center"/>
    </xf>
    <xf numFmtId="3" fontId="21" fillId="0" borderId="0" xfId="1" applyNumberFormat="1" applyFont="1" applyAlignment="1">
      <alignment vertical="center"/>
    </xf>
    <xf numFmtId="0" fontId="17" fillId="0" borderId="0" xfId="1" applyFont="1" applyAlignment="1">
      <alignment vertical="center"/>
    </xf>
    <xf numFmtId="0" fontId="20" fillId="8" borderId="0" xfId="6" applyFont="1" applyFill="1" applyAlignment="1">
      <alignment vertical="center"/>
    </xf>
    <xf numFmtId="3" fontId="17" fillId="8" borderId="0" xfId="6" applyNumberFormat="1" applyFont="1" applyFill="1" applyAlignment="1">
      <alignment vertical="center"/>
    </xf>
    <xf numFmtId="0" fontId="17" fillId="8" borderId="0" xfId="6" applyFont="1" applyFill="1" applyAlignment="1">
      <alignment vertical="center"/>
    </xf>
    <xf numFmtId="3" fontId="17" fillId="0" borderId="0" xfId="6" applyNumberFormat="1" applyFont="1" applyAlignment="1">
      <alignment vertical="center"/>
    </xf>
    <xf numFmtId="167" fontId="25" fillId="9" borderId="0" xfId="6" applyNumberFormat="1" applyFont="1" applyFill="1" applyAlignment="1">
      <alignment horizontal="center" vertical="center" wrapText="1"/>
    </xf>
    <xf numFmtId="10" fontId="20" fillId="0" borderId="0" xfId="6" applyNumberFormat="1" applyFont="1" applyAlignment="1">
      <alignment vertical="center"/>
    </xf>
    <xf numFmtId="0" fontId="14" fillId="0" borderId="0" xfId="6" applyFont="1" applyAlignment="1">
      <alignment vertical="center" wrapText="1"/>
    </xf>
    <xf numFmtId="0" fontId="30" fillId="0" borderId="0" xfId="6" applyFont="1" applyAlignment="1">
      <alignment vertical="center"/>
    </xf>
    <xf numFmtId="168" fontId="25" fillId="0" borderId="0" xfId="6" applyNumberFormat="1" applyFont="1" applyAlignment="1">
      <alignment horizontal="center" vertical="center"/>
    </xf>
    <xf numFmtId="0" fontId="20" fillId="0" borderId="0" xfId="6" applyFont="1" applyAlignment="1">
      <alignment horizontal="center" vertical="center"/>
    </xf>
    <xf numFmtId="0" fontId="20" fillId="4" borderId="0" xfId="6" applyFont="1" applyFill="1" applyAlignment="1">
      <alignment vertical="center"/>
    </xf>
    <xf numFmtId="167" fontId="20" fillId="0" borderId="0" xfId="1" applyNumberFormat="1" applyFont="1" applyAlignment="1">
      <alignment vertical="center"/>
    </xf>
    <xf numFmtId="167" fontId="20" fillId="0" borderId="15" xfId="6" applyNumberFormat="1" applyFont="1" applyBorder="1" applyAlignment="1">
      <alignment horizontal="center" vertical="center"/>
    </xf>
    <xf numFmtId="10" fontId="20" fillId="0" borderId="15" xfId="6" applyNumberFormat="1" applyFont="1" applyBorder="1" applyAlignment="1">
      <alignment horizontal="center" vertical="center"/>
    </xf>
    <xf numFmtId="168" fontId="35" fillId="0" borderId="0" xfId="6" applyNumberFormat="1" applyFont="1" applyAlignment="1">
      <alignment horizontal="center" vertical="center"/>
    </xf>
    <xf numFmtId="3" fontId="37" fillId="0" borderId="0" xfId="6" applyNumberFormat="1" applyFont="1" applyAlignment="1">
      <alignment vertical="center"/>
    </xf>
    <xf numFmtId="0" fontId="45" fillId="0" borderId="0" xfId="6" applyFont="1" applyAlignment="1">
      <alignment vertical="center"/>
    </xf>
    <xf numFmtId="167" fontId="14" fillId="11" borderId="0" xfId="6" applyNumberFormat="1" applyFont="1" applyFill="1" applyAlignment="1">
      <alignment horizontal="center" vertical="center"/>
    </xf>
    <xf numFmtId="0" fontId="46" fillId="0" borderId="0" xfId="6" applyFont="1" applyAlignment="1">
      <alignment vertical="center"/>
    </xf>
    <xf numFmtId="3" fontId="47" fillId="0" borderId="0" xfId="6" applyNumberFormat="1" applyFont="1" applyAlignment="1">
      <alignment vertical="center"/>
    </xf>
    <xf numFmtId="0" fontId="47" fillId="0" borderId="0" xfId="6" applyFont="1" applyAlignment="1">
      <alignment vertical="center"/>
    </xf>
    <xf numFmtId="0" fontId="48" fillId="0" borderId="0" xfId="6" applyFont="1" applyAlignment="1">
      <alignment vertical="center"/>
    </xf>
    <xf numFmtId="3" fontId="55" fillId="0" borderId="0" xfId="6" applyNumberFormat="1" applyFont="1" applyAlignment="1">
      <alignment vertical="center"/>
    </xf>
    <xf numFmtId="0" fontId="37" fillId="0" borderId="0" xfId="6" applyFont="1" applyAlignment="1">
      <alignment vertical="center"/>
    </xf>
    <xf numFmtId="3" fontId="38" fillId="0" borderId="0" xfId="6" applyNumberFormat="1" applyFont="1" applyAlignment="1">
      <alignment vertical="center"/>
    </xf>
    <xf numFmtId="167" fontId="17" fillId="0" borderId="0" xfId="6" applyNumberFormat="1" applyFont="1" applyAlignment="1">
      <alignment vertical="center"/>
    </xf>
    <xf numFmtId="0" fontId="20" fillId="0" borderId="0" xfId="1" applyFont="1" applyAlignment="1">
      <alignment vertical="center"/>
    </xf>
    <xf numFmtId="3" fontId="17" fillId="0" borderId="0" xfId="1" applyNumberFormat="1" applyFont="1" applyAlignment="1">
      <alignment vertical="center"/>
    </xf>
    <xf numFmtId="167" fontId="20" fillId="0" borderId="0" xfId="6" applyNumberFormat="1" applyFont="1" applyAlignment="1">
      <alignment horizontal="center" vertical="center"/>
    </xf>
    <xf numFmtId="0" fontId="20" fillId="12" borderId="0" xfId="6" applyFont="1" applyFill="1" applyAlignment="1">
      <alignment horizontal="center" vertical="center"/>
    </xf>
    <xf numFmtId="38" fontId="53" fillId="0" borderId="25" xfId="1" applyNumberFormat="1" applyFont="1" applyBorder="1" applyAlignment="1">
      <alignment vertical="center"/>
    </xf>
    <xf numFmtId="2" fontId="50" fillId="0" borderId="25" xfId="1" applyNumberFormat="1" applyFont="1" applyBorder="1" applyAlignment="1">
      <alignment vertical="center"/>
    </xf>
    <xf numFmtId="10" fontId="20" fillId="0" borderId="11" xfId="6" applyNumberFormat="1" applyFont="1" applyBorder="1" applyAlignment="1">
      <alignment horizontal="center" vertical="center"/>
    </xf>
    <xf numFmtId="167" fontId="20" fillId="0" borderId="21" xfId="6" applyNumberFormat="1" applyFont="1" applyBorder="1" applyAlignment="1">
      <alignment horizontal="right" vertical="center"/>
    </xf>
    <xf numFmtId="167" fontId="20" fillId="0" borderId="0" xfId="6" applyNumberFormat="1" applyFont="1" applyAlignment="1">
      <alignment horizontal="left" vertical="center"/>
    </xf>
    <xf numFmtId="38" fontId="53" fillId="0" borderId="0" xfId="1" applyNumberFormat="1" applyFont="1" applyAlignment="1">
      <alignment vertical="center"/>
    </xf>
    <xf numFmtId="2" fontId="50" fillId="0" borderId="0" xfId="1" applyNumberFormat="1" applyFont="1" applyAlignment="1">
      <alignment vertical="center"/>
    </xf>
    <xf numFmtId="167" fontId="20" fillId="0" borderId="22" xfId="6" applyNumberFormat="1" applyFont="1" applyBorder="1" applyAlignment="1">
      <alignment horizontal="right" vertical="center"/>
    </xf>
    <xf numFmtId="38" fontId="53" fillId="0" borderId="24" xfId="1" applyNumberFormat="1" applyFont="1" applyBorder="1" applyAlignment="1">
      <alignment vertical="center"/>
    </xf>
    <xf numFmtId="167" fontId="20" fillId="0" borderId="26" xfId="6" applyNumberFormat="1" applyFont="1" applyBorder="1" applyAlignment="1">
      <alignment horizontal="right" vertical="center"/>
    </xf>
    <xf numFmtId="167" fontId="20" fillId="11" borderId="0" xfId="6" applyNumberFormat="1" applyFont="1" applyFill="1" applyAlignment="1">
      <alignment horizontal="right" vertical="center"/>
    </xf>
    <xf numFmtId="167" fontId="30" fillId="0" borderId="0" xfId="6" applyNumberFormat="1" applyFont="1" applyAlignment="1">
      <alignment horizontal="left" vertical="center"/>
    </xf>
    <xf numFmtId="167" fontId="20" fillId="0" borderId="0" xfId="6" applyNumberFormat="1" applyFont="1" applyAlignment="1">
      <alignment horizontal="right" vertical="center"/>
    </xf>
    <xf numFmtId="3" fontId="17" fillId="0" borderId="9" xfId="6" applyNumberFormat="1" applyFont="1" applyBorder="1" applyAlignment="1">
      <alignment vertical="center"/>
    </xf>
    <xf numFmtId="0" fontId="17" fillId="0" borderId="9" xfId="6" applyFont="1" applyBorder="1" applyAlignment="1">
      <alignment vertical="center" wrapText="1"/>
    </xf>
    <xf numFmtId="0" fontId="19" fillId="0" borderId="13" xfId="6" applyFont="1" applyBorder="1" applyAlignment="1">
      <alignment vertical="center"/>
    </xf>
    <xf numFmtId="167" fontId="25" fillId="10" borderId="0" xfId="6" applyNumberFormat="1" applyFont="1" applyFill="1" applyAlignment="1">
      <alignment horizontal="left"/>
    </xf>
    <xf numFmtId="167" fontId="20" fillId="10" borderId="0" xfId="6" applyNumberFormat="1" applyFont="1" applyFill="1" applyAlignment="1">
      <alignment horizontal="center"/>
    </xf>
    <xf numFmtId="6" fontId="20" fillId="0" borderId="31" xfId="6" applyNumberFormat="1" applyFont="1" applyBorder="1" applyAlignment="1">
      <alignment horizontal="right" vertical="center"/>
    </xf>
    <xf numFmtId="167" fontId="25" fillId="0" borderId="0" xfId="6" applyNumberFormat="1" applyFont="1" applyAlignment="1">
      <alignment horizontal="left"/>
    </xf>
    <xf numFmtId="167" fontId="20" fillId="0" borderId="0" xfId="6" applyNumberFormat="1" applyFont="1" applyAlignment="1">
      <alignment horizontal="center"/>
    </xf>
    <xf numFmtId="167" fontId="20" fillId="0" borderId="0" xfId="6" applyNumberFormat="1" applyFont="1" applyAlignment="1">
      <alignment vertical="center"/>
    </xf>
    <xf numFmtId="167" fontId="30" fillId="15" borderId="0" xfId="6" applyNumberFormat="1" applyFont="1" applyFill="1" applyAlignment="1">
      <alignment horizontal="center" vertical="center"/>
    </xf>
    <xf numFmtId="167" fontId="20" fillId="14" borderId="0" xfId="6" applyNumberFormat="1" applyFont="1" applyFill="1" applyAlignment="1">
      <alignment horizontal="left" vertical="center"/>
    </xf>
    <xf numFmtId="167" fontId="20" fillId="14" borderId="0" xfId="6" applyNumberFormat="1" applyFont="1" applyFill="1" applyAlignment="1">
      <alignment horizontal="right" vertical="center"/>
    </xf>
    <xf numFmtId="0" fontId="17" fillId="14" borderId="0" xfId="6" applyFont="1" applyFill="1" applyAlignment="1">
      <alignment vertical="center"/>
    </xf>
    <xf numFmtId="167" fontId="20" fillId="14" borderId="0" xfId="6" applyNumberFormat="1" applyFont="1" applyFill="1" applyAlignment="1">
      <alignment horizontal="center" vertical="center"/>
    </xf>
    <xf numFmtId="167" fontId="30" fillId="14" borderId="0" xfId="6" applyNumberFormat="1" applyFont="1" applyFill="1" applyAlignment="1">
      <alignment horizontal="center" vertical="center"/>
    </xf>
    <xf numFmtId="0" fontId="14" fillId="0" borderId="0" xfId="6" applyFont="1" applyAlignment="1">
      <alignment vertical="center"/>
    </xf>
    <xf numFmtId="38" fontId="25" fillId="0" borderId="0" xfId="6" applyNumberFormat="1" applyFont="1" applyAlignment="1">
      <alignment vertical="center"/>
    </xf>
    <xf numFmtId="3" fontId="25" fillId="0" borderId="0" xfId="6" applyNumberFormat="1" applyFont="1" applyAlignment="1">
      <alignment vertical="center"/>
    </xf>
    <xf numFmtId="3" fontId="20" fillId="17" borderId="0" xfId="6" applyNumberFormat="1" applyFont="1" applyFill="1" applyAlignment="1">
      <alignment horizontal="center" vertical="center"/>
    </xf>
    <xf numFmtId="0" fontId="63" fillId="5" borderId="0" xfId="6" applyFont="1" applyFill="1" applyAlignment="1">
      <alignment vertical="center"/>
    </xf>
    <xf numFmtId="0" fontId="63" fillId="0" borderId="0" xfId="6" applyFont="1" applyAlignment="1">
      <alignment vertical="center"/>
    </xf>
    <xf numFmtId="0" fontId="64" fillId="0" borderId="0" xfId="6" applyFont="1" applyAlignment="1">
      <alignment vertical="center"/>
    </xf>
    <xf numFmtId="0" fontId="21" fillId="15" borderId="0" xfId="6" applyFont="1" applyFill="1" applyAlignment="1">
      <alignment vertical="center"/>
    </xf>
    <xf numFmtId="0" fontId="17" fillId="15" borderId="0" xfId="6" applyFont="1" applyFill="1" applyAlignment="1">
      <alignment vertical="center"/>
    </xf>
    <xf numFmtId="3" fontId="17" fillId="0" borderId="24" xfId="6" applyNumberFormat="1" applyFont="1" applyBorder="1" applyAlignment="1">
      <alignment vertical="center"/>
    </xf>
    <xf numFmtId="0" fontId="30" fillId="0" borderId="0" xfId="6" applyFont="1" applyAlignment="1">
      <alignment vertical="center" wrapText="1"/>
    </xf>
    <xf numFmtId="38" fontId="65" fillId="0" borderId="0" xfId="1" applyNumberFormat="1" applyFont="1" applyAlignment="1">
      <alignment vertical="center"/>
    </xf>
    <xf numFmtId="167" fontId="25" fillId="11" borderId="0" xfId="6" applyNumberFormat="1" applyFont="1" applyFill="1" applyAlignment="1">
      <alignment vertical="center"/>
    </xf>
    <xf numFmtId="167" fontId="20" fillId="11" borderId="0" xfId="6" applyNumberFormat="1" applyFont="1" applyFill="1" applyAlignment="1">
      <alignment vertical="center"/>
    </xf>
    <xf numFmtId="3" fontId="20" fillId="17" borderId="0" xfId="6" applyNumberFormat="1" applyFont="1" applyFill="1" applyAlignment="1">
      <alignment horizontal="left" vertical="center"/>
    </xf>
    <xf numFmtId="167" fontId="20" fillId="17" borderId="0" xfId="6" applyNumberFormat="1" applyFont="1" applyFill="1" applyAlignment="1">
      <alignment horizontal="right" vertical="center"/>
    </xf>
    <xf numFmtId="0" fontId="6" fillId="17" borderId="0" xfId="6" applyFill="1" applyAlignment="1">
      <alignment vertical="center"/>
    </xf>
    <xf numFmtId="167" fontId="20" fillId="0" borderId="15" xfId="6" applyNumberFormat="1" applyFont="1" applyBorder="1" applyAlignment="1">
      <alignment horizontal="right" vertical="center"/>
    </xf>
    <xf numFmtId="0" fontId="20" fillId="11" borderId="0" xfId="6" applyFont="1" applyFill="1" applyAlignment="1">
      <alignment vertical="center"/>
    </xf>
    <xf numFmtId="0" fontId="25" fillId="11" borderId="0" xfId="6" applyFont="1" applyFill="1" applyAlignment="1">
      <alignment vertical="center"/>
    </xf>
    <xf numFmtId="3" fontId="77" fillId="0" borderId="0" xfId="6" applyNumberFormat="1" applyFont="1" applyAlignment="1">
      <alignment vertical="center"/>
    </xf>
    <xf numFmtId="38" fontId="20" fillId="0" borderId="0" xfId="6" applyNumberFormat="1" applyFont="1" applyAlignment="1">
      <alignment vertical="center"/>
    </xf>
    <xf numFmtId="168" fontId="73" fillId="0" borderId="0" xfId="6" applyNumberFormat="1" applyFont="1" applyAlignment="1">
      <alignment horizontal="center" vertical="center"/>
    </xf>
    <xf numFmtId="6" fontId="20" fillId="0" borderId="15" xfId="6" applyNumberFormat="1" applyFont="1" applyBorder="1" applyAlignment="1">
      <alignment horizontal="center" vertical="center"/>
    </xf>
    <xf numFmtId="10" fontId="78" fillId="0" borderId="15" xfId="6" applyNumberFormat="1" applyFont="1" applyBorder="1" applyAlignment="1">
      <alignment horizontal="center" vertical="center"/>
    </xf>
    <xf numFmtId="0" fontId="20" fillId="10" borderId="0" xfId="6" applyFont="1" applyFill="1" applyAlignment="1">
      <alignment vertical="center"/>
    </xf>
    <xf numFmtId="167" fontId="20" fillId="0" borderId="0" xfId="6" applyNumberFormat="1" applyFont="1" applyAlignment="1">
      <alignment horizontal="left" vertical="center" wrapText="1"/>
    </xf>
    <xf numFmtId="167" fontId="20" fillId="0" borderId="24" xfId="6" applyNumberFormat="1" applyFont="1" applyBorder="1" applyAlignment="1">
      <alignment horizontal="left" vertical="center" wrapText="1"/>
    </xf>
    <xf numFmtId="167" fontId="20" fillId="16" borderId="0" xfId="6" applyNumberFormat="1" applyFont="1" applyFill="1" applyAlignment="1">
      <alignment horizontal="left" vertical="center" wrapText="1"/>
    </xf>
    <xf numFmtId="167" fontId="25" fillId="0" borderId="0" xfId="6" applyNumberFormat="1" applyFont="1" applyAlignment="1">
      <alignment horizontal="left" vertical="center"/>
    </xf>
    <xf numFmtId="10" fontId="20" fillId="0" borderId="36" xfId="6" applyNumberFormat="1" applyFont="1" applyBorder="1" applyAlignment="1">
      <alignment horizontal="center" vertical="center"/>
    </xf>
    <xf numFmtId="10" fontId="73" fillId="0" borderId="0" xfId="6" applyNumberFormat="1" applyFont="1" applyAlignment="1">
      <alignment horizontal="center" vertical="center"/>
    </xf>
    <xf numFmtId="167" fontId="20" fillId="0" borderId="30" xfId="6" applyNumberFormat="1" applyFont="1" applyBorder="1" applyAlignment="1">
      <alignment horizontal="left" vertical="center" wrapText="1"/>
    </xf>
    <xf numFmtId="167" fontId="20" fillId="0" borderId="30" xfId="6" applyNumberFormat="1" applyFont="1" applyBorder="1" applyAlignment="1">
      <alignment horizontal="right" vertical="center" wrapText="1"/>
    </xf>
    <xf numFmtId="167" fontId="20" fillId="0" borderId="0" xfId="6" applyNumberFormat="1" applyFont="1" applyAlignment="1">
      <alignment horizontal="right" vertical="center" wrapText="1"/>
    </xf>
    <xf numFmtId="10" fontId="25" fillId="0" borderId="0" xfId="6" applyNumberFormat="1" applyFont="1" applyAlignment="1">
      <alignment horizontal="center" vertical="center"/>
    </xf>
    <xf numFmtId="167" fontId="6" fillId="0" borderId="0" xfId="6" applyNumberFormat="1"/>
    <xf numFmtId="0" fontId="65" fillId="0" borderId="0" xfId="0" applyFont="1"/>
    <xf numFmtId="167" fontId="128" fillId="0" borderId="0" xfId="6" applyNumberFormat="1" applyFont="1" applyAlignment="1">
      <alignment horizontal="left" vertical="center"/>
    </xf>
    <xf numFmtId="3" fontId="109" fillId="14" borderId="15" xfId="36" applyNumberFormat="1" applyFont="1" applyFill="1" applyBorder="1"/>
    <xf numFmtId="0" fontId="19" fillId="0" borderId="0" xfId="6" applyFont="1" applyAlignment="1">
      <alignment vertical="center"/>
    </xf>
    <xf numFmtId="49" fontId="16" fillId="6" borderId="0" xfId="1" applyNumberFormat="1" applyFont="1" applyFill="1" applyAlignment="1">
      <alignment horizontal="left" vertical="top" wrapText="1"/>
    </xf>
    <xf numFmtId="166" fontId="129" fillId="6" borderId="7" xfId="0" applyNumberFormat="1" applyFont="1" applyFill="1" applyBorder="1" applyAlignment="1">
      <alignment horizontal="center" vertical="top" wrapText="1"/>
    </xf>
    <xf numFmtId="166" fontId="129" fillId="6" borderId="10" xfId="0" applyNumberFormat="1" applyFont="1" applyFill="1" applyBorder="1" applyAlignment="1">
      <alignment horizontal="center" vertical="top" wrapText="1"/>
    </xf>
    <xf numFmtId="0" fontId="129" fillId="6" borderId="7" xfId="0" applyFont="1" applyFill="1" applyBorder="1" applyAlignment="1">
      <alignment horizontal="center" vertical="top" wrapText="1"/>
    </xf>
    <xf numFmtId="0" fontId="11" fillId="6" borderId="0" xfId="1" applyFont="1" applyFill="1" applyAlignment="1">
      <alignment horizontal="center" vertical="top" wrapText="1"/>
    </xf>
    <xf numFmtId="0" fontId="30" fillId="0" borderId="14" xfId="1" applyFont="1" applyBorder="1" applyAlignment="1">
      <alignment horizontal="center" vertical="center" wrapText="1"/>
    </xf>
    <xf numFmtId="0" fontId="92" fillId="0" borderId="24" xfId="0" applyFont="1" applyBorder="1" applyAlignment="1">
      <alignment horizontal="center" vertical="center" wrapText="1"/>
    </xf>
    <xf numFmtId="0" fontId="30" fillId="0" borderId="14" xfId="1" applyFont="1" applyBorder="1" applyAlignment="1">
      <alignment vertical="center" wrapText="1"/>
    </xf>
    <xf numFmtId="0" fontId="103" fillId="0" borderId="0" xfId="94" applyFont="1" applyAlignment="1">
      <alignment horizontal="center"/>
    </xf>
    <xf numFmtId="0" fontId="124" fillId="29" borderId="37" xfId="0" applyFont="1" applyFill="1" applyBorder="1"/>
    <xf numFmtId="38" fontId="93" fillId="10" borderId="0" xfId="0" applyNumberFormat="1" applyFont="1" applyFill="1"/>
    <xf numFmtId="167" fontId="124" fillId="12" borderId="0" xfId="0" applyNumberFormat="1" applyFont="1" applyFill="1"/>
    <xf numFmtId="38" fontId="106" fillId="0" borderId="0" xfId="0" applyNumberFormat="1" applyFont="1"/>
    <xf numFmtId="0" fontId="124" fillId="24" borderId="0" xfId="0" applyFont="1" applyFill="1" applyAlignment="1">
      <alignment horizontal="center" vertical="center" wrapText="1"/>
    </xf>
    <xf numFmtId="6" fontId="105" fillId="14" borderId="0" xfId="9" applyNumberFormat="1" applyFont="1" applyFill="1"/>
    <xf numFmtId="3" fontId="25" fillId="0" borderId="7" xfId="0" applyNumberFormat="1" applyFont="1" applyBorder="1" applyAlignment="1">
      <alignment vertical="center"/>
    </xf>
    <xf numFmtId="3" fontId="2" fillId="0" borderId="7" xfId="0" applyNumberFormat="1" applyFont="1" applyBorder="1" applyAlignment="1">
      <alignment vertical="center"/>
    </xf>
    <xf numFmtId="3" fontId="25" fillId="0" borderId="0" xfId="0" applyNumberFormat="1" applyFont="1" applyAlignment="1">
      <alignment vertical="center"/>
    </xf>
    <xf numFmtId="38" fontId="2" fillId="0" borderId="0" xfId="0" applyNumberFormat="1" applyFont="1" applyAlignment="1">
      <alignment vertical="center"/>
    </xf>
    <xf numFmtId="3" fontId="2" fillId="0" borderId="14" xfId="0" applyNumberFormat="1" applyFont="1" applyBorder="1" applyAlignment="1">
      <alignment vertical="center"/>
    </xf>
    <xf numFmtId="167" fontId="124" fillId="24" borderId="0" xfId="0" applyNumberFormat="1" applyFont="1" applyFill="1" applyAlignment="1">
      <alignment horizontal="center" vertical="center" wrapText="1"/>
    </xf>
    <xf numFmtId="167" fontId="93" fillId="22" borderId="0" xfId="0" applyNumberFormat="1" applyFont="1" applyFill="1"/>
    <xf numFmtId="44" fontId="131" fillId="15" borderId="0" xfId="0" applyNumberFormat="1" applyFont="1" applyFill="1"/>
    <xf numFmtId="167" fontId="24" fillId="15" borderId="0" xfId="0" applyNumberFormat="1" applyFont="1" applyFill="1"/>
    <xf numFmtId="167" fontId="95" fillId="15" borderId="0" xfId="0" applyNumberFormat="1" applyFont="1" applyFill="1"/>
    <xf numFmtId="44" fontId="95" fillId="15" borderId="0" xfId="0" applyNumberFormat="1" applyFont="1" applyFill="1"/>
    <xf numFmtId="166" fontId="1" fillId="0" borderId="1" xfId="0" applyNumberFormat="1" applyFont="1" applyBorder="1" applyAlignment="1">
      <alignment horizontal="center"/>
    </xf>
    <xf numFmtId="1" fontId="1" fillId="0" borderId="3" xfId="0" applyNumberFormat="1" applyFont="1" applyBorder="1" applyAlignment="1">
      <alignment horizontal="center"/>
    </xf>
    <xf numFmtId="3" fontId="1" fillId="0" borderId="1" xfId="0" applyNumberFormat="1" applyFont="1" applyBorder="1" applyAlignment="1">
      <alignment horizontal="center" vertical="center"/>
    </xf>
    <xf numFmtId="3" fontId="92" fillId="0" borderId="0" xfId="0" applyNumberFormat="1" applyFont="1" applyAlignment="1">
      <alignment vertical="center"/>
    </xf>
    <xf numFmtId="3" fontId="8" fillId="0" borderId="7" xfId="0" applyNumberFormat="1" applyFont="1" applyBorder="1" applyAlignment="1">
      <alignment vertical="center"/>
    </xf>
    <xf numFmtId="165" fontId="8" fillId="0" borderId="0" xfId="0" applyNumberFormat="1" applyFont="1" applyAlignment="1">
      <alignment vertical="center"/>
    </xf>
    <xf numFmtId="38" fontId="8" fillId="0" borderId="0" xfId="0" applyNumberFormat="1" applyFont="1" applyAlignment="1">
      <alignment vertical="center"/>
    </xf>
    <xf numFmtId="165" fontId="8" fillId="0" borderId="7" xfId="0" applyNumberFormat="1" applyFont="1" applyBorder="1" applyAlignment="1">
      <alignment vertical="center"/>
    </xf>
    <xf numFmtId="38" fontId="8" fillId="0" borderId="7" xfId="0" applyNumberFormat="1" applyFont="1" applyBorder="1" applyAlignment="1">
      <alignment vertical="center"/>
    </xf>
    <xf numFmtId="38" fontId="104" fillId="0" borderId="10" xfId="94" applyNumberFormat="1" applyFont="1" applyBorder="1"/>
    <xf numFmtId="38" fontId="104" fillId="0" borderId="21" xfId="94" applyNumberFormat="1" applyFont="1" applyBorder="1"/>
    <xf numFmtId="38" fontId="104" fillId="0" borderId="22" xfId="94" applyNumberFormat="1" applyFont="1" applyBorder="1"/>
    <xf numFmtId="0" fontId="96" fillId="32" borderId="0" xfId="0" applyFont="1" applyFill="1" applyAlignment="1">
      <alignment horizontal="center" wrapText="1"/>
    </xf>
    <xf numFmtId="0" fontId="25" fillId="0" borderId="14" xfId="1" applyFont="1" applyBorder="1" applyAlignment="1">
      <alignment horizontal="center" vertical="center" wrapText="1"/>
    </xf>
    <xf numFmtId="49" fontId="25" fillId="0" borderId="0" xfId="1" applyNumberFormat="1" applyFont="1" applyAlignment="1">
      <alignment horizontal="center" vertical="center"/>
    </xf>
    <xf numFmtId="40" fontId="123" fillId="16" borderId="0" xfId="0" applyNumberFormat="1" applyFont="1" applyFill="1"/>
    <xf numFmtId="0" fontId="20" fillId="9" borderId="11" xfId="6" applyFont="1" applyFill="1" applyBorder="1" applyAlignment="1">
      <alignment vertical="center" wrapText="1"/>
    </xf>
    <xf numFmtId="0" fontId="102" fillId="7" borderId="0" xfId="0" applyFont="1" applyFill="1" applyAlignment="1">
      <alignment horizontal="center"/>
    </xf>
    <xf numFmtId="0" fontId="102" fillId="7" borderId="0" xfId="0" applyFont="1" applyFill="1" applyAlignment="1">
      <alignment horizontal="center" vertical="top" wrapText="1"/>
    </xf>
    <xf numFmtId="6" fontId="94" fillId="21" borderId="0" xfId="0" applyNumberFormat="1" applyFont="1" applyFill="1"/>
    <xf numFmtId="0" fontId="93" fillId="10" borderId="0" xfId="0" applyFont="1" applyFill="1" applyAlignment="1">
      <alignment horizontal="center" wrapText="1"/>
    </xf>
    <xf numFmtId="167" fontId="124" fillId="25" borderId="0" xfId="0" applyNumberFormat="1" applyFont="1" applyFill="1" applyAlignment="1">
      <alignment horizontal="center" wrapText="1"/>
    </xf>
    <xf numFmtId="6" fontId="95" fillId="0" borderId="0" xfId="0" applyNumberFormat="1" applyFont="1"/>
    <xf numFmtId="0" fontId="20" fillId="0" borderId="0" xfId="1" applyFont="1" applyAlignment="1">
      <alignment horizontal="center" vertical="center" wrapText="1"/>
    </xf>
    <xf numFmtId="0" fontId="20" fillId="0" borderId="0" xfId="1" applyFont="1" applyAlignment="1">
      <alignment vertical="center" wrapText="1"/>
    </xf>
    <xf numFmtId="167" fontId="92" fillId="0" borderId="15" xfId="0" applyNumberFormat="1" applyFont="1" applyBorder="1"/>
    <xf numFmtId="0" fontId="0" fillId="12" borderId="0" xfId="0" applyFill="1"/>
    <xf numFmtId="0" fontId="92" fillId="12" borderId="0" xfId="0" applyFont="1" applyFill="1" applyAlignment="1">
      <alignment horizontal="center"/>
    </xf>
    <xf numFmtId="0" fontId="92" fillId="12" borderId="0" xfId="0" applyFont="1" applyFill="1"/>
    <xf numFmtId="40" fontId="62" fillId="0" borderId="0" xfId="94" applyNumberFormat="1" applyFont="1"/>
    <xf numFmtId="166" fontId="132" fillId="0" borderId="7" xfId="0" applyNumberFormat="1" applyFont="1" applyBorder="1" applyAlignment="1">
      <alignment horizontal="center" vertical="center"/>
    </xf>
    <xf numFmtId="166" fontId="132" fillId="0" borderId="10" xfId="0" applyNumberFormat="1" applyFont="1" applyBorder="1" applyAlignment="1">
      <alignment horizontal="center" vertical="center"/>
    </xf>
    <xf numFmtId="0" fontId="17" fillId="0" borderId="7" xfId="0" applyFont="1" applyBorder="1" applyAlignment="1">
      <alignment horizontal="left" vertical="center" wrapText="1"/>
    </xf>
    <xf numFmtId="3" fontId="7" fillId="0" borderId="7" xfId="0" applyNumberFormat="1" applyFont="1" applyBorder="1" applyAlignment="1">
      <alignment horizontal="left" vertical="center"/>
    </xf>
    <xf numFmtId="3" fontId="7" fillId="0" borderId="7" xfId="0" applyNumberFormat="1" applyFont="1" applyBorder="1" applyAlignment="1">
      <alignment horizontal="left" vertical="center" wrapText="1"/>
    </xf>
    <xf numFmtId="0" fontId="7" fillId="0" borderId="7" xfId="0" applyFont="1" applyBorder="1" applyAlignment="1">
      <alignment horizontal="left" vertical="center" wrapText="1"/>
    </xf>
    <xf numFmtId="49" fontId="20" fillId="0" borderId="0" xfId="1" applyNumberFormat="1" applyFont="1" applyAlignment="1">
      <alignment horizontal="center" vertical="center" wrapText="1"/>
    </xf>
    <xf numFmtId="166" fontId="132" fillId="0" borderId="7" xfId="0" applyNumberFormat="1" applyFont="1" applyBorder="1" applyAlignment="1">
      <alignment horizontal="center" vertical="center" wrapText="1"/>
    </xf>
    <xf numFmtId="166" fontId="132" fillId="0" borderId="10" xfId="0" applyNumberFormat="1" applyFont="1" applyBorder="1" applyAlignment="1">
      <alignment horizontal="center" vertical="center" wrapText="1"/>
    </xf>
    <xf numFmtId="3" fontId="132" fillId="0" borderId="0" xfId="0" applyNumberFormat="1" applyFont="1"/>
    <xf numFmtId="40" fontId="62" fillId="0" borderId="0" xfId="0" applyNumberFormat="1" applyFont="1"/>
    <xf numFmtId="40" fontId="62" fillId="0" borderId="17" xfId="94" applyNumberFormat="1" applyFont="1" applyBorder="1"/>
    <xf numFmtId="40" fontId="62" fillId="0" borderId="16" xfId="94" applyNumberFormat="1" applyFont="1" applyBorder="1"/>
    <xf numFmtId="40" fontId="62" fillId="0" borderId="18" xfId="94" applyNumberFormat="1" applyFont="1" applyBorder="1"/>
    <xf numFmtId="40" fontId="62" fillId="0" borderId="21" xfId="94" applyNumberFormat="1" applyFont="1" applyBorder="1"/>
    <xf numFmtId="40" fontId="62" fillId="0" borderId="7" xfId="94" applyNumberFormat="1" applyFont="1" applyBorder="1"/>
    <xf numFmtId="40" fontId="62" fillId="0" borderId="27" xfId="94" applyNumberFormat="1" applyFont="1" applyBorder="1"/>
    <xf numFmtId="40" fontId="62" fillId="0" borderId="6" xfId="94" applyNumberFormat="1" applyFont="1" applyBorder="1"/>
    <xf numFmtId="40" fontId="62" fillId="0" borderId="22" xfId="94" applyNumberFormat="1" applyFont="1" applyBorder="1"/>
    <xf numFmtId="40" fontId="62" fillId="0" borderId="12" xfId="94" applyNumberFormat="1" applyFont="1" applyBorder="1"/>
    <xf numFmtId="40" fontId="113" fillId="16" borderId="0" xfId="0" applyNumberFormat="1" applyFont="1" applyFill="1"/>
    <xf numFmtId="0" fontId="136" fillId="17" borderId="37" xfId="0" applyFont="1" applyFill="1" applyBorder="1" applyAlignment="1">
      <alignment vertical="center" wrapText="1"/>
    </xf>
    <xf numFmtId="0" fontId="103" fillId="14" borderId="37" xfId="9" applyFont="1" applyFill="1" applyBorder="1" applyAlignment="1">
      <alignment horizontal="center"/>
    </xf>
    <xf numFmtId="0" fontId="104" fillId="14" borderId="37" xfId="9" applyFont="1" applyFill="1" applyBorder="1" applyAlignment="1">
      <alignment wrapText="1"/>
    </xf>
    <xf numFmtId="0" fontId="79" fillId="14" borderId="0" xfId="9" applyFont="1" applyFill="1" applyAlignment="1">
      <alignment wrapText="1"/>
    </xf>
    <xf numFmtId="167" fontId="20" fillId="9" borderId="0" xfId="6" applyNumberFormat="1" applyFont="1" applyFill="1" applyAlignment="1">
      <alignment horizontal="center" vertical="center" wrapText="1"/>
    </xf>
    <xf numFmtId="167" fontId="20" fillId="0" borderId="9" xfId="6" applyNumberFormat="1" applyFont="1" applyBorder="1" applyAlignment="1">
      <alignment horizontal="left" vertical="center" wrapText="1"/>
    </xf>
    <xf numFmtId="10" fontId="20" fillId="0" borderId="13" xfId="6" applyNumberFormat="1" applyFont="1" applyBorder="1" applyAlignment="1">
      <alignment horizontal="center" vertical="center"/>
    </xf>
    <xf numFmtId="0" fontId="138" fillId="7" borderId="6" xfId="6" applyFont="1" applyFill="1" applyBorder="1" applyAlignment="1">
      <alignment horizontal="center" vertical="center"/>
    </xf>
    <xf numFmtId="0" fontId="21" fillId="0" borderId="6" xfId="1" applyFont="1" applyBorder="1" applyAlignment="1">
      <alignment vertical="center"/>
    </xf>
    <xf numFmtId="0" fontId="21" fillId="8" borderId="0" xfId="6" applyFont="1" applyFill="1" applyAlignment="1">
      <alignment vertical="center"/>
    </xf>
    <xf numFmtId="0" fontId="135" fillId="0" borderId="6" xfId="6" applyFont="1" applyBorder="1" applyAlignment="1">
      <alignment vertical="center"/>
    </xf>
    <xf numFmtId="167" fontId="21" fillId="0" borderId="6" xfId="6" applyNumberFormat="1" applyFont="1" applyBorder="1" applyAlignment="1">
      <alignment horizontal="center" vertical="center"/>
    </xf>
    <xf numFmtId="0" fontId="21" fillId="8" borderId="9" xfId="6" applyFont="1" applyFill="1" applyBorder="1" applyAlignment="1">
      <alignment vertical="center"/>
    </xf>
    <xf numFmtId="167" fontId="21" fillId="14" borderId="6" xfId="6" applyNumberFormat="1" applyFont="1" applyFill="1" applyBorder="1" applyAlignment="1">
      <alignment horizontal="center" vertical="center"/>
    </xf>
    <xf numFmtId="167" fontId="21" fillId="0" borderId="6" xfId="6" applyNumberFormat="1" applyFont="1" applyBorder="1" applyAlignment="1">
      <alignment horizontal="left" vertical="center"/>
    </xf>
    <xf numFmtId="3" fontId="21" fillId="17" borderId="0" xfId="6" applyNumberFormat="1" applyFont="1" applyFill="1" applyAlignment="1">
      <alignment horizontal="left" vertical="center"/>
    </xf>
    <xf numFmtId="167" fontId="21" fillId="0" borderId="0" xfId="6" applyNumberFormat="1" applyFont="1" applyAlignment="1">
      <alignment horizontal="left" vertical="center"/>
    </xf>
    <xf numFmtId="0" fontId="21" fillId="8" borderId="33" xfId="6" applyFont="1" applyFill="1" applyBorder="1" applyAlignment="1">
      <alignment vertical="center"/>
    </xf>
    <xf numFmtId="0" fontId="135" fillId="0" borderId="34" xfId="6" applyFont="1" applyBorder="1" applyAlignment="1">
      <alignment vertical="center"/>
    </xf>
    <xf numFmtId="0" fontId="135" fillId="0" borderId="8" xfId="6" applyFont="1" applyBorder="1" applyAlignment="1">
      <alignment vertical="center"/>
    </xf>
    <xf numFmtId="0" fontId="135" fillId="0" borderId="0" xfId="6" applyFont="1" applyAlignment="1">
      <alignment vertical="center"/>
    </xf>
    <xf numFmtId="166" fontId="11" fillId="6" borderId="29" xfId="0" applyNumberFormat="1" applyFont="1" applyFill="1" applyBorder="1" applyAlignment="1">
      <alignment horizontal="center" vertical="top" wrapText="1"/>
    </xf>
    <xf numFmtId="40" fontId="118" fillId="0" borderId="0" xfId="94" applyNumberFormat="1" applyFont="1"/>
    <xf numFmtId="0" fontId="25" fillId="0" borderId="0" xfId="0" applyFont="1" applyAlignment="1">
      <alignment horizontal="center"/>
    </xf>
    <xf numFmtId="0" fontId="25" fillId="0" borderId="0" xfId="0" applyFont="1"/>
    <xf numFmtId="0" fontId="8" fillId="0" borderId="10" xfId="0" applyFont="1" applyBorder="1" applyAlignment="1">
      <alignment horizontal="center"/>
    </xf>
    <xf numFmtId="0" fontId="132" fillId="0" borderId="7" xfId="0" applyFont="1" applyBorder="1" applyAlignment="1">
      <alignment horizontal="center"/>
    </xf>
    <xf numFmtId="0" fontId="132" fillId="0" borderId="10" xfId="0" applyFont="1" applyBorder="1" applyAlignment="1">
      <alignment horizontal="center"/>
    </xf>
    <xf numFmtId="0" fontId="15" fillId="0" borderId="7" xfId="0" applyFont="1" applyBorder="1" applyAlignment="1">
      <alignment horizontal="left"/>
    </xf>
    <xf numFmtId="6" fontId="0" fillId="14" borderId="0" xfId="0" applyNumberFormat="1" applyFill="1"/>
    <xf numFmtId="167" fontId="92" fillId="0" borderId="0" xfId="0" applyNumberFormat="1" applyFont="1"/>
    <xf numFmtId="169" fontId="0" fillId="0" borderId="0" xfId="0" applyNumberFormat="1"/>
    <xf numFmtId="44" fontId="95" fillId="26" borderId="0" xfId="0" applyNumberFormat="1" applyFont="1" applyFill="1"/>
    <xf numFmtId="0" fontId="96" fillId="6" borderId="0" xfId="0" applyFont="1" applyFill="1"/>
    <xf numFmtId="0" fontId="130" fillId="6" borderId="0" xfId="0" applyFont="1" applyFill="1"/>
    <xf numFmtId="167" fontId="106" fillId="0" borderId="0" xfId="110" applyNumberFormat="1" applyFont="1"/>
    <xf numFmtId="167" fontId="124" fillId="22" borderId="0" xfId="110" applyNumberFormat="1" applyFont="1" applyFill="1"/>
    <xf numFmtId="0" fontId="79" fillId="0" borderId="0" xfId="9" applyFont="1" applyAlignment="1">
      <alignment wrapText="1"/>
    </xf>
    <xf numFmtId="6" fontId="92" fillId="0" borderId="0" xfId="0" applyNumberFormat="1" applyFont="1"/>
    <xf numFmtId="0" fontId="26" fillId="0" borderId="0" xfId="1" applyFont="1" applyAlignment="1">
      <alignment horizontal="center" vertical="center"/>
    </xf>
    <xf numFmtId="0" fontId="92" fillId="32" borderId="0" xfId="0" applyFont="1" applyFill="1" applyAlignment="1">
      <alignment horizontal="center"/>
    </xf>
    <xf numFmtId="167" fontId="92" fillId="32" borderId="0" xfId="0" applyNumberFormat="1" applyFont="1" applyFill="1" applyAlignment="1">
      <alignment horizontal="center"/>
    </xf>
    <xf numFmtId="38" fontId="81" fillId="32" borderId="0" xfId="0" applyNumberFormat="1" applyFont="1" applyFill="1"/>
    <xf numFmtId="0" fontId="0" fillId="32" borderId="0" xfId="0" applyFill="1"/>
    <xf numFmtId="1" fontId="117" fillId="28" borderId="37" xfId="94" applyNumberFormat="1" applyFont="1" applyFill="1" applyBorder="1" applyAlignment="1">
      <alignment vertical="center"/>
    </xf>
    <xf numFmtId="1" fontId="117" fillId="14" borderId="37" xfId="94" applyNumberFormat="1" applyFont="1" applyFill="1" applyBorder="1" applyAlignment="1">
      <alignment vertical="center"/>
    </xf>
    <xf numFmtId="1" fontId="2" fillId="28" borderId="37" xfId="94" applyNumberFormat="1" applyFont="1" applyFill="1" applyBorder="1" applyAlignment="1">
      <alignment vertical="center"/>
    </xf>
    <xf numFmtId="1" fontId="2" fillId="14" borderId="37" xfId="94" applyNumberFormat="1" applyFont="1" applyFill="1" applyBorder="1" applyAlignment="1">
      <alignment vertical="center"/>
    </xf>
    <xf numFmtId="0" fontId="136" fillId="33" borderId="37" xfId="0" applyFont="1" applyFill="1" applyBorder="1" applyAlignment="1">
      <alignment vertical="center" wrapText="1"/>
    </xf>
    <xf numFmtId="38" fontId="25" fillId="0" borderId="0" xfId="0" applyNumberFormat="1" applyFont="1" applyAlignment="1">
      <alignment vertical="center"/>
    </xf>
    <xf numFmtId="0" fontId="135" fillId="0" borderId="0" xfId="0" applyFont="1"/>
    <xf numFmtId="0" fontId="21" fillId="0" borderId="0" xfId="0" applyFont="1"/>
    <xf numFmtId="0" fontId="30" fillId="0" borderId="10" xfId="1" applyFont="1" applyBorder="1" applyAlignment="1">
      <alignment horizontal="center" vertical="center"/>
    </xf>
    <xf numFmtId="0" fontId="30" fillId="0" borderId="7" xfId="1" applyFont="1" applyBorder="1" applyAlignment="1">
      <alignment horizontal="center" vertical="center"/>
    </xf>
    <xf numFmtId="3" fontId="135" fillId="0" borderId="0" xfId="0" applyNumberFormat="1" applyFont="1"/>
    <xf numFmtId="0" fontId="134" fillId="0" borderId="47" xfId="1" applyFont="1" applyBorder="1" applyAlignment="1">
      <alignment vertical="center" wrapText="1"/>
    </xf>
    <xf numFmtId="0" fontId="134" fillId="0" borderId="14" xfId="1" applyFont="1" applyBorder="1" applyAlignment="1">
      <alignment vertical="center" wrapText="1"/>
    </xf>
    <xf numFmtId="0" fontId="92" fillId="0" borderId="0" xfId="0" applyFont="1" applyAlignment="1">
      <alignment vertical="center" wrapText="1"/>
    </xf>
    <xf numFmtId="0" fontId="92" fillId="0" borderId="0" xfId="0" applyFont="1" applyAlignment="1">
      <alignment horizontal="center" vertical="center" wrapText="1"/>
    </xf>
    <xf numFmtId="3" fontId="91" fillId="0" borderId="0" xfId="0" applyNumberFormat="1" applyFont="1" applyAlignment="1">
      <alignment vertical="center"/>
    </xf>
    <xf numFmtId="167" fontId="92" fillId="10" borderId="15" xfId="0" applyNumberFormat="1" applyFont="1" applyFill="1" applyBorder="1" applyAlignment="1">
      <alignment horizontal="center"/>
    </xf>
    <xf numFmtId="0" fontId="22" fillId="10" borderId="18" xfId="6" applyFont="1" applyFill="1" applyBorder="1" applyAlignment="1">
      <alignment vertical="center"/>
    </xf>
    <xf numFmtId="0" fontId="22" fillId="0" borderId="19" xfId="6" applyFont="1" applyBorder="1" applyAlignment="1">
      <alignment vertical="center"/>
    </xf>
    <xf numFmtId="0" fontId="22" fillId="0" borderId="6" xfId="6" applyFont="1" applyBorder="1" applyAlignment="1">
      <alignment vertical="center"/>
    </xf>
    <xf numFmtId="0" fontId="22" fillId="0" borderId="0" xfId="6" applyFont="1" applyAlignment="1">
      <alignment vertical="center"/>
    </xf>
    <xf numFmtId="0" fontId="24" fillId="0" borderId="0" xfId="6" applyFont="1" applyAlignment="1">
      <alignment vertical="center"/>
    </xf>
    <xf numFmtId="0" fontId="24" fillId="0" borderId="0" xfId="6" applyFont="1" applyAlignment="1">
      <alignment vertical="center" wrapText="1"/>
    </xf>
    <xf numFmtId="0" fontId="36" fillId="0" borderId="0" xfId="6" applyFont="1" applyAlignment="1">
      <alignment vertical="center"/>
    </xf>
    <xf numFmtId="0" fontId="24" fillId="0" borderId="6" xfId="6" applyFont="1" applyBorder="1" applyAlignment="1">
      <alignment vertical="center"/>
    </xf>
    <xf numFmtId="10" fontId="22" fillId="0" borderId="11" xfId="6" applyNumberFormat="1" applyFont="1" applyBorder="1" applyAlignment="1">
      <alignment horizontal="center" vertical="center"/>
    </xf>
    <xf numFmtId="167" fontId="22" fillId="0" borderId="0" xfId="6" applyNumberFormat="1" applyFont="1" applyAlignment="1">
      <alignment horizontal="left" vertical="center" wrapText="1"/>
    </xf>
    <xf numFmtId="0" fontId="24" fillId="0" borderId="34" xfId="6" applyFont="1" applyBorder="1" applyAlignment="1">
      <alignment vertical="center"/>
    </xf>
    <xf numFmtId="0" fontId="24" fillId="0" borderId="35" xfId="6" applyFont="1" applyBorder="1" applyAlignment="1">
      <alignment vertical="center"/>
    </xf>
    <xf numFmtId="0" fontId="24" fillId="0" borderId="35" xfId="6" applyFont="1" applyBorder="1" applyAlignment="1">
      <alignment vertical="center" wrapText="1"/>
    </xf>
    <xf numFmtId="10" fontId="22" fillId="0" borderId="36" xfId="6" applyNumberFormat="1" applyFont="1" applyBorder="1" applyAlignment="1">
      <alignment horizontal="center" vertical="center"/>
    </xf>
    <xf numFmtId="0" fontId="135" fillId="0" borderId="19" xfId="6" applyFont="1" applyBorder="1" applyAlignment="1">
      <alignment vertical="center"/>
    </xf>
    <xf numFmtId="167" fontId="21" fillId="9" borderId="19" xfId="6" applyNumberFormat="1" applyFont="1" applyFill="1" applyBorder="1" applyAlignment="1">
      <alignment horizontal="center" vertical="center" wrapText="1"/>
    </xf>
    <xf numFmtId="0" fontId="21" fillId="9" borderId="20" xfId="6" applyFont="1" applyFill="1" applyBorder="1" applyAlignment="1">
      <alignment vertical="center" wrapText="1"/>
    </xf>
    <xf numFmtId="3" fontId="135" fillId="0" borderId="0" xfId="6" applyNumberFormat="1" applyFont="1" applyAlignment="1">
      <alignment vertical="center"/>
    </xf>
    <xf numFmtId="10" fontId="21" fillId="0" borderId="0" xfId="6" applyNumberFormat="1" applyFont="1" applyAlignment="1">
      <alignment vertical="center"/>
    </xf>
    <xf numFmtId="0" fontId="135" fillId="0" borderId="0" xfId="6" applyFont="1" applyAlignment="1">
      <alignment vertical="center" wrapText="1"/>
    </xf>
    <xf numFmtId="168" fontId="38" fillId="0" borderId="0" xfId="6" applyNumberFormat="1" applyFont="1" applyAlignment="1">
      <alignment horizontal="center" vertical="center"/>
    </xf>
    <xf numFmtId="3" fontId="140" fillId="0" borderId="0" xfId="6" applyNumberFormat="1" applyFont="1" applyAlignment="1">
      <alignment vertical="center"/>
    </xf>
    <xf numFmtId="0" fontId="141" fillId="0" borderId="0" xfId="6" applyFont="1" applyAlignment="1">
      <alignment vertical="center"/>
    </xf>
    <xf numFmtId="0" fontId="140" fillId="0" borderId="0" xfId="6" applyFont="1" applyAlignment="1">
      <alignment vertical="center"/>
    </xf>
    <xf numFmtId="3" fontId="21" fillId="0" borderId="21" xfId="6" applyNumberFormat="1" applyFont="1" applyBorder="1" applyAlignment="1">
      <alignment vertical="center"/>
    </xf>
    <xf numFmtId="0" fontId="21" fillId="11" borderId="0" xfId="6" applyFont="1" applyFill="1" applyAlignment="1">
      <alignment vertical="center"/>
    </xf>
    <xf numFmtId="3" fontId="21" fillId="11" borderId="23" xfId="6" applyNumberFormat="1" applyFont="1" applyFill="1" applyBorder="1" applyAlignment="1">
      <alignment vertical="center"/>
    </xf>
    <xf numFmtId="3" fontId="111" fillId="11" borderId="15" xfId="36" applyNumberFormat="1" applyFont="1" applyFill="1" applyBorder="1"/>
    <xf numFmtId="38" fontId="21" fillId="0" borderId="0" xfId="6" applyNumberFormat="1" applyFont="1" applyAlignment="1">
      <alignment vertical="center"/>
    </xf>
    <xf numFmtId="10" fontId="21" fillId="0" borderId="0" xfId="6" applyNumberFormat="1" applyFont="1" applyAlignment="1">
      <alignment horizontal="center" vertical="center"/>
    </xf>
    <xf numFmtId="167" fontId="21" fillId="9" borderId="0" xfId="6" applyNumberFormat="1" applyFont="1" applyFill="1" applyAlignment="1">
      <alignment horizontal="center" vertical="center" wrapText="1"/>
    </xf>
    <xf numFmtId="0" fontId="21" fillId="9" borderId="11" xfId="6" applyFont="1" applyFill="1" applyBorder="1" applyAlignment="1">
      <alignment vertical="center" wrapText="1"/>
    </xf>
    <xf numFmtId="3" fontId="135" fillId="0" borderId="0" xfId="1" applyNumberFormat="1" applyFont="1" applyAlignment="1">
      <alignment vertical="center"/>
    </xf>
    <xf numFmtId="167" fontId="21" fillId="0" borderId="0" xfId="1" applyNumberFormat="1" applyFont="1" applyAlignment="1">
      <alignment vertical="center"/>
    </xf>
    <xf numFmtId="0" fontId="21" fillId="4" borderId="0" xfId="6" applyFont="1" applyFill="1" applyAlignment="1">
      <alignment vertical="center"/>
    </xf>
    <xf numFmtId="167" fontId="21" fillId="0" borderId="15" xfId="6" applyNumberFormat="1" applyFont="1" applyBorder="1" applyAlignment="1">
      <alignment vertical="center" wrapText="1"/>
    </xf>
    <xf numFmtId="10" fontId="21" fillId="0" borderId="15" xfId="6" applyNumberFormat="1" applyFont="1" applyBorder="1" applyAlignment="1">
      <alignment horizontal="center" vertical="center"/>
    </xf>
    <xf numFmtId="3" fontId="135" fillId="0" borderId="24" xfId="6" applyNumberFormat="1" applyFont="1" applyBorder="1" applyAlignment="1">
      <alignment vertical="center"/>
    </xf>
    <xf numFmtId="167" fontId="21" fillId="0" borderId="0" xfId="6" applyNumberFormat="1" applyFont="1" applyAlignment="1">
      <alignment horizontal="center" vertical="center"/>
    </xf>
    <xf numFmtId="10" fontId="21" fillId="0" borderId="11" xfId="6" applyNumberFormat="1" applyFont="1" applyBorder="1" applyAlignment="1">
      <alignment horizontal="center" vertical="center"/>
    </xf>
    <xf numFmtId="167" fontId="21" fillId="14" borderId="25" xfId="6" applyNumberFormat="1" applyFont="1" applyFill="1" applyBorder="1" applyAlignment="1">
      <alignment vertical="center"/>
    </xf>
    <xf numFmtId="6" fontId="21" fillId="10" borderId="15" xfId="6" applyNumberFormat="1" applyFont="1" applyFill="1" applyBorder="1" applyAlignment="1">
      <alignment vertical="center"/>
    </xf>
    <xf numFmtId="38" fontId="112" fillId="0" borderId="0" xfId="1" applyNumberFormat="1" applyFont="1" applyAlignment="1">
      <alignment vertical="center"/>
    </xf>
    <xf numFmtId="2" fontId="112" fillId="0" borderId="0" xfId="1" applyNumberFormat="1" applyFont="1" applyAlignment="1">
      <alignment vertical="center"/>
    </xf>
    <xf numFmtId="167" fontId="21" fillId="11" borderId="0" xfId="6" applyNumberFormat="1" applyFont="1" applyFill="1" applyAlignment="1">
      <alignment vertical="center"/>
    </xf>
    <xf numFmtId="167" fontId="21" fillId="11" borderId="11" xfId="6" applyNumberFormat="1" applyFont="1" applyFill="1" applyBorder="1" applyAlignment="1">
      <alignment vertical="center"/>
    </xf>
    <xf numFmtId="167" fontId="21" fillId="11" borderId="15" xfId="6" applyNumberFormat="1" applyFont="1" applyFill="1" applyBorder="1" applyAlignment="1">
      <alignment horizontal="right" vertical="center"/>
    </xf>
    <xf numFmtId="167" fontId="21" fillId="0" borderId="0" xfId="6" applyNumberFormat="1" applyFont="1" applyAlignment="1">
      <alignment horizontal="right" vertical="center"/>
    </xf>
    <xf numFmtId="0" fontId="21" fillId="10" borderId="0" xfId="6" applyFont="1" applyFill="1" applyAlignment="1">
      <alignment vertical="center"/>
    </xf>
    <xf numFmtId="167" fontId="21" fillId="0" borderId="15" xfId="6" applyNumberFormat="1" applyFont="1" applyBorder="1" applyAlignment="1">
      <alignment horizontal="right" vertical="center"/>
    </xf>
    <xf numFmtId="167" fontId="21" fillId="0" borderId="0" xfId="6" applyNumberFormat="1" applyFont="1" applyAlignment="1">
      <alignment vertical="center"/>
    </xf>
    <xf numFmtId="167" fontId="21" fillId="0" borderId="30" xfId="6" applyNumberFormat="1" applyFont="1" applyBorder="1" applyAlignment="1">
      <alignment horizontal="left" vertical="center" wrapText="1"/>
    </xf>
    <xf numFmtId="167" fontId="21" fillId="0" borderId="30" xfId="6" applyNumberFormat="1" applyFont="1" applyBorder="1" applyAlignment="1">
      <alignment horizontal="right" vertical="center" wrapText="1"/>
    </xf>
    <xf numFmtId="167" fontId="21" fillId="0" borderId="0" xfId="6" applyNumberFormat="1" applyFont="1" applyAlignment="1">
      <alignment horizontal="left" vertical="center" wrapText="1"/>
    </xf>
    <xf numFmtId="167" fontId="21" fillId="0" borderId="0" xfId="6" applyNumberFormat="1" applyFont="1" applyAlignment="1">
      <alignment horizontal="right" vertical="center" wrapText="1"/>
    </xf>
    <xf numFmtId="0" fontId="30" fillId="0" borderId="10" xfId="1" applyFont="1" applyBorder="1" applyAlignment="1">
      <alignment horizontal="center" vertical="center" wrapText="1"/>
    </xf>
    <xf numFmtId="166" fontId="132" fillId="0" borderId="0" xfId="0" applyNumberFormat="1" applyFont="1" applyAlignment="1">
      <alignment horizontal="center" vertical="center"/>
    </xf>
    <xf numFmtId="3" fontId="7" fillId="0" borderId="0" xfId="0" applyNumberFormat="1" applyFont="1" applyAlignment="1">
      <alignment horizontal="left" vertical="center"/>
    </xf>
    <xf numFmtId="6" fontId="145" fillId="14" borderId="0" xfId="0" applyNumberFormat="1" applyFont="1" applyFill="1"/>
    <xf numFmtId="167" fontId="145" fillId="0" borderId="0" xfId="0" applyNumberFormat="1" applyFont="1"/>
    <xf numFmtId="169" fontId="93" fillId="6" borderId="0" xfId="0" applyNumberFormat="1" applyFont="1" applyFill="1"/>
    <xf numFmtId="167" fontId="124" fillId="0" borderId="0" xfId="94" applyNumberFormat="1" applyFont="1"/>
    <xf numFmtId="167" fontId="93" fillId="14" borderId="37" xfId="0" applyNumberFormat="1" applyFont="1" applyFill="1" applyBorder="1"/>
    <xf numFmtId="38" fontId="124" fillId="0" borderId="0" xfId="0" applyNumberFormat="1" applyFont="1"/>
    <xf numFmtId="38" fontId="124" fillId="22" borderId="0" xfId="0" applyNumberFormat="1" applyFont="1" applyFill="1"/>
    <xf numFmtId="38" fontId="111" fillId="0" borderId="0" xfId="0" applyNumberFormat="1" applyFont="1"/>
    <xf numFmtId="6" fontId="93" fillId="35" borderId="0" xfId="0" applyNumberFormat="1" applyFont="1" applyFill="1"/>
    <xf numFmtId="0" fontId="91" fillId="0" borderId="15" xfId="0" applyFont="1" applyBorder="1" applyAlignment="1">
      <alignment wrapText="1"/>
    </xf>
    <xf numFmtId="0" fontId="136" fillId="17" borderId="48" xfId="0" applyFont="1" applyFill="1" applyBorder="1" applyAlignment="1">
      <alignment vertical="center" wrapText="1"/>
    </xf>
    <xf numFmtId="0" fontId="144" fillId="33" borderId="48" xfId="0" applyFont="1" applyFill="1" applyBorder="1" applyAlignment="1">
      <alignment vertical="center" wrapText="1"/>
    </xf>
    <xf numFmtId="6" fontId="146" fillId="37" borderId="0" xfId="0" applyNumberFormat="1" applyFont="1" applyFill="1"/>
    <xf numFmtId="0" fontId="124" fillId="37" borderId="0" xfId="0" applyFont="1" applyFill="1"/>
    <xf numFmtId="0" fontId="106" fillId="37" borderId="0" xfId="0" applyFont="1" applyFill="1"/>
    <xf numFmtId="0" fontId="92" fillId="12" borderId="0" xfId="0" applyFont="1" applyFill="1" applyAlignment="1">
      <alignment horizontal="center" vertical="top"/>
    </xf>
    <xf numFmtId="6" fontId="92" fillId="0" borderId="15" xfId="0" applyNumberFormat="1" applyFont="1" applyBorder="1" applyAlignment="1">
      <alignment horizontal="center"/>
    </xf>
    <xf numFmtId="6" fontId="106" fillId="0" borderId="0" xfId="0" applyNumberFormat="1" applyFont="1"/>
    <xf numFmtId="0" fontId="144" fillId="33" borderId="37" xfId="0" applyFont="1" applyFill="1" applyBorder="1" applyAlignment="1">
      <alignment vertical="center" wrapText="1"/>
    </xf>
    <xf numFmtId="169" fontId="92" fillId="0" borderId="0" xfId="0" applyNumberFormat="1" applyFont="1" applyAlignment="1">
      <alignment horizontal="center"/>
    </xf>
    <xf numFmtId="40" fontId="144" fillId="0" borderId="0" xfId="0" applyNumberFormat="1" applyFont="1"/>
    <xf numFmtId="0" fontId="135" fillId="0" borderId="0" xfId="111"/>
    <xf numFmtId="4" fontId="110" fillId="0" borderId="0" xfId="111" applyNumberFormat="1" applyFont="1" applyAlignment="1">
      <alignment vertical="top"/>
    </xf>
    <xf numFmtId="40" fontId="113" fillId="0" borderId="21" xfId="94" applyNumberFormat="1" applyFont="1" applyBorder="1"/>
    <xf numFmtId="40" fontId="113" fillId="0" borderId="23" xfId="94" applyNumberFormat="1" applyFont="1" applyBorder="1"/>
    <xf numFmtId="38" fontId="113" fillId="0" borderId="15" xfId="94" applyNumberFormat="1" applyFont="1" applyBorder="1"/>
    <xf numFmtId="6" fontId="110" fillId="0" borderId="0" xfId="0" applyNumberFormat="1" applyFont="1"/>
    <xf numFmtId="0" fontId="109" fillId="0" borderId="0" xfId="0" applyFont="1"/>
    <xf numFmtId="3" fontId="111" fillId="0" borderId="0" xfId="111" applyNumberFormat="1" applyFont="1"/>
    <xf numFmtId="3" fontId="111" fillId="22" borderId="0" xfId="111" applyNumberFormat="1" applyFont="1" applyFill="1"/>
    <xf numFmtId="0" fontId="22" fillId="38" borderId="18" xfId="6" applyFont="1" applyFill="1" applyBorder="1" applyAlignment="1">
      <alignment vertical="center"/>
    </xf>
    <xf numFmtId="0" fontId="24" fillId="0" borderId="19" xfId="6" applyFont="1" applyBorder="1" applyAlignment="1">
      <alignment vertical="center"/>
    </xf>
    <xf numFmtId="3" fontId="22" fillId="0" borderId="15" xfId="6" applyNumberFormat="1" applyFont="1" applyBorder="1" applyAlignment="1">
      <alignment vertical="center"/>
    </xf>
    <xf numFmtId="3" fontId="22" fillId="0" borderId="19" xfId="6" applyNumberFormat="1" applyFont="1" applyBorder="1" applyAlignment="1">
      <alignment vertical="center"/>
    </xf>
    <xf numFmtId="167" fontId="22" fillId="39" borderId="19" xfId="6" applyNumberFormat="1" applyFont="1" applyFill="1" applyBorder="1" applyAlignment="1">
      <alignment horizontal="center" vertical="center" wrapText="1"/>
    </xf>
    <xf numFmtId="0" fontId="22" fillId="39" borderId="20" xfId="6" applyFont="1" applyFill="1" applyBorder="1" applyAlignment="1">
      <alignment vertical="center" wrapText="1"/>
    </xf>
    <xf numFmtId="3" fontId="22" fillId="0" borderId="0" xfId="6" applyNumberFormat="1" applyFont="1" applyAlignment="1">
      <alignment vertical="center"/>
    </xf>
    <xf numFmtId="3" fontId="24" fillId="0" borderId="0" xfId="6" applyNumberFormat="1" applyFont="1" applyAlignment="1">
      <alignment vertical="center"/>
    </xf>
    <xf numFmtId="10" fontId="22" fillId="0" borderId="0" xfId="6" applyNumberFormat="1" applyFont="1" applyAlignment="1">
      <alignment vertical="center"/>
    </xf>
    <xf numFmtId="0" fontId="147" fillId="0" borderId="11" xfId="6" applyFont="1" applyBorder="1" applyAlignment="1">
      <alignment vertical="center"/>
    </xf>
    <xf numFmtId="168" fontId="148" fillId="0" borderId="0" xfId="6" applyNumberFormat="1" applyFont="1" applyAlignment="1">
      <alignment horizontal="center" vertical="center"/>
    </xf>
    <xf numFmtId="3" fontId="149" fillId="0" borderId="0" xfId="6" applyNumberFormat="1" applyFont="1" applyAlignment="1">
      <alignment vertical="center"/>
    </xf>
    <xf numFmtId="0" fontId="149" fillId="0" borderId="0" xfId="6" applyFont="1" applyAlignment="1">
      <alignment vertical="center"/>
    </xf>
    <xf numFmtId="3" fontId="148" fillId="0" borderId="0" xfId="6" applyNumberFormat="1" applyFont="1" applyAlignment="1">
      <alignment vertical="center"/>
    </xf>
    <xf numFmtId="0" fontId="22" fillId="40" borderId="0" xfId="6" applyFont="1" applyFill="1" applyAlignment="1">
      <alignment vertical="center"/>
    </xf>
    <xf numFmtId="38" fontId="22" fillId="0" borderId="0" xfId="6" applyNumberFormat="1" applyFont="1" applyAlignment="1">
      <alignment vertical="center"/>
    </xf>
    <xf numFmtId="10" fontId="22" fillId="0" borderId="0" xfId="6" applyNumberFormat="1" applyFont="1" applyAlignment="1">
      <alignment horizontal="center" vertical="center"/>
    </xf>
    <xf numFmtId="167" fontId="22" fillId="39" borderId="0" xfId="6" applyNumberFormat="1" applyFont="1" applyFill="1" applyAlignment="1">
      <alignment horizontal="center" vertical="center" wrapText="1"/>
    </xf>
    <xf numFmtId="0" fontId="22" fillId="39" borderId="11" xfId="6" applyFont="1" applyFill="1" applyBorder="1" applyAlignment="1">
      <alignment vertical="center" wrapText="1"/>
    </xf>
    <xf numFmtId="3" fontId="24" fillId="0" borderId="0" xfId="1" applyNumberFormat="1" applyFont="1" applyAlignment="1">
      <alignment vertical="center"/>
    </xf>
    <xf numFmtId="167" fontId="22" fillId="0" borderId="0" xfId="1" applyNumberFormat="1" applyFont="1" applyAlignment="1">
      <alignment vertical="center"/>
    </xf>
    <xf numFmtId="0" fontId="22" fillId="38" borderId="0" xfId="6" applyFont="1" applyFill="1" applyAlignment="1">
      <alignment vertical="center"/>
    </xf>
    <xf numFmtId="167" fontId="22" fillId="0" borderId="15" xfId="6" applyNumberFormat="1" applyFont="1" applyBorder="1" applyAlignment="1">
      <alignment vertical="center" wrapText="1"/>
    </xf>
    <xf numFmtId="10" fontId="22" fillId="0" borderId="15" xfId="6" applyNumberFormat="1" applyFont="1" applyBorder="1" applyAlignment="1">
      <alignment horizontal="center" vertical="center"/>
    </xf>
    <xf numFmtId="3" fontId="24" fillId="0" borderId="24" xfId="6" applyNumberFormat="1" applyFont="1" applyBorder="1" applyAlignment="1">
      <alignment vertical="center"/>
    </xf>
    <xf numFmtId="167" fontId="22" fillId="0" borderId="0" xfId="6" applyNumberFormat="1" applyFont="1" applyAlignment="1">
      <alignment horizontal="center" vertical="center"/>
    </xf>
    <xf numFmtId="167" fontId="22" fillId="41" borderId="25" xfId="6" applyNumberFormat="1" applyFont="1" applyFill="1" applyBorder="1" applyAlignment="1">
      <alignment vertical="center"/>
    </xf>
    <xf numFmtId="6" fontId="22" fillId="38" borderId="15" xfId="6" applyNumberFormat="1" applyFont="1" applyFill="1" applyBorder="1" applyAlignment="1">
      <alignment vertical="center"/>
    </xf>
    <xf numFmtId="38" fontId="22" fillId="0" borderId="0" xfId="1" applyNumberFormat="1" applyFont="1" applyAlignment="1">
      <alignment vertical="center"/>
    </xf>
    <xf numFmtId="2" fontId="22" fillId="0" borderId="0" xfId="1" applyNumberFormat="1" applyFont="1" applyAlignment="1">
      <alignment vertical="center"/>
    </xf>
    <xf numFmtId="167" fontId="22" fillId="40" borderId="0" xfId="6" applyNumberFormat="1" applyFont="1" applyFill="1" applyAlignment="1">
      <alignment vertical="center"/>
    </xf>
    <xf numFmtId="167" fontId="22" fillId="40" borderId="11" xfId="6" applyNumberFormat="1" applyFont="1" applyFill="1" applyBorder="1" applyAlignment="1">
      <alignment vertical="center"/>
    </xf>
    <xf numFmtId="167" fontId="22" fillId="40" borderId="15" xfId="6" applyNumberFormat="1" applyFont="1" applyFill="1" applyBorder="1" applyAlignment="1">
      <alignment horizontal="right" vertical="center"/>
    </xf>
    <xf numFmtId="167" fontId="22" fillId="0" borderId="0" xfId="6" applyNumberFormat="1" applyFont="1" applyAlignment="1">
      <alignment horizontal="left" vertical="center"/>
    </xf>
    <xf numFmtId="167" fontId="22" fillId="0" borderId="0" xfId="6" applyNumberFormat="1" applyFont="1" applyAlignment="1">
      <alignment horizontal="right" vertical="center"/>
    </xf>
    <xf numFmtId="167" fontId="22" fillId="0" borderId="15" xfId="6" applyNumberFormat="1" applyFont="1" applyBorder="1" applyAlignment="1">
      <alignment horizontal="right" vertical="center"/>
    </xf>
    <xf numFmtId="3" fontId="22" fillId="42" borderId="0" xfId="6" applyNumberFormat="1" applyFont="1" applyFill="1" applyAlignment="1">
      <alignment horizontal="left" vertical="center"/>
    </xf>
    <xf numFmtId="167" fontId="22" fillId="0" borderId="0" xfId="6" applyNumberFormat="1" applyFont="1" applyAlignment="1">
      <alignment vertical="center"/>
    </xf>
    <xf numFmtId="0" fontId="22" fillId="0" borderId="30" xfId="6" applyFont="1" applyBorder="1" applyAlignment="1">
      <alignment vertical="center"/>
    </xf>
    <xf numFmtId="167" fontId="22" fillId="0" borderId="30" xfId="6" applyNumberFormat="1" applyFont="1" applyBorder="1" applyAlignment="1">
      <alignment horizontal="left" vertical="center" wrapText="1"/>
    </xf>
    <xf numFmtId="167" fontId="22" fillId="0" borderId="30" xfId="6" applyNumberFormat="1" applyFont="1" applyBorder="1" applyAlignment="1">
      <alignment horizontal="right" vertical="center" wrapText="1"/>
    </xf>
    <xf numFmtId="167" fontId="22" fillId="0" borderId="0" xfId="6" applyNumberFormat="1" applyFont="1" applyAlignment="1">
      <alignment horizontal="right" vertical="center" wrapText="1"/>
    </xf>
    <xf numFmtId="0" fontId="20" fillId="8" borderId="33" xfId="6" applyFont="1" applyFill="1" applyBorder="1" applyAlignment="1">
      <alignment vertical="center"/>
    </xf>
    <xf numFmtId="3" fontId="21" fillId="40" borderId="23" xfId="6" applyNumberFormat="1" applyFont="1" applyFill="1" applyBorder="1" applyAlignment="1">
      <alignment vertical="center"/>
    </xf>
    <xf numFmtId="3" fontId="111" fillId="40" borderId="15" xfId="36" applyNumberFormat="1" applyFont="1" applyFill="1" applyBorder="1"/>
    <xf numFmtId="0" fontId="94" fillId="43" borderId="0" xfId="0" applyFont="1" applyFill="1" applyAlignment="1">
      <alignment horizontal="center" vertical="top" wrapText="1"/>
    </xf>
    <xf numFmtId="38" fontId="124" fillId="17" borderId="15" xfId="0" applyNumberFormat="1" applyFont="1" applyFill="1" applyBorder="1"/>
    <xf numFmtId="0" fontId="96" fillId="43" borderId="0" xfId="0" applyFont="1" applyFill="1"/>
    <xf numFmtId="0" fontId="130" fillId="43" borderId="0" xfId="0" applyFont="1" applyFill="1"/>
    <xf numFmtId="3" fontId="92" fillId="0" borderId="0" xfId="0" applyNumberFormat="1" applyFont="1"/>
    <xf numFmtId="167" fontId="124" fillId="14" borderId="0" xfId="94" applyNumberFormat="1" applyFont="1" applyFill="1"/>
    <xf numFmtId="3" fontId="21" fillId="14" borderId="0" xfId="111" applyNumberFormat="1" applyFont="1" applyFill="1"/>
    <xf numFmtId="3" fontId="92" fillId="14" borderId="0" xfId="0" applyNumberFormat="1" applyFont="1" applyFill="1"/>
    <xf numFmtId="166" fontId="8" fillId="0" borderId="7" xfId="0" applyNumberFormat="1" applyFont="1" applyBorder="1" applyAlignment="1">
      <alignment horizontal="center" vertical="center"/>
    </xf>
    <xf numFmtId="166" fontId="8" fillId="0" borderId="17" xfId="0" applyNumberFormat="1" applyFont="1" applyBorder="1" applyAlignment="1">
      <alignment horizontal="center" vertical="center"/>
    </xf>
    <xf numFmtId="0" fontId="151" fillId="0" borderId="49" xfId="0" applyFont="1" applyBorder="1" applyAlignment="1">
      <alignment horizontal="left" vertical="center" wrapText="1"/>
    </xf>
    <xf numFmtId="166" fontId="8" fillId="0" borderId="10" xfId="0" applyNumberFormat="1" applyFont="1" applyBorder="1" applyAlignment="1">
      <alignment horizontal="center" vertical="center"/>
    </xf>
    <xf numFmtId="3" fontId="62" fillId="0" borderId="0" xfId="0" applyNumberFormat="1" applyFont="1" applyAlignment="1">
      <alignment vertical="center"/>
    </xf>
    <xf numFmtId="3" fontId="53" fillId="0" borderId="0" xfId="0" applyNumberFormat="1" applyFont="1" applyAlignment="1">
      <alignment vertical="center"/>
    </xf>
    <xf numFmtId="40" fontId="111" fillId="0" borderId="0" xfId="0" applyNumberFormat="1" applyFont="1"/>
    <xf numFmtId="0" fontId="122" fillId="24" borderId="0" xfId="0" applyFont="1" applyFill="1"/>
    <xf numFmtId="167" fontId="93" fillId="22" borderId="37" xfId="0" applyNumberFormat="1" applyFont="1" applyFill="1" applyBorder="1"/>
    <xf numFmtId="0" fontId="106" fillId="18" borderId="0" xfId="0" applyFont="1" applyFill="1" applyAlignment="1">
      <alignment horizontal="center"/>
    </xf>
    <xf numFmtId="0" fontId="154" fillId="0" borderId="15" xfId="0" applyFont="1" applyBorder="1" applyAlignment="1">
      <alignment horizontal="left" wrapText="1"/>
    </xf>
    <xf numFmtId="0" fontId="117" fillId="0" borderId="0" xfId="0" applyFont="1"/>
    <xf numFmtId="40" fontId="103" fillId="0" borderId="0" xfId="94" applyNumberFormat="1" applyFont="1"/>
    <xf numFmtId="40" fontId="92" fillId="21" borderId="0" xfId="0" applyNumberFormat="1" applyFont="1" applyFill="1"/>
    <xf numFmtId="40" fontId="111" fillId="22" borderId="0" xfId="0" applyNumberFormat="1" applyFont="1" applyFill="1"/>
    <xf numFmtId="167" fontId="93" fillId="45" borderId="37" xfId="0" applyNumberFormat="1" applyFont="1" applyFill="1" applyBorder="1"/>
    <xf numFmtId="0" fontId="156" fillId="0" borderId="0" xfId="94" applyFont="1"/>
    <xf numFmtId="40" fontId="0" fillId="0" borderId="0" xfId="112" applyNumberFormat="1" applyFont="1" applyFill="1"/>
    <xf numFmtId="43" fontId="0" fillId="0" borderId="0" xfId="112" applyFont="1"/>
    <xf numFmtId="43" fontId="110" fillId="0" borderId="0" xfId="112" applyFont="1" applyAlignment="1">
      <alignment vertical="top"/>
    </xf>
    <xf numFmtId="43" fontId="39" fillId="0" borderId="0" xfId="112" applyFont="1"/>
    <xf numFmtId="38" fontId="92" fillId="0" borderId="0" xfId="0" applyNumberFormat="1" applyFont="1"/>
    <xf numFmtId="3" fontId="0" fillId="0" borderId="24" xfId="0" applyNumberFormat="1" applyBorder="1"/>
    <xf numFmtId="40" fontId="109" fillId="0" borderId="0" xfId="120" applyNumberFormat="1" applyFont="1"/>
    <xf numFmtId="4" fontId="109" fillId="0" borderId="0" xfId="0" applyNumberFormat="1" applyFont="1" applyAlignment="1">
      <alignment wrapText="1"/>
    </xf>
    <xf numFmtId="38" fontId="111" fillId="0" borderId="0" xfId="111" applyNumberFormat="1" applyFont="1"/>
    <xf numFmtId="40" fontId="79" fillId="0" borderId="0" xfId="0" applyNumberFormat="1" applyFont="1"/>
    <xf numFmtId="4" fontId="136" fillId="0" borderId="0" xfId="0" applyNumberFormat="1" applyFont="1" applyAlignment="1">
      <alignment wrapText="1"/>
    </xf>
    <xf numFmtId="40" fontId="111" fillId="0" borderId="0" xfId="111" applyNumberFormat="1" applyFont="1"/>
    <xf numFmtId="40" fontId="79" fillId="0" borderId="0" xfId="112" applyNumberFormat="1" applyFont="1" applyFill="1"/>
    <xf numFmtId="6" fontId="111" fillId="0" borderId="15" xfId="94" applyNumberFormat="1" applyFont="1" applyBorder="1" applyAlignment="1">
      <alignment horizontal="center"/>
    </xf>
    <xf numFmtId="38" fontId="79" fillId="0" borderId="0" xfId="0" applyNumberFormat="1" applyFont="1" applyAlignment="1">
      <alignment horizontal="center"/>
    </xf>
    <xf numFmtId="38" fontId="79" fillId="0" borderId="0" xfId="0" applyNumberFormat="1" applyFont="1" applyAlignment="1">
      <alignment horizontal="left"/>
    </xf>
    <xf numFmtId="3" fontId="157" fillId="0" borderId="1" xfId="0" applyNumberFormat="1" applyFont="1" applyBorder="1" applyAlignment="1">
      <alignment horizontal="center" vertical="center"/>
    </xf>
    <xf numFmtId="49" fontId="157" fillId="0" borderId="2" xfId="0" applyNumberFormat="1" applyFont="1" applyBorder="1" applyAlignment="1">
      <alignment horizontal="center" vertical="center"/>
    </xf>
    <xf numFmtId="1" fontId="157" fillId="0" borderId="3" xfId="0" applyNumberFormat="1" applyFont="1" applyBorder="1" applyAlignment="1">
      <alignment horizontal="center" vertical="center"/>
    </xf>
    <xf numFmtId="164" fontId="159" fillId="18" borderId="9" xfId="0" applyNumberFormat="1" applyFont="1" applyFill="1" applyBorder="1" applyAlignment="1">
      <alignment horizontal="center" vertical="top" wrapText="1"/>
    </xf>
    <xf numFmtId="0" fontId="159" fillId="18" borderId="9" xfId="0" applyFont="1" applyFill="1" applyBorder="1" applyAlignment="1">
      <alignment horizontal="center" vertical="top" wrapText="1"/>
    </xf>
    <xf numFmtId="3" fontId="159" fillId="18" borderId="12" xfId="1" applyNumberFormat="1" applyFont="1" applyFill="1" applyBorder="1" applyAlignment="1">
      <alignment horizontal="center" vertical="top" wrapText="1"/>
    </xf>
    <xf numFmtId="3" fontId="159" fillId="18" borderId="9" xfId="1" applyNumberFormat="1" applyFont="1" applyFill="1" applyBorder="1" applyAlignment="1">
      <alignment horizontal="center" vertical="top" wrapText="1"/>
    </xf>
    <xf numFmtId="3" fontId="115" fillId="18" borderId="9" xfId="1" applyNumberFormat="1" applyFont="1" applyFill="1" applyBorder="1" applyAlignment="1">
      <alignment horizontal="center" vertical="top" wrapText="1"/>
    </xf>
    <xf numFmtId="3" fontId="159" fillId="18" borderId="28" xfId="1" applyNumberFormat="1" applyFont="1" applyFill="1" applyBorder="1" applyAlignment="1">
      <alignment horizontal="center" vertical="top" wrapText="1"/>
    </xf>
    <xf numFmtId="9" fontId="25" fillId="0" borderId="0" xfId="122" applyFont="1" applyFill="1" applyAlignment="1">
      <alignment vertical="center"/>
    </xf>
    <xf numFmtId="0" fontId="25" fillId="0" borderId="0" xfId="1" applyFont="1" applyAlignment="1">
      <alignment horizontal="center" vertical="center"/>
    </xf>
    <xf numFmtId="0" fontId="24" fillId="0" borderId="8" xfId="6" applyFont="1" applyBorder="1" applyAlignment="1">
      <alignment vertical="center"/>
    </xf>
    <xf numFmtId="0" fontId="24" fillId="0" borderId="9" xfId="6" applyFont="1" applyBorder="1" applyAlignment="1">
      <alignment vertical="center"/>
    </xf>
    <xf numFmtId="0" fontId="24" fillId="0" borderId="9" xfId="6" applyFont="1" applyBorder="1" applyAlignment="1">
      <alignment vertical="center" wrapText="1"/>
    </xf>
    <xf numFmtId="10" fontId="22" fillId="0" borderId="13" xfId="6" applyNumberFormat="1" applyFont="1" applyBorder="1" applyAlignment="1">
      <alignment horizontal="center" vertical="center"/>
    </xf>
    <xf numFmtId="0" fontId="153" fillId="0" borderId="0" xfId="0" applyFont="1" applyAlignment="1">
      <alignment vertical="top"/>
    </xf>
    <xf numFmtId="0" fontId="110" fillId="0" borderId="0" xfId="0" applyFont="1" applyAlignment="1">
      <alignment vertical="top"/>
    </xf>
    <xf numFmtId="0" fontId="153" fillId="0" borderId="0" xfId="0" applyFont="1" applyAlignment="1">
      <alignment horizontal="left" vertical="top"/>
    </xf>
    <xf numFmtId="4" fontId="110" fillId="0" borderId="0" xfId="0" applyNumberFormat="1" applyFont="1" applyAlignment="1">
      <alignment vertical="top"/>
    </xf>
    <xf numFmtId="0" fontId="153" fillId="0" borderId="0" xfId="0" quotePrefix="1" applyFont="1" applyAlignment="1">
      <alignment vertical="top"/>
    </xf>
    <xf numFmtId="4" fontId="110" fillId="17" borderId="0" xfId="0" applyNumberFormat="1" applyFont="1" applyFill="1" applyAlignment="1">
      <alignment vertical="top"/>
    </xf>
    <xf numFmtId="3" fontId="79" fillId="0" borderId="37" xfId="0" applyNumberFormat="1" applyFont="1" applyBorder="1" applyAlignment="1">
      <alignment horizontal="right"/>
    </xf>
    <xf numFmtId="0" fontId="79" fillId="0" borderId="37" xfId="0" applyFont="1" applyBorder="1"/>
    <xf numFmtId="0" fontId="79" fillId="0" borderId="37" xfId="0" applyFont="1" applyBorder="1" applyAlignment="1">
      <alignment horizontal="center"/>
    </xf>
    <xf numFmtId="0" fontId="79" fillId="12" borderId="37" xfId="0" quotePrefix="1" applyFont="1" applyFill="1" applyBorder="1" applyAlignment="1">
      <alignment horizontal="center"/>
    </xf>
    <xf numFmtId="0" fontId="79" fillId="0" borderId="37" xfId="0" applyFont="1" applyBorder="1" applyAlignment="1">
      <alignment horizontal="center" vertical="center"/>
    </xf>
    <xf numFmtId="0" fontId="79" fillId="12" borderId="37" xfId="0" applyFont="1" applyFill="1" applyBorder="1" applyAlignment="1">
      <alignment horizontal="center"/>
    </xf>
    <xf numFmtId="3" fontId="79" fillId="47" borderId="37" xfId="0" applyNumberFormat="1" applyFont="1" applyFill="1" applyBorder="1" applyAlignment="1">
      <alignment horizontal="right"/>
    </xf>
    <xf numFmtId="0" fontId="79" fillId="34" borderId="37" xfId="0" quotePrefix="1" applyFont="1" applyFill="1" applyBorder="1" applyAlignment="1">
      <alignment horizontal="center"/>
    </xf>
    <xf numFmtId="0" fontId="79" fillId="14" borderId="37" xfId="0" quotePrefix="1" applyFont="1" applyFill="1" applyBorder="1" applyAlignment="1">
      <alignment horizontal="center"/>
    </xf>
    <xf numFmtId="0" fontId="79" fillId="24" borderId="37" xfId="0" quotePrefix="1" applyFont="1" applyFill="1" applyBorder="1" applyAlignment="1">
      <alignment horizontal="center"/>
    </xf>
    <xf numFmtId="0" fontId="79" fillId="0" borderId="37" xfId="0" quotePrefix="1" applyFont="1" applyBorder="1" applyAlignment="1">
      <alignment horizontal="center"/>
    </xf>
    <xf numFmtId="0" fontId="88" fillId="0" borderId="37" xfId="0" applyFont="1" applyBorder="1" applyAlignment="1">
      <alignment horizontal="center"/>
    </xf>
    <xf numFmtId="0" fontId="91" fillId="0" borderId="37" xfId="0" applyFont="1" applyBorder="1" applyAlignment="1">
      <alignment horizontal="center"/>
    </xf>
    <xf numFmtId="0" fontId="79" fillId="5" borderId="37" xfId="0" applyFont="1" applyFill="1" applyBorder="1" applyAlignment="1">
      <alignment horizontal="center"/>
    </xf>
    <xf numFmtId="0" fontId="132" fillId="0" borderId="37" xfId="0" applyFont="1" applyBorder="1" applyAlignment="1">
      <alignment horizontal="center"/>
    </xf>
    <xf numFmtId="0" fontId="79" fillId="0" borderId="37" xfId="0" applyFont="1" applyBorder="1" applyAlignment="1">
      <alignment horizontal="left"/>
    </xf>
    <xf numFmtId="0" fontId="88" fillId="0" borderId="37" xfId="0" applyFont="1" applyBorder="1"/>
    <xf numFmtId="0" fontId="91" fillId="0" borderId="37" xfId="0" applyFont="1" applyBorder="1"/>
    <xf numFmtId="3" fontId="79" fillId="34" borderId="37" xfId="0" applyNumberFormat="1" applyFont="1" applyFill="1" applyBorder="1" applyAlignment="1">
      <alignment horizontal="right"/>
    </xf>
    <xf numFmtId="3" fontId="79" fillId="14" borderId="37" xfId="0" applyNumberFormat="1" applyFont="1" applyFill="1" applyBorder="1" applyAlignment="1">
      <alignment horizontal="right"/>
    </xf>
    <xf numFmtId="0" fontId="109" fillId="0" borderId="0" xfId="0" applyFont="1" applyAlignment="1">
      <alignment horizontal="center"/>
    </xf>
    <xf numFmtId="3" fontId="109" fillId="47" borderId="0" xfId="0" applyNumberFormat="1" applyFont="1" applyFill="1" applyAlignment="1">
      <alignment horizontal="right"/>
    </xf>
    <xf numFmtId="6" fontId="21" fillId="14" borderId="15" xfId="113" applyNumberFormat="1" applyFont="1" applyFill="1" applyBorder="1"/>
    <xf numFmtId="0" fontId="103" fillId="10" borderId="4" xfId="94" applyFont="1" applyFill="1" applyBorder="1"/>
    <xf numFmtId="40" fontId="81" fillId="7" borderId="1" xfId="94" applyNumberFormat="1" applyFont="1" applyFill="1" applyBorder="1"/>
    <xf numFmtId="0" fontId="39" fillId="7" borderId="3" xfId="94" applyFill="1" applyBorder="1"/>
    <xf numFmtId="0" fontId="81" fillId="0" borderId="0" xfId="94" applyFont="1" applyAlignment="1">
      <alignment horizontal="left"/>
    </xf>
    <xf numFmtId="0" fontId="81" fillId="7" borderId="1" xfId="94" applyFont="1" applyFill="1" applyBorder="1" applyAlignment="1">
      <alignment horizontal="left"/>
    </xf>
    <xf numFmtId="0" fontId="162" fillId="7" borderId="3" xfId="94" applyFont="1" applyFill="1" applyBorder="1"/>
    <xf numFmtId="38" fontId="92" fillId="0" borderId="15" xfId="0" applyNumberFormat="1" applyFont="1" applyBorder="1"/>
    <xf numFmtId="38" fontId="92" fillId="0" borderId="0" xfId="0" applyNumberFormat="1" applyFont="1" applyAlignment="1">
      <alignment horizontal="center"/>
    </xf>
    <xf numFmtId="4" fontId="79" fillId="0" borderId="0" xfId="0" applyNumberFormat="1" applyFont="1"/>
    <xf numFmtId="4" fontId="79" fillId="0" borderId="0" xfId="0" applyNumberFormat="1" applyFont="1" applyAlignment="1">
      <alignment horizontal="center"/>
    </xf>
    <xf numFmtId="4" fontId="79" fillId="21" borderId="0" xfId="0" applyNumberFormat="1" applyFont="1" applyFill="1"/>
    <xf numFmtId="4" fontId="79" fillId="21" borderId="0" xfId="0" applyNumberFormat="1" applyFont="1" applyFill="1" applyAlignment="1">
      <alignment horizontal="center"/>
    </xf>
    <xf numFmtId="38" fontId="111" fillId="14" borderId="0" xfId="111" applyNumberFormat="1" applyFont="1" applyFill="1"/>
    <xf numFmtId="0" fontId="92" fillId="0" borderId="0" xfId="9" applyFont="1" applyAlignment="1">
      <alignment horizontal="center"/>
    </xf>
    <xf numFmtId="4" fontId="106" fillId="0" borderId="0" xfId="0" applyNumberFormat="1" applyFont="1" applyAlignment="1">
      <alignment wrapText="1"/>
    </xf>
    <xf numFmtId="3" fontId="79" fillId="0" borderId="0" xfId="0" applyNumberFormat="1" applyFont="1"/>
    <xf numFmtId="0" fontId="91" fillId="0" borderId="0" xfId="0" applyFont="1" applyAlignment="1">
      <alignment wrapText="1"/>
    </xf>
    <xf numFmtId="0" fontId="136" fillId="17" borderId="0" xfId="0" applyFont="1" applyFill="1" applyAlignment="1">
      <alignment vertical="center" wrapText="1"/>
    </xf>
    <xf numFmtId="0" fontId="144" fillId="33" borderId="0" xfId="0" applyFont="1" applyFill="1" applyAlignment="1">
      <alignment vertical="center" wrapText="1"/>
    </xf>
    <xf numFmtId="0" fontId="136" fillId="33" borderId="0" xfId="0" applyFont="1" applyFill="1" applyAlignment="1">
      <alignment vertical="center" wrapText="1"/>
    </xf>
    <xf numFmtId="0" fontId="154" fillId="0" borderId="0" xfId="0" applyFont="1" applyAlignment="1">
      <alignment horizontal="left" wrapText="1"/>
    </xf>
    <xf numFmtId="167" fontId="92" fillId="0" borderId="0" xfId="0" applyNumberFormat="1" applyFont="1" applyAlignment="1">
      <alignment horizontal="center"/>
    </xf>
    <xf numFmtId="1" fontId="2" fillId="0" borderId="0" xfId="0" applyNumberFormat="1" applyFont="1" applyAlignment="1">
      <alignment vertical="center"/>
    </xf>
    <xf numFmtId="0" fontId="2" fillId="0" borderId="19" xfId="0" applyFont="1" applyBorder="1" applyAlignment="1">
      <alignment vertical="center"/>
    </xf>
    <xf numFmtId="0" fontId="2" fillId="0" borderId="47" xfId="0" applyFont="1" applyBorder="1" applyAlignment="1">
      <alignment vertical="center"/>
    </xf>
    <xf numFmtId="0" fontId="2" fillId="0" borderId="14" xfId="0" applyFont="1" applyBorder="1" applyAlignment="1">
      <alignment vertical="center"/>
    </xf>
    <xf numFmtId="0" fontId="29" fillId="0" borderId="14" xfId="0" applyFont="1" applyBorder="1" applyAlignment="1">
      <alignment vertical="center"/>
    </xf>
    <xf numFmtId="0" fontId="117" fillId="0" borderId="0" xfId="0" applyFont="1" applyAlignment="1">
      <alignment vertical="center"/>
    </xf>
    <xf numFmtId="0" fontId="117" fillId="0" borderId="14" xfId="0" applyFont="1" applyBorder="1" applyAlignment="1">
      <alignment vertical="center"/>
    </xf>
    <xf numFmtId="0" fontId="30" fillId="18" borderId="0" xfId="1" applyFont="1" applyFill="1" applyAlignment="1">
      <alignment horizontal="center" vertical="center" wrapText="1"/>
    </xf>
    <xf numFmtId="0" fontId="160" fillId="18" borderId="7" xfId="1" applyFont="1" applyFill="1" applyBorder="1" applyAlignment="1">
      <alignment horizontal="center" vertical="center"/>
    </xf>
    <xf numFmtId="0" fontId="160" fillId="18" borderId="10" xfId="1" applyFont="1" applyFill="1" applyBorder="1" applyAlignment="1">
      <alignment horizontal="center" vertical="center"/>
    </xf>
    <xf numFmtId="3" fontId="161" fillId="18" borderId="7" xfId="0" applyNumberFormat="1" applyFont="1" applyFill="1" applyBorder="1" applyAlignment="1">
      <alignment vertical="center"/>
    </xf>
    <xf numFmtId="3" fontId="161" fillId="18" borderId="0" xfId="0" applyNumberFormat="1" applyFont="1" applyFill="1" applyAlignment="1">
      <alignment vertical="center"/>
    </xf>
    <xf numFmtId="1" fontId="161" fillId="18" borderId="0" xfId="0" applyNumberFormat="1" applyFont="1" applyFill="1" applyAlignment="1">
      <alignment vertical="center"/>
    </xf>
    <xf numFmtId="0" fontId="2" fillId="18" borderId="0" xfId="0" applyFont="1" applyFill="1" applyAlignment="1">
      <alignment vertical="center"/>
    </xf>
    <xf numFmtId="6" fontId="161" fillId="0" borderId="50" xfId="0" applyNumberFormat="1" applyFont="1" applyBorder="1" applyAlignment="1">
      <alignment horizontal="left" vertical="center"/>
    </xf>
    <xf numFmtId="1" fontId="25" fillId="0" borderId="0" xfId="0" applyNumberFormat="1" applyFont="1" applyAlignment="1">
      <alignment vertical="center"/>
    </xf>
    <xf numFmtId="0" fontId="25" fillId="0" borderId="14" xfId="0" applyFont="1" applyBorder="1" applyAlignment="1">
      <alignment vertical="center"/>
    </xf>
    <xf numFmtId="3" fontId="161" fillId="0" borderId="50" xfId="0" applyNumberFormat="1" applyFont="1" applyBorder="1" applyAlignment="1">
      <alignment horizontal="left"/>
    </xf>
    <xf numFmtId="0" fontId="25" fillId="0" borderId="0" xfId="0" applyFont="1" applyAlignment="1">
      <alignment vertical="center"/>
    </xf>
    <xf numFmtId="0" fontId="5" fillId="0" borderId="14" xfId="0" applyFont="1" applyBorder="1" applyAlignment="1">
      <alignment vertical="center"/>
    </xf>
    <xf numFmtId="6" fontId="53" fillId="0" borderId="14" xfId="0" applyNumberFormat="1" applyFont="1" applyBorder="1" applyAlignment="1">
      <alignment vertical="center"/>
    </xf>
    <xf numFmtId="6" fontId="53" fillId="0" borderId="0" xfId="0" applyNumberFormat="1" applyFont="1" applyAlignment="1">
      <alignment vertical="center"/>
    </xf>
    <xf numFmtId="6" fontId="62" fillId="0" borderId="0" xfId="0" applyNumberFormat="1" applyFont="1" applyAlignment="1">
      <alignment vertical="center"/>
    </xf>
    <xf numFmtId="6" fontId="62" fillId="0" borderId="14" xfId="0" applyNumberFormat="1" applyFont="1" applyBorder="1" applyAlignment="1">
      <alignment vertical="center"/>
    </xf>
    <xf numFmtId="14" fontId="2" fillId="0" borderId="14" xfId="0" applyNumberFormat="1" applyFont="1" applyBorder="1" applyAlignment="1">
      <alignment vertical="center"/>
    </xf>
    <xf numFmtId="0" fontId="30" fillId="0" borderId="14" xfId="0" applyFont="1" applyBorder="1" applyAlignment="1">
      <alignment vertical="center"/>
    </xf>
    <xf numFmtId="3" fontId="15" fillId="0" borderId="14" xfId="0" applyNumberFormat="1" applyFont="1" applyBorder="1" applyAlignment="1">
      <alignment vertical="center"/>
    </xf>
    <xf numFmtId="37" fontId="163" fillId="0" borderId="0" xfId="0" applyNumberFormat="1" applyFont="1" applyAlignment="1">
      <alignment vertical="center"/>
    </xf>
    <xf numFmtId="0" fontId="135" fillId="0" borderId="14" xfId="0" applyFont="1" applyBorder="1" applyAlignment="1">
      <alignment vertical="center"/>
    </xf>
    <xf numFmtId="3" fontId="3" fillId="0" borderId="24" xfId="0" applyNumberFormat="1" applyFont="1" applyBorder="1" applyAlignment="1">
      <alignment vertical="center"/>
    </xf>
    <xf numFmtId="0" fontId="29" fillId="0" borderId="24" xfId="0" applyFont="1" applyBorder="1" applyAlignment="1">
      <alignment vertical="center"/>
    </xf>
    <xf numFmtId="0" fontId="29" fillId="0" borderId="49" xfId="0" applyFont="1" applyBorder="1"/>
    <xf numFmtId="0" fontId="164" fillId="0" borderId="0" xfId="0" applyFont="1"/>
    <xf numFmtId="0" fontId="39" fillId="10" borderId="3" xfId="94" applyFill="1" applyBorder="1"/>
    <xf numFmtId="6" fontId="39" fillId="0" borderId="0" xfId="94" applyNumberFormat="1"/>
    <xf numFmtId="38" fontId="164" fillId="0" borderId="0" xfId="0" applyNumberFormat="1" applyFont="1"/>
    <xf numFmtId="3" fontId="111" fillId="0" borderId="15" xfId="0" applyNumberFormat="1" applyFont="1" applyBorder="1" applyAlignment="1">
      <alignment vertical="top"/>
    </xf>
    <xf numFmtId="3" fontId="92" fillId="0" borderId="15" xfId="0" applyNumberFormat="1" applyFont="1" applyBorder="1"/>
    <xf numFmtId="40" fontId="113" fillId="0" borderId="22" xfId="94" applyNumberFormat="1" applyFont="1" applyBorder="1"/>
    <xf numFmtId="0" fontId="15" fillId="0" borderId="0" xfId="0" applyFont="1" applyAlignment="1">
      <alignment vertical="center"/>
    </xf>
    <xf numFmtId="0" fontId="165" fillId="0" borderId="14" xfId="0" applyFont="1" applyBorder="1" applyAlignment="1">
      <alignment vertical="center"/>
    </xf>
    <xf numFmtId="0" fontId="14" fillId="0" borderId="0" xfId="0" applyFont="1" applyAlignment="1">
      <alignment vertical="center"/>
    </xf>
    <xf numFmtId="0" fontId="34" fillId="0" borderId="0" xfId="94" quotePrefix="1" applyFont="1"/>
    <xf numFmtId="0" fontId="108" fillId="0" borderId="0" xfId="94" quotePrefix="1" applyFont="1"/>
    <xf numFmtId="0" fontId="108" fillId="0" borderId="9" xfId="94" quotePrefix="1" applyFont="1" applyBorder="1"/>
    <xf numFmtId="0" fontId="108" fillId="0" borderId="9" xfId="94" applyFont="1" applyBorder="1"/>
    <xf numFmtId="40" fontId="108" fillId="0" borderId="9" xfId="94" applyNumberFormat="1" applyFont="1" applyBorder="1"/>
    <xf numFmtId="40" fontId="34" fillId="0" borderId="9" xfId="94" applyNumberFormat="1" applyFont="1" applyBorder="1"/>
    <xf numFmtId="0" fontId="108" fillId="0" borderId="0" xfId="94" quotePrefix="1" applyFont="1" applyAlignment="1">
      <alignment horizontal="right"/>
    </xf>
    <xf numFmtId="38" fontId="113" fillId="0" borderId="0" xfId="94" applyNumberFormat="1" applyFont="1"/>
    <xf numFmtId="0" fontId="34" fillId="0" borderId="9" xfId="94" quotePrefix="1" applyFont="1" applyBorder="1"/>
    <xf numFmtId="0" fontId="34" fillId="0" borderId="9" xfId="94" applyFont="1" applyBorder="1"/>
    <xf numFmtId="38" fontId="113" fillId="0" borderId="9" xfId="94" applyNumberFormat="1" applyFont="1" applyBorder="1"/>
    <xf numFmtId="0" fontId="115" fillId="7" borderId="0" xfId="17" applyFont="1" applyFill="1"/>
    <xf numFmtId="3" fontId="124" fillId="41" borderId="0" xfId="0" applyNumberFormat="1" applyFont="1" applyFill="1"/>
    <xf numFmtId="3" fontId="93" fillId="15" borderId="0" xfId="0" applyNumberFormat="1" applyFont="1" applyFill="1"/>
    <xf numFmtId="3" fontId="124" fillId="17" borderId="0" xfId="94" applyNumberFormat="1" applyFont="1" applyFill="1"/>
    <xf numFmtId="3" fontId="95" fillId="6" borderId="0" xfId="0" applyNumberFormat="1" applyFont="1" applyFill="1"/>
    <xf numFmtId="3" fontId="124" fillId="42" borderId="0" xfId="94" applyNumberFormat="1" applyFont="1" applyFill="1"/>
    <xf numFmtId="3" fontId="124" fillId="0" borderId="0" xfId="0" applyNumberFormat="1" applyFont="1"/>
    <xf numFmtId="3" fontId="94" fillId="21" borderId="0" xfId="0" applyNumberFormat="1" applyFont="1" applyFill="1"/>
    <xf numFmtId="3" fontId="152" fillId="44" borderId="0" xfId="0" applyNumberFormat="1" applyFont="1" applyFill="1"/>
    <xf numFmtId="3" fontId="93" fillId="10" borderId="0" xfId="0" applyNumberFormat="1" applyFont="1" applyFill="1"/>
    <xf numFmtId="3" fontId="124" fillId="12" borderId="0" xfId="0" applyNumberFormat="1" applyFont="1" applyFill="1"/>
    <xf numFmtId="3" fontId="124" fillId="36" borderId="0" xfId="0" applyNumberFormat="1" applyFont="1" applyFill="1"/>
    <xf numFmtId="3" fontId="125" fillId="17" borderId="0" xfId="94" applyNumberFormat="1" applyFont="1" applyFill="1"/>
    <xf numFmtId="3" fontId="93" fillId="0" borderId="0" xfId="0" applyNumberFormat="1" applyFont="1"/>
    <xf numFmtId="3" fontId="111" fillId="0" borderId="0" xfId="0" applyNumberFormat="1" applyFont="1"/>
    <xf numFmtId="3" fontId="93" fillId="6" borderId="0" xfId="0" applyNumberFormat="1" applyFont="1" applyFill="1"/>
    <xf numFmtId="3" fontId="93" fillId="37" borderId="0" xfId="0" applyNumberFormat="1" applyFont="1" applyFill="1"/>
    <xf numFmtId="0" fontId="22" fillId="0" borderId="0" xfId="6" applyFont="1" applyAlignment="1">
      <alignment horizontal="center" vertical="center"/>
    </xf>
    <xf numFmtId="3" fontId="22" fillId="38" borderId="0" xfId="6" applyNumberFormat="1" applyFont="1" applyFill="1" applyAlignment="1">
      <alignment horizontal="center" vertical="center"/>
    </xf>
    <xf numFmtId="3" fontId="22" fillId="38" borderId="11" xfId="6" applyNumberFormat="1" applyFont="1" applyFill="1" applyBorder="1" applyAlignment="1">
      <alignment horizontal="center" vertical="center"/>
    </xf>
    <xf numFmtId="167" fontId="20" fillId="0" borderId="0" xfId="6" applyNumberFormat="1" applyFont="1" applyAlignment="1">
      <alignment horizontal="left" vertical="center" wrapText="1"/>
    </xf>
    <xf numFmtId="0" fontId="20" fillId="0" borderId="0" xfId="6" applyFont="1" applyAlignment="1">
      <alignment horizontal="center" vertical="center"/>
    </xf>
    <xf numFmtId="3" fontId="20" fillId="4" borderId="0" xfId="6" applyNumberFormat="1" applyFont="1" applyFill="1" applyAlignment="1">
      <alignment horizontal="center" vertical="center"/>
    </xf>
    <xf numFmtId="3" fontId="20" fillId="4" borderId="11" xfId="6" applyNumberFormat="1" applyFont="1" applyFill="1" applyBorder="1" applyAlignment="1">
      <alignment horizontal="center" vertical="center"/>
    </xf>
    <xf numFmtId="0" fontId="21" fillId="0" borderId="0" xfId="6" applyFont="1" applyAlignment="1">
      <alignment horizontal="center" vertical="center"/>
    </xf>
    <xf numFmtId="3" fontId="21" fillId="4" borderId="0" xfId="6" applyNumberFormat="1" applyFont="1" applyFill="1" applyAlignment="1">
      <alignment horizontal="center" vertical="center"/>
    </xf>
    <xf numFmtId="3" fontId="21" fillId="4" borderId="11" xfId="6" applyNumberFormat="1" applyFont="1" applyFill="1" applyBorder="1" applyAlignment="1">
      <alignment horizontal="center" vertical="center"/>
    </xf>
    <xf numFmtId="0" fontId="18" fillId="3" borderId="0" xfId="6" applyFont="1" applyFill="1" applyAlignment="1">
      <alignment horizontal="center" vertical="center"/>
    </xf>
    <xf numFmtId="0" fontId="18" fillId="18" borderId="6" xfId="6" applyFont="1" applyFill="1" applyBorder="1" applyAlignment="1">
      <alignment horizontal="center" vertical="center"/>
    </xf>
    <xf numFmtId="0" fontId="18" fillId="18" borderId="0" xfId="6" applyFont="1" applyFill="1" applyAlignment="1">
      <alignment horizontal="center" vertical="center"/>
    </xf>
    <xf numFmtId="0" fontId="18" fillId="18" borderId="11" xfId="6" applyFont="1" applyFill="1" applyBorder="1" applyAlignment="1">
      <alignment horizontal="center" vertical="center"/>
    </xf>
    <xf numFmtId="0" fontId="18" fillId="0" borderId="6" xfId="6" applyFont="1" applyBorder="1" applyAlignment="1">
      <alignment horizontal="center" vertical="center"/>
    </xf>
    <xf numFmtId="0" fontId="18" fillId="0" borderId="0" xfId="6" applyFont="1" applyAlignment="1">
      <alignment horizontal="center" vertical="center"/>
    </xf>
    <xf numFmtId="3" fontId="25" fillId="0" borderId="6" xfId="6" applyNumberFormat="1" applyFont="1" applyBorder="1" applyAlignment="1">
      <alignment horizontal="center" vertical="center"/>
    </xf>
    <xf numFmtId="3" fontId="25" fillId="0" borderId="11" xfId="6" applyNumberFormat="1" applyFont="1" applyBorder="1" applyAlignment="1">
      <alignment horizontal="center" vertical="center"/>
    </xf>
    <xf numFmtId="0" fontId="158" fillId="46" borderId="0" xfId="0" applyFont="1" applyFill="1" applyAlignment="1">
      <alignment horizontal="center" vertical="center"/>
    </xf>
    <xf numFmtId="0" fontId="8" fillId="13" borderId="0" xfId="0" applyFont="1" applyFill="1" applyAlignment="1">
      <alignment horizontal="left" vertical="center" wrapText="1"/>
    </xf>
    <xf numFmtId="49" fontId="1" fillId="0" borderId="2" xfId="0" applyNumberFormat="1" applyFont="1" applyBorder="1" applyAlignment="1">
      <alignment horizontal="center"/>
    </xf>
    <xf numFmtId="0" fontId="102" fillId="18" borderId="0" xfId="0" applyFont="1" applyFill="1" applyAlignment="1">
      <alignment horizontal="center"/>
    </xf>
  </cellXfs>
  <cellStyles count="123">
    <cellStyle name="Comma 2" xfId="15" xr:uid="{00000000-0005-0000-0000-000000000000}"/>
    <cellStyle name="Comma 3" xfId="27" xr:uid="{00000000-0005-0000-0000-000001000000}"/>
    <cellStyle name="Comma 4" xfId="112" xr:uid="{71EF093B-1E4A-4DEB-85C7-6123007E934B}"/>
    <cellStyle name="Comma 4 2" xfId="115" xr:uid="{D943C744-0B58-443F-811A-ED0180002900}"/>
    <cellStyle name="Currency" xfId="81" builtinId="4"/>
    <cellStyle name="Currency 2" xfId="5" xr:uid="{00000000-0005-0000-0000-000003000000}"/>
    <cellStyle name="Currency 3" xfId="103" xr:uid="{00000000-0005-0000-0000-000004000000}"/>
    <cellStyle name="Currency 4" xfId="108" xr:uid="{00000000-0005-0000-0000-000005000000}"/>
    <cellStyle name="Currency 5" xfId="113" xr:uid="{EEE9B4ED-9D48-4F83-AAE6-D082EE77433B}"/>
    <cellStyle name="Normal" xfId="0" builtinId="0"/>
    <cellStyle name="Normal 10" xfId="16" xr:uid="{00000000-0005-0000-0000-000007000000}"/>
    <cellStyle name="Normal 11" xfId="17" xr:uid="{00000000-0005-0000-0000-000008000000}"/>
    <cellStyle name="Normal 12" xfId="24" xr:uid="{00000000-0005-0000-0000-000009000000}"/>
    <cellStyle name="Normal 12 2" xfId="25" xr:uid="{00000000-0005-0000-0000-00000A000000}"/>
    <cellStyle name="Normal 13" xfId="28" xr:uid="{00000000-0005-0000-0000-00000B000000}"/>
    <cellStyle name="Normal 13 2" xfId="43" xr:uid="{00000000-0005-0000-0000-00000C000000}"/>
    <cellStyle name="Normal 14" xfId="29" xr:uid="{00000000-0005-0000-0000-00000D000000}"/>
    <cellStyle name="Normal 15" xfId="30" xr:uid="{00000000-0005-0000-0000-00000E000000}"/>
    <cellStyle name="Normal 16" xfId="31" xr:uid="{00000000-0005-0000-0000-00000F000000}"/>
    <cellStyle name="Normal 16 3" xfId="94" xr:uid="{00000000-0005-0000-0000-000010000000}"/>
    <cellStyle name="Normal 17" xfId="32" xr:uid="{00000000-0005-0000-0000-000011000000}"/>
    <cellStyle name="Normal 18" xfId="44" xr:uid="{00000000-0005-0000-0000-000012000000}"/>
    <cellStyle name="Normal 18 2" xfId="48" xr:uid="{00000000-0005-0000-0000-000013000000}"/>
    <cellStyle name="Normal 19" xfId="45" xr:uid="{00000000-0005-0000-0000-000014000000}"/>
    <cellStyle name="Normal 19 2" xfId="47" xr:uid="{00000000-0005-0000-0000-000015000000}"/>
    <cellStyle name="Normal 2" xfId="1" xr:uid="{00000000-0005-0000-0000-000016000000}"/>
    <cellStyle name="Normal 2 2" xfId="6" xr:uid="{00000000-0005-0000-0000-000017000000}"/>
    <cellStyle name="Normal 2 2 2" xfId="33" xr:uid="{00000000-0005-0000-0000-000018000000}"/>
    <cellStyle name="Normal 2 2 3" xfId="34" xr:uid="{00000000-0005-0000-0000-000019000000}"/>
    <cellStyle name="Normal 2 2 4" xfId="97" xr:uid="{00000000-0005-0000-0000-00001A000000}"/>
    <cellStyle name="Normal 2 2 5" xfId="111" xr:uid="{8B92F81A-A231-4E0C-A052-49F5CD7E94A2}"/>
    <cellStyle name="Normal 2 3" xfId="7" xr:uid="{00000000-0005-0000-0000-00001B000000}"/>
    <cellStyle name="Normal 2 4" xfId="9" xr:uid="{00000000-0005-0000-0000-00001C000000}"/>
    <cellStyle name="Normal 2 5" xfId="110" xr:uid="{8BA50D4B-AA65-495E-9AD7-C0526FF99DE0}"/>
    <cellStyle name="Normal 20" xfId="46" xr:uid="{00000000-0005-0000-0000-00001D000000}"/>
    <cellStyle name="Normal 20 2" xfId="53" xr:uid="{00000000-0005-0000-0000-00001E000000}"/>
    <cellStyle name="Normal 21" xfId="49" xr:uid="{00000000-0005-0000-0000-00001F000000}"/>
    <cellStyle name="Normal 21 2" xfId="63" xr:uid="{00000000-0005-0000-0000-000020000000}"/>
    <cellStyle name="Normal 22" xfId="50" xr:uid="{00000000-0005-0000-0000-000021000000}"/>
    <cellStyle name="Normal 22 2" xfId="64" xr:uid="{00000000-0005-0000-0000-000022000000}"/>
    <cellStyle name="Normal 23" xfId="52" xr:uid="{00000000-0005-0000-0000-000023000000}"/>
    <cellStyle name="Normal 23 2" xfId="65" xr:uid="{00000000-0005-0000-0000-000024000000}"/>
    <cellStyle name="Normal 24" xfId="51" xr:uid="{00000000-0005-0000-0000-000025000000}"/>
    <cellStyle name="Normal 25" xfId="54" xr:uid="{00000000-0005-0000-0000-000026000000}"/>
    <cellStyle name="Normal 25 2" xfId="58" xr:uid="{00000000-0005-0000-0000-000027000000}"/>
    <cellStyle name="Normal 26" xfId="55" xr:uid="{00000000-0005-0000-0000-000028000000}"/>
    <cellStyle name="Normal 26 2" xfId="66" xr:uid="{00000000-0005-0000-0000-000029000000}"/>
    <cellStyle name="Normal 27" xfId="56" xr:uid="{00000000-0005-0000-0000-00002A000000}"/>
    <cellStyle name="Normal 27 2" xfId="59" xr:uid="{00000000-0005-0000-0000-00002B000000}"/>
    <cellStyle name="Normal 28" xfId="57" xr:uid="{00000000-0005-0000-0000-00002C000000}"/>
    <cellStyle name="Normal 28 2" xfId="60" xr:uid="{00000000-0005-0000-0000-00002D000000}"/>
    <cellStyle name="Normal 29" xfId="61" xr:uid="{00000000-0005-0000-0000-00002E000000}"/>
    <cellStyle name="Normal 29 2" xfId="67" xr:uid="{00000000-0005-0000-0000-00002F000000}"/>
    <cellStyle name="Normal 29 2 2" xfId="96" xr:uid="{00000000-0005-0000-0000-000030000000}"/>
    <cellStyle name="Normal 29 3" xfId="95" xr:uid="{00000000-0005-0000-0000-000031000000}"/>
    <cellStyle name="Normal 3" xfId="2" xr:uid="{00000000-0005-0000-0000-000032000000}"/>
    <cellStyle name="Normal 3 2" xfId="10" xr:uid="{00000000-0005-0000-0000-000033000000}"/>
    <cellStyle name="Normal 3 3" xfId="120" xr:uid="{904308CE-0CAE-49D9-B43D-FEF3C793DAC2}"/>
    <cellStyle name="Normal 30" xfId="68" xr:uid="{00000000-0005-0000-0000-000034000000}"/>
    <cellStyle name="Normal 30 2" xfId="69" xr:uid="{00000000-0005-0000-0000-000035000000}"/>
    <cellStyle name="Normal 31" xfId="70" xr:uid="{00000000-0005-0000-0000-000036000000}"/>
    <cellStyle name="Normal 31 2" xfId="72" xr:uid="{00000000-0005-0000-0000-000037000000}"/>
    <cellStyle name="Normal 32" xfId="71" xr:uid="{00000000-0005-0000-0000-000038000000}"/>
    <cellStyle name="Normal 32 2" xfId="74" xr:uid="{00000000-0005-0000-0000-000039000000}"/>
    <cellStyle name="Normal 33" xfId="73" xr:uid="{00000000-0005-0000-0000-00003A000000}"/>
    <cellStyle name="Normal 33 2" xfId="75" xr:uid="{00000000-0005-0000-0000-00003B000000}"/>
    <cellStyle name="Normal 34" xfId="76" xr:uid="{00000000-0005-0000-0000-00003C000000}"/>
    <cellStyle name="Normal 34 2" xfId="99" xr:uid="{00000000-0005-0000-0000-00003D000000}"/>
    <cellStyle name="Normal 35" xfId="77" xr:uid="{00000000-0005-0000-0000-00003E000000}"/>
    <cellStyle name="Normal 35 2" xfId="100" xr:uid="{00000000-0005-0000-0000-00003F000000}"/>
    <cellStyle name="Normal 36" xfId="78" xr:uid="{00000000-0005-0000-0000-000040000000}"/>
    <cellStyle name="Normal 36 2" xfId="101" xr:uid="{00000000-0005-0000-0000-000041000000}"/>
    <cellStyle name="Normal 37" xfId="79" xr:uid="{00000000-0005-0000-0000-000042000000}"/>
    <cellStyle name="Normal 37 2" xfId="102" xr:uid="{00000000-0005-0000-0000-000043000000}"/>
    <cellStyle name="Normal 38" xfId="80" xr:uid="{00000000-0005-0000-0000-000044000000}"/>
    <cellStyle name="Normal 38 2" xfId="88" xr:uid="{00000000-0005-0000-0000-000045000000}"/>
    <cellStyle name="Normal 39" xfId="82" xr:uid="{00000000-0005-0000-0000-000046000000}"/>
    <cellStyle name="Normal 39 2" xfId="84" xr:uid="{00000000-0005-0000-0000-000047000000}"/>
    <cellStyle name="Normal 4" xfId="3" xr:uid="{00000000-0005-0000-0000-000048000000}"/>
    <cellStyle name="Normal 4 2" xfId="8" xr:uid="{00000000-0005-0000-0000-000049000000}"/>
    <cellStyle name="Normal 4 3" xfId="11" xr:uid="{00000000-0005-0000-0000-00004A000000}"/>
    <cellStyle name="Normal 40" xfId="83" xr:uid="{00000000-0005-0000-0000-00004B000000}"/>
    <cellStyle name="Normal 41" xfId="85" xr:uid="{00000000-0005-0000-0000-00004C000000}"/>
    <cellStyle name="Normal 41 2" xfId="104" xr:uid="{00000000-0005-0000-0000-00004D000000}"/>
    <cellStyle name="Normal 42" xfId="86" xr:uid="{00000000-0005-0000-0000-00004E000000}"/>
    <cellStyle name="Normal 42 2" xfId="91" xr:uid="{00000000-0005-0000-0000-00004F000000}"/>
    <cellStyle name="Normal 43" xfId="87" xr:uid="{00000000-0005-0000-0000-000050000000}"/>
    <cellStyle name="Normal 43 2" xfId="90" xr:uid="{00000000-0005-0000-0000-000051000000}"/>
    <cellStyle name="Normal 44" xfId="89" xr:uid="{00000000-0005-0000-0000-000052000000}"/>
    <cellStyle name="Normal 45" xfId="92" xr:uid="{00000000-0005-0000-0000-000053000000}"/>
    <cellStyle name="Normal 45 2" xfId="93" xr:uid="{00000000-0005-0000-0000-000054000000}"/>
    <cellStyle name="Normal 46" xfId="98" xr:uid="{00000000-0005-0000-0000-000055000000}"/>
    <cellStyle name="Normal 47" xfId="105" xr:uid="{00000000-0005-0000-0000-000056000000}"/>
    <cellStyle name="Normal 47 2" xfId="118" xr:uid="{8BFB3C74-D742-4207-B01B-037BF37C8131}"/>
    <cellStyle name="Normal 48" xfId="106" xr:uid="{00000000-0005-0000-0000-000057000000}"/>
    <cellStyle name="Normal 48 2" xfId="109" xr:uid="{00000000-0005-0000-0000-000058000000}"/>
    <cellStyle name="Normal 49" xfId="107" xr:uid="{00000000-0005-0000-0000-000059000000}"/>
    <cellStyle name="Normal 5" xfId="4" xr:uid="{00000000-0005-0000-0000-00005A000000}"/>
    <cellStyle name="Normal 5 2" xfId="12" xr:uid="{00000000-0005-0000-0000-00005B000000}"/>
    <cellStyle name="Normal 5 3" xfId="35" xr:uid="{00000000-0005-0000-0000-00005C000000}"/>
    <cellStyle name="Normal 5 3 2" xfId="36" xr:uid="{00000000-0005-0000-0000-00005D000000}"/>
    <cellStyle name="Normal 5 3 3" xfId="37" xr:uid="{00000000-0005-0000-0000-00005E000000}"/>
    <cellStyle name="Normal 5 4" xfId="38" xr:uid="{00000000-0005-0000-0000-00005F000000}"/>
    <cellStyle name="Normal 5 5" xfId="114" xr:uid="{BF82077D-6970-42BE-8F11-A06D0F80D16B}"/>
    <cellStyle name="Normal 50" xfId="116" xr:uid="{B1F0CA5C-4AB1-4ACA-9471-D9476254959D}"/>
    <cellStyle name="Normal 50 2" xfId="117" xr:uid="{49E83F02-61BC-472B-9921-0290478348E0}"/>
    <cellStyle name="Normal 51" xfId="119" xr:uid="{48505385-B1BF-4FF6-AD9E-E36EB0AFB54A}"/>
    <cellStyle name="Normal 6" xfId="13" xr:uid="{00000000-0005-0000-0000-000060000000}"/>
    <cellStyle name="Normal 6 2" xfId="18" xr:uid="{00000000-0005-0000-0000-000061000000}"/>
    <cellStyle name="Normal 6 3" xfId="121" xr:uid="{16250F53-CEBE-40B1-B44C-CCBDD2097E59}"/>
    <cellStyle name="Normal 7" xfId="14" xr:uid="{00000000-0005-0000-0000-000062000000}"/>
    <cellStyle name="Normal 7 2" xfId="19" xr:uid="{00000000-0005-0000-0000-000063000000}"/>
    <cellStyle name="Normal 7 3" xfId="20" xr:uid="{00000000-0005-0000-0000-000064000000}"/>
    <cellStyle name="Normal 7 4" xfId="21" xr:uid="{00000000-0005-0000-0000-000065000000}"/>
    <cellStyle name="Normal 7 5" xfId="39" xr:uid="{00000000-0005-0000-0000-000066000000}"/>
    <cellStyle name="Normal 7 6" xfId="40" xr:uid="{00000000-0005-0000-0000-000067000000}"/>
    <cellStyle name="Normal 7 7" xfId="41" xr:uid="{00000000-0005-0000-0000-000068000000}"/>
    <cellStyle name="Normal 7 7 2" xfId="42" xr:uid="{00000000-0005-0000-0000-000069000000}"/>
    <cellStyle name="Normal 7 8" xfId="62" xr:uid="{00000000-0005-0000-0000-00006A000000}"/>
    <cellStyle name="Normal 8" xfId="22" xr:uid="{00000000-0005-0000-0000-00006B000000}"/>
    <cellStyle name="Normal 9" xfId="23" xr:uid="{00000000-0005-0000-0000-00006C000000}"/>
    <cellStyle name="Percent" xfId="122" builtinId="5"/>
    <cellStyle name="Percent 2" xfId="26" xr:uid="{00000000-0005-0000-0000-00006D000000}"/>
  </cellStyles>
  <dxfs count="160">
    <dxf>
      <font>
        <b/>
        <i val="0"/>
        <strike val="0"/>
        <condense val="0"/>
        <extend val="0"/>
        <outline val="0"/>
        <shadow val="0"/>
        <u val="none"/>
        <vertAlign val="baseline"/>
        <sz val="12"/>
        <color rgb="FF000000"/>
        <name val="Calibri"/>
        <scheme val="minor"/>
      </font>
    </dxf>
    <dxf>
      <font>
        <b/>
        <i val="0"/>
        <strike val="0"/>
        <outline val="0"/>
        <shadow val="0"/>
        <u val="none"/>
        <vertAlign val="baseline"/>
        <sz val="12"/>
        <name val="Calibri"/>
        <scheme val="minor"/>
      </font>
      <numFmt numFmtId="0" formatCode="General"/>
    </dxf>
    <dxf>
      <font>
        <b/>
        <i val="0"/>
        <strike val="0"/>
        <condense val="0"/>
        <extend val="0"/>
        <outline val="0"/>
        <shadow val="0"/>
        <u val="none"/>
        <vertAlign val="baseline"/>
        <sz val="12"/>
        <color rgb="FF000000"/>
        <name val="Calibri"/>
        <scheme val="minor"/>
      </font>
    </dxf>
    <dxf>
      <font>
        <b/>
        <i val="0"/>
        <strike val="0"/>
        <outline val="0"/>
        <shadow val="0"/>
        <u val="none"/>
        <vertAlign val="baseline"/>
        <sz val="12"/>
        <name val="Calibri"/>
        <scheme val="minor"/>
      </font>
      <numFmt numFmtId="1" formatCode="0"/>
      <alignment horizontal="center"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none"/>
      </font>
    </dxf>
    <dxf>
      <font>
        <b/>
        <i val="0"/>
        <strike val="0"/>
        <condense val="0"/>
        <extend val="0"/>
        <outline val="0"/>
        <shadow val="0"/>
        <u val="none"/>
        <vertAlign val="baseline"/>
        <sz val="12"/>
        <color rgb="FF000000"/>
        <name val="Calibri"/>
        <scheme val="none"/>
      </font>
      <numFmt numFmtId="0" formatCode="General"/>
    </dxf>
    <dxf>
      <font>
        <b/>
        <i val="0"/>
        <strike val="0"/>
        <condense val="0"/>
        <extend val="0"/>
        <outline val="0"/>
        <shadow val="0"/>
        <u val="none"/>
        <vertAlign val="baseline"/>
        <sz val="12"/>
        <color rgb="FF000000"/>
        <name val="Calibri"/>
        <scheme val="none"/>
      </font>
      <numFmt numFmtId="167" formatCode="&quot;$&quot;#,##0"/>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rgb="FF000000"/>
        <name val="Calibri"/>
        <scheme val="none"/>
      </font>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alignment vertical="bottom" textRotation="0" wrapText="1" indent="0" justifyLastLine="0" shrinkToFit="0" readingOrder="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2"/>
        <color rgb="FF000000"/>
        <name val="Calibri"/>
        <scheme val="none"/>
      </font>
    </dxf>
    <dxf>
      <font>
        <b/>
        <i val="0"/>
        <strike val="0"/>
        <condense val="0"/>
        <extend val="0"/>
        <outline val="0"/>
        <shadow val="0"/>
        <u val="none"/>
        <vertAlign val="baseline"/>
        <sz val="12"/>
        <color theme="0"/>
        <name val="Calibri"/>
        <scheme val="minor"/>
      </font>
      <fill>
        <patternFill patternType="solid">
          <fgColor indexed="64"/>
          <bgColor rgb="FFA50021"/>
        </patternFill>
      </fill>
      <alignment horizontal="center"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9"/>
        <color indexed="8"/>
        <name val="Calibri"/>
        <family val="2"/>
        <scheme val="none"/>
      </font>
      <alignment horizontal="lef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indexed="8"/>
        <name val="Calibri"/>
        <scheme val="none"/>
      </font>
      <numFmt numFmtId="3" formatCode="#,##0"/>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Calibri"/>
      </font>
      <numFmt numFmtId="166" formatCode="m/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0"/>
        <name val="Calibri"/>
      </font>
      <numFmt numFmtId="166" formatCode="m/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border diagonalUp="0" diagonalDown="0" outline="0">
        <left style="thin">
          <color indexed="64"/>
        </left>
        <right/>
        <top/>
        <bottom/>
      </border>
    </dxf>
    <dxf>
      <font>
        <strike val="0"/>
        <outline val="0"/>
        <shadow val="0"/>
        <u val="none"/>
        <vertAlign val="baseline"/>
        <sz val="10"/>
        <name val="Calibri"/>
      </font>
      <numFmt numFmtId="166" formatCode="m/d/yy;@"/>
      <fill>
        <patternFill patternType="none">
          <fgColor indexed="64"/>
          <bgColor indexed="65"/>
        </patternFill>
      </fill>
      <alignment horizontal="center" vertical="center" textRotation="0" wrapText="0" indent="0" justifyLastLine="0" shrinkToFit="0" readingOrder="0"/>
      <border diagonalUp="0" diagonalDown="0">
        <left style="thin">
          <color indexed="64"/>
        </left>
        <top/>
        <bottom/>
        <vertical/>
        <horizontal/>
      </border>
    </dxf>
    <dxf>
      <font>
        <b/>
        <i val="0"/>
        <strike val="0"/>
        <condense val="0"/>
        <extend val="0"/>
        <outline val="0"/>
        <shadow val="0"/>
        <u val="none"/>
        <vertAlign val="baseline"/>
        <sz val="10"/>
        <color indexed="8"/>
        <name val="Calibri"/>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indexed="8"/>
        <name val="Calibri"/>
        <scheme val="none"/>
      </font>
      <numFmt numFmtId="166" formatCode="m/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9"/>
        <color auto="1"/>
        <name val="Calibri"/>
        <family val="2"/>
        <scheme val="none"/>
      </font>
    </dxf>
    <dxf>
      <font>
        <b/>
        <i val="0"/>
        <strike val="0"/>
        <condense val="0"/>
        <extend val="0"/>
        <outline val="0"/>
        <shadow val="0"/>
        <u val="none"/>
        <vertAlign val="baseline"/>
        <sz val="10"/>
        <color auto="1"/>
        <name val="Calibri"/>
        <scheme val="none"/>
      </font>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name val="Calibri"/>
      </font>
      <alignment vertical="center" textRotation="0" indent="0" justifyLastLine="0" shrinkToFit="0" readingOrder="0"/>
    </dxf>
    <dxf>
      <font>
        <b val="0"/>
        <i val="0"/>
        <strike val="0"/>
        <condense val="0"/>
        <extend val="0"/>
        <outline val="0"/>
        <shadow val="0"/>
        <u val="none"/>
        <vertAlign val="baseline"/>
        <sz val="9"/>
        <color indexed="9"/>
        <name val="Calibri"/>
        <scheme val="none"/>
      </font>
      <numFmt numFmtId="166" formatCode="m/d/yy;@"/>
      <fill>
        <patternFill patternType="solid">
          <fgColor indexed="64"/>
          <bgColor theme="8"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9"/>
        <color theme="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indexed="8"/>
        <name val="Calibri"/>
        <scheme val="none"/>
      </font>
      <numFmt numFmtId="1"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theme="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auto="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auto="1"/>
        <name val="Calibri"/>
        <family val="2"/>
        <scheme val="none"/>
      </font>
      <numFmt numFmtId="13" formatCode="0%"/>
      <fill>
        <patternFill patternType="solid">
          <fgColor indexed="64"/>
          <bgColor rgb="FFFFFF00"/>
        </patternFill>
      </fill>
      <alignment horizontal="general" vertical="center" textRotation="0" wrapText="0" indent="0" justifyLastLine="0" shrinkToFit="0" readingOrder="0"/>
    </dxf>
    <dxf>
      <font>
        <b/>
        <i val="0"/>
        <strike val="0"/>
        <condense val="0"/>
        <extend val="0"/>
        <outline val="0"/>
        <shadow val="0"/>
        <u val="none"/>
        <vertAlign val="baseline"/>
        <sz val="9"/>
        <color auto="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auto="1"/>
        <name val="Calibri"/>
        <family val="2"/>
        <scheme val="none"/>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auto="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auto="1"/>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theme="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theme="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indexed="8"/>
        <name val="Calibri"/>
        <family val="2"/>
        <scheme val="none"/>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theme="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theme="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theme="1"/>
        <name val="Calibri"/>
        <family val="2"/>
        <scheme val="minor"/>
      </font>
      <numFmt numFmtId="3" formatCode="#,##0"/>
      <alignment horizontal="general" vertical="center" textRotation="0" wrapText="0" indent="0" justifyLastLine="0" shrinkToFit="0" readingOrder="0"/>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bottom/>
      </border>
    </dxf>
    <dxf>
      <alignment horizontal="center" vertical="center" textRotation="0" wrapText="0" indent="0" justifyLastLine="0" shrinkToFit="0" readingOrder="0"/>
    </dxf>
    <dxf>
      <font>
        <b val="0"/>
        <i val="0"/>
        <strike val="0"/>
        <condense val="0"/>
        <extend val="0"/>
        <outline val="0"/>
        <shadow val="0"/>
        <u val="none"/>
        <vertAlign val="baseline"/>
        <sz val="8"/>
        <color auto="1"/>
        <name val="Calibri"/>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8"/>
        <color auto="1"/>
        <name val="Calibri"/>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8.5"/>
        <color auto="1"/>
        <name val="Calibri"/>
        <scheme val="none"/>
      </font>
      <fill>
        <patternFill patternType="none">
          <fgColor indexed="64"/>
          <bgColor indexed="65"/>
        </patternFill>
      </fill>
      <alignment vertical="center" textRotation="0" wrapText="1" indent="0" justifyLastLine="0" shrinkToFit="0" readingOrder="0"/>
      <border diagonalUp="0" diagonalDown="0">
        <left/>
        <right style="thin">
          <color indexed="64"/>
        </right>
        <top/>
        <bottom/>
        <vertical/>
        <horizontal/>
      </border>
    </dxf>
    <dxf>
      <alignment horizontal="general" vertical="center" textRotation="0" wrapText="0" indent="0" justifyLastLine="0" shrinkToFit="0" readingOrder="0"/>
    </dxf>
    <dxf>
      <font>
        <b/>
        <i val="0"/>
        <strike val="0"/>
        <condense val="0"/>
        <extend val="0"/>
        <outline val="0"/>
        <shadow val="0"/>
        <u val="none"/>
        <vertAlign val="baseline"/>
        <sz val="8"/>
        <color auto="1"/>
        <name val="Calibri"/>
        <scheme val="none"/>
      </font>
      <numFmt numFmtId="30" formatCode="@"/>
      <fill>
        <patternFill patternType="none">
          <fgColor indexed="64"/>
          <bgColor indexed="65"/>
        </patternFill>
      </fill>
      <alignment horizontal="center" vertical="center" textRotation="0" wrapText="0" indent="0" justifyLastLine="0" shrinkToFit="0" readingOrder="0"/>
    </dxf>
    <dxf>
      <alignment vertical="center" textRotation="0" indent="0" justifyLastLine="0" shrinkToFit="0" readingOrder="0"/>
    </dxf>
    <dxf>
      <font>
        <b val="0"/>
        <i val="0"/>
        <strike val="0"/>
        <condense val="0"/>
        <extend val="0"/>
        <outline val="0"/>
        <shadow val="0"/>
        <u val="none"/>
        <vertAlign val="baseline"/>
        <sz val="8"/>
        <color indexed="8"/>
        <name val="Calibri"/>
        <scheme val="none"/>
      </font>
      <numFmt numFmtId="3" formatCode="#,##0"/>
      <fill>
        <patternFill patternType="none">
          <fgColor indexed="64"/>
          <bgColor indexed="65"/>
        </patternFill>
      </fill>
      <alignment vertical="center" textRotation="0" indent="0" justifyLastLine="0" shrinkToFit="0" readingOrder="0"/>
    </dxf>
    <dxf>
      <border outline="0">
        <bottom style="medium">
          <color indexed="64"/>
        </bottom>
      </border>
    </dxf>
    <dxf>
      <font>
        <b/>
        <i val="0"/>
        <strike val="0"/>
        <condense val="0"/>
        <extend val="0"/>
        <outline val="0"/>
        <shadow val="0"/>
        <u val="none"/>
        <vertAlign val="baseline"/>
        <sz val="9"/>
        <color indexed="9"/>
        <name val="Calibri"/>
        <family val="2"/>
        <scheme val="minor"/>
      </font>
      <numFmt numFmtId="3" formatCode="#,##0"/>
      <fill>
        <patternFill patternType="solid">
          <fgColor indexed="64"/>
          <bgColor theme="4" tint="-0.249977111117893"/>
        </patternFill>
      </fill>
      <alignment horizontal="center" vertical="top" textRotation="0" wrapText="1" indent="0" justifyLastLine="0" shrinkToFit="0" readingOrder="0"/>
    </dxf>
    <dxf>
      <font>
        <b/>
        <i val="0"/>
        <strike val="0"/>
        <condense val="0"/>
        <extend val="0"/>
        <outline val="0"/>
        <shadow val="0"/>
        <u val="none"/>
        <vertAlign val="baseline"/>
        <sz val="10"/>
        <color rgb="FF000000"/>
        <name val="Arial"/>
        <family val="2"/>
        <scheme val="none"/>
      </font>
      <numFmt numFmtId="8" formatCode="#,##0.00_);[Red]\(#,##0.00\)"/>
      <fill>
        <patternFill patternType="solid">
          <fgColor indexed="64"/>
          <bgColor theme="4" tint="0.79998168889431442"/>
        </patternFill>
      </fill>
    </dxf>
    <dxf>
      <font>
        <b/>
        <i val="0"/>
        <strike val="0"/>
        <condense val="0"/>
        <extend val="0"/>
        <outline val="0"/>
        <shadow val="0"/>
        <u val="none"/>
        <vertAlign val="baseline"/>
        <sz val="10"/>
        <color theme="1"/>
        <name val="Calibri"/>
        <family val="2"/>
        <scheme val="minor"/>
      </font>
      <numFmt numFmtId="8" formatCode="#,##0.00_);[Red]\(#,##0.00\)"/>
      <fill>
        <patternFill patternType="none">
          <fgColor indexed="64"/>
          <bgColor indexed="65"/>
        </patternFill>
      </fill>
    </dxf>
    <dxf>
      <font>
        <b/>
        <i val="0"/>
        <strike val="0"/>
        <condense val="0"/>
        <extend val="0"/>
        <outline val="0"/>
        <shadow val="0"/>
        <u val="none"/>
        <vertAlign val="baseline"/>
        <sz val="9"/>
        <color rgb="FF000000"/>
        <name val="Arial"/>
        <family val="2"/>
        <scheme val="none"/>
      </font>
      <numFmt numFmtId="8" formatCode="#,##0.00_);[Red]\(#,##0.00\)"/>
      <fill>
        <patternFill patternType="solid">
          <fgColor indexed="64"/>
          <bgColor theme="4" tint="0.79998168889431442"/>
        </patternFill>
      </fill>
    </dxf>
    <dxf>
      <font>
        <b/>
        <i val="0"/>
        <strike val="0"/>
        <condense val="0"/>
        <extend val="0"/>
        <outline val="0"/>
        <shadow val="0"/>
        <u val="none"/>
        <vertAlign val="baseline"/>
        <sz val="10"/>
        <color rgb="FF000000"/>
        <name val="Calibri"/>
        <family val="2"/>
        <scheme val="none"/>
      </font>
      <numFmt numFmtId="4" formatCode="#,##0.00"/>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8" formatCode="#,##0.00_);[Red]\(#,##0.00\)"/>
      <fill>
        <patternFill patternType="solid">
          <fgColor indexed="64"/>
          <bgColor theme="4" tint="0.79998168889431442"/>
        </patternFill>
      </fill>
    </dxf>
    <dxf>
      <font>
        <b val="0"/>
        <i val="0"/>
        <strike val="0"/>
        <condense val="0"/>
        <extend val="0"/>
        <outline val="0"/>
        <shadow val="0"/>
        <u val="none"/>
        <vertAlign val="baseline"/>
        <sz val="10"/>
        <color rgb="FF000000"/>
        <name val="Calibri"/>
        <family val="2"/>
        <scheme val="none"/>
      </font>
      <numFmt numFmtId="4" formatCode="#,##0.00"/>
      <fill>
        <patternFill patternType="solid">
          <fgColor indexed="64"/>
          <bgColor theme="4"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8" formatCode="#,##0.00_);[Red]\(#,##0.00\)"/>
    </dxf>
    <dxf>
      <font>
        <b val="0"/>
        <i val="0"/>
        <strike val="0"/>
        <condense val="0"/>
        <extend val="0"/>
        <outline val="0"/>
        <shadow val="0"/>
        <u val="none"/>
        <vertAlign val="baseline"/>
        <sz val="10"/>
        <color rgb="FF000000"/>
        <name val="Calibri"/>
        <family val="2"/>
        <scheme val="none"/>
      </font>
      <numFmt numFmtId="4" formatCode="#,##0.00"/>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8" formatCode="#,##0.00_);[Red]\(#,##0.00\)"/>
    </dxf>
    <dxf>
      <font>
        <b val="0"/>
        <i val="0"/>
        <strike val="0"/>
        <condense val="0"/>
        <extend val="0"/>
        <outline val="0"/>
        <shadow val="0"/>
        <u val="none"/>
        <vertAlign val="baseline"/>
        <sz val="10"/>
        <color rgb="FF000000"/>
        <name val="Calibri"/>
        <family val="2"/>
        <scheme val="none"/>
      </font>
      <numFmt numFmtId="4" formatCode="#,##0.00"/>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8" formatCode="#,##0.00_);[Red]\(#,##0.00\)"/>
    </dxf>
    <dxf>
      <font>
        <b val="0"/>
        <i val="0"/>
        <strike val="0"/>
        <condense val="0"/>
        <extend val="0"/>
        <outline val="0"/>
        <shadow val="0"/>
        <u val="none"/>
        <vertAlign val="baseline"/>
        <sz val="10"/>
        <color rgb="FF000000"/>
        <name val="Calibri"/>
        <family val="2"/>
        <scheme val="none"/>
      </font>
      <numFmt numFmtId="4" formatCode="#,##0.00"/>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8" formatCode="#,##0.00_);[Red]\(#,##0.00\)"/>
    </dxf>
    <dxf>
      <font>
        <b val="0"/>
        <i val="0"/>
        <strike val="0"/>
        <condense val="0"/>
        <extend val="0"/>
        <outline val="0"/>
        <shadow val="0"/>
        <u val="none"/>
        <vertAlign val="baseline"/>
        <sz val="10"/>
        <color rgb="FF000000"/>
        <name val="Calibri"/>
        <family val="2"/>
        <scheme val="none"/>
      </font>
      <numFmt numFmtId="4" formatCode="#,##0.00"/>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dxf>
    <dxf>
      <font>
        <b val="0"/>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dxf>
    <dxf>
      <font>
        <b/>
        <i val="0"/>
        <strike val="0"/>
        <condense val="0"/>
        <extend val="0"/>
        <outline val="0"/>
        <shadow val="0"/>
        <u val="none"/>
        <vertAlign val="baseline"/>
        <sz val="9"/>
        <color rgb="FF000000"/>
        <name val="Arial"/>
        <family val="2"/>
        <scheme val="none"/>
      </font>
      <alignment horizontal="center" vertical="bottom" textRotation="0" wrapText="0" indent="0" justifyLastLine="0" shrinkToFit="0" readingOrder="0"/>
    </dxf>
    <dxf>
      <font>
        <b/>
        <i val="0"/>
        <strike val="0"/>
        <condense val="0"/>
        <extend val="0"/>
        <outline val="0"/>
        <shadow val="0"/>
        <u val="none"/>
        <vertAlign val="baseline"/>
        <sz val="10"/>
        <color rgb="FF000000"/>
        <name val="Calibri"/>
        <family val="2"/>
        <scheme val="none"/>
      </font>
      <numFmt numFmtId="8" formatCode="#,##0.00_);[Red]\(#,##0.00\)"/>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fill>
        <patternFill patternType="solid">
          <fgColor indexed="64"/>
          <bgColor theme="3" tint="0.79998168889431442"/>
        </patternFill>
      </fill>
    </dxf>
    <dxf>
      <font>
        <b val="0"/>
        <i val="0"/>
        <strike val="0"/>
        <condense val="0"/>
        <extend val="0"/>
        <outline val="0"/>
        <shadow val="0"/>
        <u val="none"/>
        <vertAlign val="baseline"/>
        <sz val="10"/>
        <color rgb="FF000000"/>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dxf>
    <dxf>
      <font>
        <b val="0"/>
        <i val="0"/>
        <strike val="0"/>
        <condense val="0"/>
        <extend val="0"/>
        <outline val="0"/>
        <shadow val="0"/>
        <u val="none"/>
        <vertAlign val="baseline"/>
        <sz val="10"/>
        <color rgb="FF000000"/>
        <name val="Calibri"/>
        <family val="2"/>
        <scheme val="none"/>
      </font>
      <alignment horizontal="general" vertical="top" textRotation="0" wrapText="0" indent="0" justifyLastLine="0" shrinkToFit="0" readingOrder="0"/>
    </dxf>
    <dxf>
      <font>
        <b val="0"/>
        <i val="0"/>
        <strike val="0"/>
        <condense val="0"/>
        <extend val="0"/>
        <outline val="0"/>
        <shadow val="0"/>
        <u val="none"/>
        <vertAlign val="baseline"/>
        <sz val="9"/>
        <color rgb="FF000000"/>
        <name val="Arial"/>
        <family val="2"/>
        <scheme val="none"/>
      </font>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8"/>
        <color rgb="FF000000"/>
        <name val="Arial"/>
        <family val="2"/>
        <scheme val="none"/>
      </font>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9"/>
        <color rgb="FF0070C0"/>
        <name val="Calibri"/>
        <family val="2"/>
        <scheme val="minor"/>
      </font>
    </dxf>
    <dxf>
      <font>
        <b/>
        <i val="0"/>
        <strike val="0"/>
        <condense val="0"/>
        <extend val="0"/>
        <outline val="0"/>
        <shadow val="0"/>
        <u val="none"/>
        <vertAlign val="baseline"/>
        <sz val="9"/>
        <color rgb="FF0070C0"/>
        <name val="Calibri"/>
        <scheme val="minor"/>
      </font>
      <numFmt numFmtId="0" formatCode="General"/>
    </dxf>
    <dxf>
      <font>
        <b/>
        <i val="0"/>
        <strike val="0"/>
        <condense val="0"/>
        <extend val="0"/>
        <outline val="0"/>
        <shadow val="0"/>
        <u val="none"/>
        <vertAlign val="baseline"/>
        <sz val="12"/>
        <color rgb="FF0070C0"/>
        <name val="Calibri"/>
        <family val="2"/>
        <scheme val="minor"/>
      </font>
    </dxf>
    <dxf>
      <font>
        <b/>
        <i val="0"/>
        <strike val="0"/>
        <condense val="0"/>
        <extend val="0"/>
        <outline val="0"/>
        <shadow val="0"/>
        <u val="none"/>
        <vertAlign val="baseline"/>
        <sz val="9"/>
        <color rgb="FF0070C0"/>
        <name val="Calibri"/>
        <scheme val="minor"/>
      </font>
    </dxf>
    <dxf>
      <font>
        <strike val="0"/>
        <outline val="0"/>
        <shadow val="0"/>
        <u val="none"/>
        <vertAlign val="baseline"/>
        <name val="Calibri"/>
        <scheme val="minor"/>
      </font>
    </dxf>
    <dxf>
      <font>
        <b/>
        <i val="0"/>
        <strike val="0"/>
        <condense val="0"/>
        <extend val="0"/>
        <outline val="0"/>
        <shadow val="0"/>
        <u val="none"/>
        <vertAlign val="baseline"/>
        <sz val="9"/>
        <color rgb="FF000000"/>
        <name val="Calibri"/>
        <family val="2"/>
        <scheme val="minor"/>
      </font>
      <numFmt numFmtId="8" formatCode="#,##0.00_);[Red]\(#,##0.00\)"/>
    </dxf>
    <dxf>
      <font>
        <b val="0"/>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family val="2"/>
        <scheme val="minor"/>
      </font>
      <numFmt numFmtId="8" formatCode="#,##0.00_);[Red]\(#,##0.00\)"/>
    </dxf>
    <dxf>
      <font>
        <b/>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family val="2"/>
        <scheme val="minor"/>
      </font>
      <numFmt numFmtId="8" formatCode="#,##0.00_);[Red]\(#,##0.00\)"/>
    </dxf>
    <dxf>
      <font>
        <b val="0"/>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family val="2"/>
        <scheme val="minor"/>
      </font>
      <numFmt numFmtId="8" formatCode="#,##0.00_);[Red]\(#,##0.00\)"/>
    </dxf>
    <dxf>
      <font>
        <b val="0"/>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family val="2"/>
        <scheme val="minor"/>
      </font>
      <numFmt numFmtId="8" formatCode="#,##0.00_);[Red]\(#,##0.00\)"/>
    </dxf>
    <dxf>
      <font>
        <b val="0"/>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family val="2"/>
        <scheme val="minor"/>
      </font>
      <numFmt numFmtId="8" formatCode="#,##0.00_);[Red]\(#,##0.00\)"/>
    </dxf>
    <dxf>
      <font>
        <b val="0"/>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family val="2"/>
        <scheme val="minor"/>
      </font>
      <numFmt numFmtId="8" formatCode="#,##0.00_);[Red]\(#,##0.00\)"/>
    </dxf>
    <dxf>
      <font>
        <b val="0"/>
        <i val="0"/>
        <strike val="0"/>
        <condense val="0"/>
        <extend val="0"/>
        <outline val="0"/>
        <shadow val="0"/>
        <u val="none"/>
        <vertAlign val="baseline"/>
        <sz val="9"/>
        <color rgb="FF000000"/>
        <name val="Calibri"/>
        <scheme val="minor"/>
      </font>
      <numFmt numFmtId="8" formatCode="#,##0.00_);[Red]\(#,##0.00\)"/>
    </dxf>
    <dxf>
      <font>
        <b val="0"/>
        <i val="0"/>
        <strike val="0"/>
        <condense val="0"/>
        <extend val="0"/>
        <outline val="0"/>
        <shadow val="0"/>
        <u val="none"/>
        <vertAlign val="baseline"/>
        <sz val="9"/>
        <color rgb="FF000000"/>
        <name val="Calibri"/>
        <family val="2"/>
        <scheme val="minor"/>
      </font>
    </dxf>
    <dxf>
      <font>
        <b val="0"/>
        <i val="0"/>
        <strike val="0"/>
        <condense val="0"/>
        <extend val="0"/>
        <outline val="0"/>
        <shadow val="0"/>
        <u val="none"/>
        <vertAlign val="baseline"/>
        <sz val="9"/>
        <color rgb="FF000000"/>
        <name val="Calibri"/>
        <scheme val="minor"/>
      </font>
    </dxf>
    <dxf>
      <font>
        <b val="0"/>
        <i val="0"/>
        <strike val="0"/>
        <condense val="0"/>
        <extend val="0"/>
        <outline val="0"/>
        <shadow val="0"/>
        <u val="none"/>
        <vertAlign val="baseline"/>
        <sz val="9"/>
        <color rgb="FF000000"/>
        <name val="Calibri"/>
        <family val="2"/>
        <scheme val="minor"/>
      </font>
      <numFmt numFmtId="8" formatCode="#,##0.00_);[Red]\(#,##0.00\)"/>
      <alignment horizontal="center" vertical="bottom" textRotation="0" wrapText="0" indent="0" justifyLastLine="0" shrinkToFit="0" readingOrder="0"/>
    </dxf>
    <dxf>
      <numFmt numFmtId="8" formatCode="#,##0.00_);[Red]\(#,##0.00\)"/>
    </dxf>
    <dxf>
      <font>
        <b val="0"/>
        <i val="0"/>
        <strike val="0"/>
        <condense val="0"/>
        <extend val="0"/>
        <outline val="0"/>
        <shadow val="0"/>
        <u val="none"/>
        <vertAlign val="baseline"/>
        <sz val="8"/>
        <color rgb="FF000000"/>
        <name val="Arial"/>
        <family val="2"/>
        <scheme val="none"/>
      </font>
      <fill>
        <patternFill patternType="solid">
          <fgColor indexed="64"/>
          <bgColor theme="0"/>
        </patternFill>
      </fill>
    </dxf>
    <dxf>
      <font>
        <b val="0"/>
        <i val="0"/>
        <strike val="0"/>
        <condense val="0"/>
        <extend val="0"/>
        <outline val="0"/>
        <shadow val="0"/>
        <u val="none"/>
        <vertAlign val="baseline"/>
        <sz val="8"/>
        <color rgb="FF000000"/>
        <name val="Arial"/>
        <scheme val="none"/>
      </font>
      <fill>
        <patternFill patternType="solid">
          <fgColor indexed="64"/>
          <bgColor theme="0"/>
        </patternFill>
      </fill>
    </dxf>
    <dxf>
      <font>
        <b val="0"/>
        <i val="0"/>
        <strike val="0"/>
        <condense val="0"/>
        <extend val="0"/>
        <outline val="0"/>
        <shadow val="0"/>
        <u val="none"/>
        <vertAlign val="baseline"/>
        <sz val="8"/>
        <color rgb="FF000000"/>
        <name val="Arial"/>
        <family val="2"/>
        <scheme val="none"/>
      </font>
      <fill>
        <patternFill patternType="solid">
          <fgColor indexed="64"/>
          <bgColor theme="0"/>
        </patternFill>
      </fill>
    </dxf>
    <dxf>
      <font>
        <b val="0"/>
        <i val="0"/>
        <strike val="0"/>
        <condense val="0"/>
        <extend val="0"/>
        <outline val="0"/>
        <shadow val="0"/>
        <u val="none"/>
        <vertAlign val="baseline"/>
        <sz val="8"/>
        <color rgb="FF000000"/>
        <name val="Arial"/>
        <scheme val="none"/>
      </font>
      <fill>
        <patternFill patternType="solid">
          <fgColor indexed="64"/>
          <bgColor theme="0"/>
        </patternFill>
      </fill>
    </dxf>
    <dxf>
      <font>
        <b val="0"/>
        <i val="0"/>
        <strike val="0"/>
        <condense val="0"/>
        <extend val="0"/>
        <outline val="0"/>
        <shadow val="0"/>
        <u val="none"/>
        <vertAlign val="baseline"/>
        <sz val="11"/>
        <color rgb="FF000000"/>
        <name val="Calibri"/>
        <family val="2"/>
        <scheme val="minor"/>
      </font>
    </dxf>
    <dxf>
      <font>
        <b val="0"/>
        <i val="0"/>
        <strike val="0"/>
        <condense val="0"/>
        <extend val="0"/>
        <outline val="0"/>
        <shadow val="0"/>
        <u val="none"/>
        <vertAlign val="baseline"/>
        <sz val="9"/>
        <color rgb="FF000000"/>
        <name val="Calibri"/>
        <scheme val="minor"/>
      </font>
    </dxf>
    <dxf>
      <font>
        <b/>
        <i val="0"/>
        <strike val="0"/>
        <condense val="0"/>
        <extend val="0"/>
        <outline val="0"/>
        <shadow val="0"/>
        <u val="none"/>
        <vertAlign val="baseline"/>
        <sz val="9"/>
        <color theme="0"/>
        <name val="Calibri"/>
        <scheme val="minor"/>
      </font>
      <numFmt numFmtId="8" formatCode="#,##0.00_);[Red]\(#,##0.00\)"/>
      <fill>
        <patternFill patternType="solid">
          <fgColor indexed="64"/>
          <bgColor theme="4" tint="-0.249977111117893"/>
        </patternFill>
      </fill>
      <alignment horizontal="center" vertical="top" textRotation="0" wrapText="0" indent="0" justifyLastLine="0" shrinkToFit="0" readingOrder="0"/>
    </dxf>
    <dxf>
      <font>
        <b/>
        <i val="0"/>
        <strike val="0"/>
        <condense val="0"/>
        <extend val="0"/>
        <outline val="0"/>
        <shadow val="0"/>
        <u val="none"/>
        <vertAlign val="baseline"/>
        <sz val="10"/>
        <color rgb="FF000000"/>
        <name val="Calibri"/>
        <scheme val="minor"/>
      </font>
      <numFmt numFmtId="6" formatCode="#,##0_);[Red]\(#,##0\)"/>
      <border diagonalUp="0" diagonalDown="0" outline="0">
        <left/>
        <right style="medium">
          <color indexed="64"/>
        </right>
        <top/>
        <bottom/>
      </border>
    </dxf>
    <dxf>
      <font>
        <b/>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9"/>
        <color rgb="FF000000"/>
        <name val="Calibri"/>
        <scheme val="minor"/>
      </font>
      <numFmt numFmtId="8" formatCode="#,##0.00_);[Red]\(#,##0.00\)"/>
    </dxf>
    <dxf>
      <font>
        <b/>
        <i val="0"/>
        <strike val="0"/>
        <condense val="0"/>
        <extend val="0"/>
        <outline val="0"/>
        <shadow val="0"/>
        <u val="none"/>
        <vertAlign val="baseline"/>
        <sz val="10"/>
        <color rgb="FF000000"/>
        <name val="Calibri"/>
        <scheme val="minor"/>
      </font>
      <numFmt numFmtId="6" formatCode="#,##0_);[Red]\(#,##0\)"/>
      <border diagonalUp="0" diagonalDown="0" outline="0">
        <left style="thin">
          <color indexed="64"/>
        </left>
        <right/>
        <top/>
        <bottom/>
      </border>
    </dxf>
    <dxf>
      <font>
        <b/>
        <i val="0"/>
        <strike val="0"/>
        <condense val="0"/>
        <extend val="0"/>
        <outline val="0"/>
        <shadow val="0"/>
        <u val="none"/>
        <vertAlign val="baseline"/>
        <sz val="10"/>
        <color rgb="FF000000"/>
        <name val="Calibri"/>
        <scheme val="minor"/>
      </font>
    </dxf>
    <dxf>
      <font>
        <b/>
        <i val="0"/>
        <strike val="0"/>
        <condense val="0"/>
        <extend val="0"/>
        <outline val="0"/>
        <shadow val="0"/>
        <u val="none"/>
        <vertAlign val="baseline"/>
        <sz val="9"/>
        <color rgb="FF000000"/>
        <name val="Calibri"/>
        <scheme val="minor"/>
      </font>
      <alignment horizontal="center" vertical="bottom" textRotation="0" wrapText="0" indent="0" justifyLastLine="0" shrinkToFit="0" readingOrder="0"/>
      <border diagonalUp="0" diagonalDown="0">
        <left style="medium">
          <color indexed="64"/>
        </left>
        <right/>
        <top/>
        <bottom/>
        <vertical/>
        <horizontal/>
      </border>
    </dxf>
    <dxf>
      <border outline="0">
        <top style="thin">
          <color theme="4"/>
        </top>
      </border>
    </dxf>
    <dxf>
      <font>
        <b/>
        <i val="0"/>
        <strike val="0"/>
        <condense val="0"/>
        <extend val="0"/>
        <outline val="0"/>
        <shadow val="0"/>
        <u val="none"/>
        <vertAlign val="baseline"/>
        <sz val="9"/>
        <color theme="0"/>
        <name val="Calibri"/>
        <scheme val="minor"/>
      </font>
      <numFmt numFmtId="8" formatCode="#,##0.00_);[Red]\(#,##0.00\)"/>
      <fill>
        <patternFill patternType="solid">
          <fgColor indexed="64"/>
          <bgColor theme="4" tint="-0.249977111117893"/>
        </patternFill>
      </fill>
      <alignment horizontal="center" vertical="top" textRotation="0" wrapText="0" indent="0" justifyLastLine="0" shrinkToFit="0" readingOrder="0"/>
      <border diagonalUp="0" diagonalDown="0" outline="0">
        <left style="thin">
          <color theme="4"/>
        </left>
        <right style="thin">
          <color theme="4"/>
        </right>
        <top/>
        <bottom/>
      </border>
    </dxf>
    <dxf>
      <font>
        <b/>
        <i val="0"/>
        <strike val="0"/>
        <condense val="0"/>
        <extend val="0"/>
        <outline val="0"/>
        <shadow val="0"/>
        <u val="none"/>
        <vertAlign val="baseline"/>
        <sz val="10"/>
        <color indexed="8"/>
        <name val="Calibri"/>
        <family val="2"/>
        <scheme val="none"/>
      </font>
      <numFmt numFmtId="6" formatCode="#,##0_);[Red]\(#,##0\)"/>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9"/>
        <color indexed="8"/>
        <name val="Calibri"/>
        <scheme val="none"/>
      </font>
      <numFmt numFmtId="6" formatCode="#,##0_);[Red]\(#,##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indexed="8"/>
        <name val="Calibri"/>
        <family val="2"/>
        <scheme val="none"/>
      </font>
      <numFmt numFmtId="165" formatCode="#,##0.0"/>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indexed="8"/>
        <name val="Calibri"/>
        <family val="2"/>
        <scheme val="none"/>
      </font>
      <numFmt numFmtId="3" formatCode="#,##0"/>
      <alignment horizontal="general" vertical="center" textRotation="0" wrapText="0" indent="0" justifyLastLine="0" shrinkToFit="0" readingOrder="0"/>
      <border diagonalUp="0" diagonalDown="0" outline="0">
        <left style="thin">
          <color indexed="64"/>
        </left>
        <right/>
        <top/>
        <bottom/>
      </border>
    </dxf>
    <dxf>
      <font>
        <b/>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border diagonalUp="0" diagonalDown="0" outline="0">
        <left style="thin">
          <color indexed="64"/>
        </left>
        <right/>
        <top/>
        <bottom/>
      </border>
    </dxf>
    <dxf>
      <font>
        <b/>
        <i val="0"/>
        <strike val="0"/>
        <condense val="0"/>
        <extend val="0"/>
        <outline val="0"/>
        <shadow val="0"/>
        <u val="none"/>
        <vertAlign val="baseline"/>
        <sz val="10"/>
        <color indexed="9"/>
        <name val="Calibri"/>
        <family val="2"/>
        <scheme val="none"/>
      </font>
      <fill>
        <patternFill patternType="solid">
          <fgColor indexed="64"/>
          <bgColor indexed="30"/>
        </patternFill>
      </fill>
      <alignment horizontal="center" vertical="center" textRotation="0" wrapText="0" indent="0" justifyLastLine="0" shrinkToFit="0" readingOrder="0"/>
      <border diagonalUp="0" diagonalDown="0" outline="0">
        <left style="medium">
          <color indexed="64"/>
        </left>
        <right/>
        <top style="medium">
          <color indexed="64"/>
        </top>
        <bottom style="medium">
          <color indexed="64"/>
        </bottom>
      </border>
    </dxf>
    <dxf>
      <font>
        <b/>
        <i val="0"/>
        <strike val="0"/>
        <condense val="0"/>
        <extend val="0"/>
        <outline val="0"/>
        <shadow val="0"/>
        <u val="none"/>
        <vertAlign val="baseline"/>
        <sz val="9"/>
        <color indexed="8"/>
        <name val="Calibri"/>
        <scheme val="none"/>
      </font>
      <fill>
        <patternFill patternType="none">
          <fgColor indexed="64"/>
          <bgColor indexed="65"/>
        </patternFill>
      </fill>
      <alignment horizontal="general" vertical="center" textRotation="0" wrapText="0" indent="0" justifyLastLine="0" shrinkToFit="0" readingOrder="0"/>
    </dxf>
    <dxf>
      <font>
        <b/>
        <i val="0"/>
        <strike val="0"/>
        <condense val="0"/>
        <extend val="0"/>
        <outline val="0"/>
        <shadow val="0"/>
        <u val="none"/>
        <vertAlign val="baseline"/>
        <sz val="9"/>
        <color indexed="8"/>
        <name val="Calibri"/>
        <family val="2"/>
        <scheme val="none"/>
      </font>
      <fill>
        <patternFill patternType="solid">
          <fgColor indexed="64"/>
          <bgColor rgb="FF002060"/>
        </patternFill>
      </fill>
      <alignment horizontal="general" vertical="center" textRotation="0" wrapText="0" indent="0" justifyLastLine="0" shrinkToFit="0" readingOrder="0"/>
    </dxf>
    <dxf>
      <font>
        <b/>
        <i val="0"/>
        <strike val="0"/>
        <condense val="0"/>
        <extend val="0"/>
        <outline val="0"/>
        <shadow val="0"/>
        <u val="none"/>
        <vertAlign val="baseline"/>
        <sz val="9"/>
        <color indexed="8"/>
        <name val="Calibri"/>
        <scheme val="none"/>
      </font>
      <numFmt numFmtId="164" formatCode="000"/>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indexed="8"/>
        <name val="Calibri"/>
        <scheme val="none"/>
      </font>
      <numFmt numFmtId="3" formatCode="#,##0"/>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9"/>
        <color indexed="9"/>
        <name val="Arial"/>
        <scheme val="none"/>
      </font>
      <numFmt numFmtId="3" formatCode="#,##0"/>
      <fill>
        <patternFill patternType="solid">
          <fgColor indexed="64"/>
          <bgColor indexed="30"/>
        </patternFill>
      </fill>
      <alignment horizontal="general" vertical="top" textRotation="0" wrapText="1" indent="0" justifyLastLine="0" shrinkToFit="0" readingOrder="0"/>
    </dxf>
  </dxfs>
  <tableStyles count="0" defaultTableStyle="TableStyleMedium2" defaultPivotStyle="PivotStyleLight16"/>
  <colors>
    <mruColors>
      <color rgb="FFFF9933"/>
      <color rgb="FFFF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microsoft.com/office/2017/10/relationships/person" Target="persons/person.xml"/><Relationship Id="rId21" Type="http://schemas.openxmlformats.org/officeDocument/2006/relationships/externalLink" Target="externalLinks/externalLink14.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ustomXml" Target="../customXml/item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calcChain" Target="calcChain.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cid:23906bff-b6e1-4cfd-9ef5-5d5cd1033ed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173183</xdr:colOff>
      <xdr:row>0</xdr:row>
      <xdr:rowOff>69273</xdr:rowOff>
    </xdr:from>
    <xdr:to>
      <xdr:col>16</xdr:col>
      <xdr:colOff>432955</xdr:colOff>
      <xdr:row>2</xdr:row>
      <xdr:rowOff>258338</xdr:rowOff>
    </xdr:to>
    <xdr:pic>
      <xdr:nvPicPr>
        <xdr:cNvPr id="2" name="Picture 1">
          <a:extLst>
            <a:ext uri="{FF2B5EF4-FFF2-40B4-BE49-F238E27FC236}">
              <a16:creationId xmlns:a16="http://schemas.microsoft.com/office/drawing/2014/main" id="{86FDFDB0-2880-4784-94A0-BA0882BA2E31}"/>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1050733" y="69273"/>
          <a:ext cx="926522" cy="652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173183</xdr:colOff>
      <xdr:row>0</xdr:row>
      <xdr:rowOff>69273</xdr:rowOff>
    </xdr:from>
    <xdr:to>
      <xdr:col>16</xdr:col>
      <xdr:colOff>432955</xdr:colOff>
      <xdr:row>2</xdr:row>
      <xdr:rowOff>258338</xdr:rowOff>
    </xdr:to>
    <xdr:pic>
      <xdr:nvPicPr>
        <xdr:cNvPr id="3" name="Picture 2">
          <a:extLst>
            <a:ext uri="{FF2B5EF4-FFF2-40B4-BE49-F238E27FC236}">
              <a16:creationId xmlns:a16="http://schemas.microsoft.com/office/drawing/2014/main" id="{37EA690C-4225-4838-A8F8-F56A8CC147B4}"/>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584008" y="69273"/>
          <a:ext cx="897947" cy="655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lene/Documents/Connecticut/Budget%20FY%2016/School%20Org_FY16%20Workbooks_AFTER%20WEBINAR/FY16_School%20Workbook_JOHNS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ridgeportedunet.sharepoint.com/Users/Marlene/Documents/Connecticut/Budget%20FY%2016/School%20Org_FY16%20Workbooks_AFTER%20WEBINAR/FY16_School%20Workbook_JOHNS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oefile\staff\Connecticut\Commissioner's%20District\Curiale\2015-16\Curiale_DRAFT+2015-16+Planning+and+Budget+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ridgeportedunet.sharepoint.com/Users/msiegel/OneDrive%20-%20Bridgeport%20Public%20Schools/Connecticut/Budget%20FY%2020/Budget%20Plan_FY%2020/FY20_BUDGET_PLAN_INITIAL_V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ptps.net\fileshares\Users\MJSDI\Documents\Connecticut\Budget%20FY%2020\Budget%20Plan_FY%2020\FY20_BUDGET_PLAN_INITIAL_V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bridgeportedunet.sharepoint.com/Users/MJSDI/Documents/Connecticut/Budget%20FY%2020/Budget%20Plan_FY%2020/FY20_BUDGET_PLAN_INITIAL_V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oefile\staff\Users\Marlene\Documents\Connecticut\Budget%20FY%2015\School%20Allocations\Allocation_Model_2014-15_PROTOTYPE_4-1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Connecticut/Budget%20FY%2015/School%20Org%20WORKBOOKS%20-%20AFTER%20WEBINAR(1)/FY%2015_School%20Workbook_WALTERSVILLE_4-14-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bridgeportedunet.sharepoint.com/Connecticut/Budget%20FY%2015/School%20Org%20WORKBOOKS%20-%20AFTER%20WEBINAR(1)/FY%2015_School%20Workbook_WALTERSVILLE_4-14-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coadminshare/Msiegel/Docs/Connecticut/Budget%20FY%2018/School%20Allocations/Allocation_Model__2017-18___V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bridgeportedunet.sharepoint.com/coadminshare/Msiegel/Docs/Connecticut/Budget%20FY%2018/School%20Allocations/Allocation_Model__2017-18___V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Users/Marlene/Documents/Connecticut/Parent%20Involvement/Parent%20Involvement%20Toolkit/Par_Inv_Budget_Elem%20&amp;%20HS_Title%20I%20&amp;%20Priority_TOOLKIT_FY15_.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ridgeportedunet.sharepoint.com/Users/Marlene/Documents/Connecticut/Parent%20Involvement/Parent%20Involvement%20Toolkit/Par_Inv_Budget_Elem%20&amp;%20HS_Title%20I%20&amp;%20Priority_TOOLKIT_FY15_.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Users/Marlene/Documents/Connecticut/Summer%20School/Payroll%20Forms_Directions/Program_Site_Employee_Roster_FINAL_PRO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ridgeportedunet.sharepoint.com/Users/Marlene/Documents/Connecticut/Summer%20School/Payroll%20Forms_Directions/Program_Site_Employee_Roster_FINAL_PRO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boefile\staff\Users\Marlene\Documents\Connecticut\Budget%20FY%2015\School%20Allocations\Allocation_Model_2014-15_PROTOTYPE_2-11-1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Users/Marlene/AppData/Local/Microsoft/Windows/INetCache/IE/HSJRJ2YC/School%20Org%20WORKBOOKS%20-%20AFTER%20WEBINAR/FY%2015_School%20Workbook_READ_3-28-1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bridgeportedunet.sharepoint.com/Users/Marlene/AppData/Local/Microsoft/Windows/INetCache/IE/HSJRJ2YC/School%20Org%20WORKBOOKS%20-%20AFTER%20WEBINAR/FY%2015_School%20Workbook_READ_3-28-1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Users/Marlene/Documents/Connecticut/Human%20Resources/Forms/HR_Employee_Placements_Tracker_v1_3-28-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ridgeportedunet.sharepoint.com/Users/Marlene/Documents/Connecticut/Human%20Resources/Forms/HR_Employee_Placements_Tracker_v1_3-28-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Users/Marlene/AppData/Local/Microsoft/Windows/INetCache/IE/HSJRJ2YC/School%20Org%20WORKBOOKS%20-%20AFTER%20WEBINAR/FY_15_School_Workbook_DISCOVERY_3-31-1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bridgeportedunet.sharepoint.com/Users/Marlene/AppData/Local/Microsoft/Windows/INetCache/IE/HSJRJ2YC/School%20Org%20WORKBOOKS%20-%20AFTER%20WEBINAR/FY_15_School_Workbook_DISCOVERY_3-31-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Users/Marlene/Documents/Connecticut/Budget%20FY%2017/School%20Org_FY17%20Workbooks_AFTER%20WEBINAR/FY17_School%20Workbook_BARNUM_4-1-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bridgeportedunet.sharepoint.com/Users/Marlene/Documents/Connecticut/Budget%20FY%2017/School%20Org_FY17%20Workbooks_AFTER%20WEBINAR/FY17_School%20Workbook_BARNUM_4-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HNSON"/>
      <sheetName val="JOHNSON_ORG"/>
      <sheetName val="Johnson_Staff"/>
      <sheetName val="MENU"/>
    </sheetNames>
    <sheetDataSet>
      <sheetData sheetId="0" refreshError="1"/>
      <sheetData sheetId="1" refreshError="1"/>
      <sheetData sheetId="2" refreshError="1"/>
      <sheetData sheetId="3">
        <row r="19">
          <cell r="A19" t="str">
            <v>Art</v>
          </cell>
        </row>
        <row r="20">
          <cell r="A20" t="str">
            <v>Bilingual</v>
          </cell>
        </row>
        <row r="21">
          <cell r="A21" t="str">
            <v>Computer Literacy</v>
          </cell>
        </row>
        <row r="22">
          <cell r="A22" t="str">
            <v>Dance</v>
          </cell>
        </row>
        <row r="23">
          <cell r="A23" t="str">
            <v>ELA</v>
          </cell>
        </row>
        <row r="24">
          <cell r="A24" t="str">
            <v>Library/Media</v>
          </cell>
        </row>
        <row r="25">
          <cell r="A25" t="str">
            <v>Music</v>
          </cell>
        </row>
        <row r="26">
          <cell r="A26" t="str">
            <v>PE</v>
          </cell>
        </row>
        <row r="27">
          <cell r="A27" t="str">
            <v>Science</v>
          </cell>
        </row>
        <row r="28">
          <cell r="A28" t="str">
            <v>Social Studies</v>
          </cell>
        </row>
        <row r="29">
          <cell r="A29" t="str">
            <v>Spanish</v>
          </cell>
        </row>
        <row r="30">
          <cell r="A30" t="str">
            <v>SRBI/Literacy</v>
          </cell>
        </row>
        <row r="31">
          <cell r="A31" t="str">
            <v>SRBI/Mathematics</v>
          </cell>
        </row>
        <row r="32">
          <cell r="A32" t="str">
            <v>Technology</v>
          </cell>
        </row>
        <row r="33">
          <cell r="A33" t="str">
            <v>Theatre/Drama</v>
          </cell>
        </row>
        <row r="34">
          <cell r="A34" t="str">
            <v>Visual Arts</v>
          </cell>
        </row>
        <row r="35">
          <cell r="A35" t="str">
            <v>World Languages</v>
          </cell>
        </row>
        <row r="36">
          <cell r="A36" t="str">
            <v>Writing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HNSON"/>
      <sheetName val="JOHNSON_ORG"/>
      <sheetName val="Johnson_Staff"/>
      <sheetName val="MENU"/>
    </sheetNames>
    <sheetDataSet>
      <sheetData sheetId="0" refreshError="1"/>
      <sheetData sheetId="1" refreshError="1"/>
      <sheetData sheetId="2" refreshError="1"/>
      <sheetData sheetId="3">
        <row r="19">
          <cell r="A19" t="str">
            <v>Art</v>
          </cell>
        </row>
        <row r="20">
          <cell r="A20" t="str">
            <v>Bilingual</v>
          </cell>
        </row>
        <row r="21">
          <cell r="A21" t="str">
            <v>Computer Literacy</v>
          </cell>
        </row>
        <row r="22">
          <cell r="A22" t="str">
            <v>Dance</v>
          </cell>
        </row>
        <row r="23">
          <cell r="A23" t="str">
            <v>ELA</v>
          </cell>
        </row>
        <row r="24">
          <cell r="A24" t="str">
            <v>Library/Media</v>
          </cell>
        </row>
        <row r="25">
          <cell r="A25" t="str">
            <v>Music</v>
          </cell>
        </row>
        <row r="26">
          <cell r="A26" t="str">
            <v>PE</v>
          </cell>
        </row>
        <row r="27">
          <cell r="A27" t="str">
            <v>Science</v>
          </cell>
        </row>
        <row r="28">
          <cell r="A28" t="str">
            <v>Social Studies</v>
          </cell>
        </row>
        <row r="29">
          <cell r="A29" t="str">
            <v>Spanish</v>
          </cell>
        </row>
        <row r="30">
          <cell r="A30" t="str">
            <v>SRBI/Literacy</v>
          </cell>
        </row>
        <row r="31">
          <cell r="A31" t="str">
            <v>SRBI/Mathematics</v>
          </cell>
        </row>
        <row r="32">
          <cell r="A32" t="str">
            <v>Technology</v>
          </cell>
        </row>
        <row r="33">
          <cell r="A33" t="str">
            <v>Theatre/Drama</v>
          </cell>
        </row>
        <row r="34">
          <cell r="A34" t="str">
            <v>Visual Arts</v>
          </cell>
        </row>
        <row r="35">
          <cell r="A35" t="str">
            <v>World Languages</v>
          </cell>
        </row>
        <row r="36">
          <cell r="A36" t="str">
            <v>Writing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chool Information"/>
      <sheetName val="2. 2015-16 Priorities"/>
      <sheetName val="3. FY16 Network Budget"/>
      <sheetName val="4. FY16 Bond Request"/>
      <sheetName val="FY16_CN_CURIALE 16059"/>
      <sheetName val="Sheet1"/>
    </sheetNames>
    <sheetDataSet>
      <sheetData sheetId="0"/>
      <sheetData sheetId="1"/>
      <sheetData sheetId="2"/>
      <sheetData sheetId="3"/>
      <sheetData sheetId="4"/>
      <sheetData sheetId="5">
        <row r="3">
          <cell r="B3" t="str">
            <v>1 - Needs Improvement</v>
          </cell>
        </row>
        <row r="4">
          <cell r="B4" t="str">
            <v>2 - Developing</v>
          </cell>
        </row>
        <row r="5">
          <cell r="B5" t="str">
            <v>3 - Proficient</v>
          </cell>
        </row>
        <row r="6">
          <cell r="B6" t="str">
            <v>4 - Exemplary</v>
          </cell>
        </row>
        <row r="7">
          <cell r="B7" t="str">
            <v>Blank</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re Points"/>
      <sheetName val="TR COUNT"/>
      <sheetName val="1 Oper Budget Approp"/>
      <sheetName val="2 OPBUD_COMP_2 YR"/>
      <sheetName val="3 OPBUD PLAN_FY20"/>
      <sheetName val="4 OPBUD_FY19_OLD"/>
      <sheetName val="4 OPBUD_Detail_FY19"/>
      <sheetName val="12_12_18"/>
      <sheetName val="4 OPBUD_FY19"/>
      <sheetName val="SchLocTable"/>
      <sheetName val="FY19_ALLIANCE_19058"/>
      <sheetName val="FY20_ALLIANCE_20058"/>
      <sheetName val="ISF_Retirees"/>
      <sheetName val="HR"/>
      <sheetName val="Security"/>
      <sheetName val="IT_2019-20"/>
      <sheetName val="FY20_FACILITIES_UTILITI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re Points"/>
      <sheetName val="TR COUNT"/>
      <sheetName val="1 Oper Budget Approp"/>
      <sheetName val="2 OPBUD_COMP_2 YR"/>
      <sheetName val="3 OPBUD PLAN_FY20"/>
      <sheetName val="4 OPBUD_FY19"/>
      <sheetName val="4 OPBUD_FY19_OLD"/>
      <sheetName val="SchLocTable"/>
      <sheetName val="FY19_ALLIANCE_19058"/>
      <sheetName val="FY18_ALLIANCE_18058"/>
      <sheetName val="ISF_Retirees"/>
      <sheetName val="HR"/>
      <sheetName val="Security"/>
      <sheetName val="IT_2018-19"/>
      <sheetName val="FY19_Adult Educ"/>
      <sheetName val="FY19_FACILITIES_UTILITIES"/>
      <sheetName val="FY20_BUDGET_PLAN_INITIAL_V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re Points"/>
      <sheetName val="TR COUNT"/>
      <sheetName val="1 Oper Budget Approp"/>
      <sheetName val="2 OPBUD_COMP_2 YR"/>
      <sheetName val="3 OPBUD PLAN_FY20"/>
      <sheetName val="4 OPBUD_FY19"/>
      <sheetName val="4 OPBUD_FY19_OLD"/>
      <sheetName val="SchLocTable"/>
      <sheetName val="FY19_ALLIANCE_19058"/>
      <sheetName val="FY18_ALLIANCE_18058"/>
      <sheetName val="ISF_Retirees"/>
      <sheetName val="HR"/>
      <sheetName val="Security"/>
      <sheetName val="IT_2018-19"/>
      <sheetName val="FY19_Adult Educ"/>
      <sheetName val="FY19_FACILITIES_UTILITIES"/>
      <sheetName val="FY20_BUDGET_PLAN_INITIAL_V3"/>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ING MODEL"/>
      <sheetName val="Supp Staff_ST TR_UI"/>
      <sheetName val="Reg-Elem"/>
      <sheetName val="Reg-HS"/>
      <sheetName val="Operating Alloc"/>
      <sheetName val="Par Inv Elem Title I"/>
      <sheetName val="Par Inv HS Priority"/>
      <sheetName val="Pos Alloc - ELEM"/>
      <sheetName val="Coach#2"/>
      <sheetName val="DELTA-T"/>
      <sheetName val="ELEM_Class Change"/>
      <sheetName val="FY 14 Classes"/>
      <sheetName val="Pos Alloc - HS"/>
      <sheetName val="SPED_SUPP Summary"/>
      <sheetName val="BLC"/>
      <sheetName val="BLC_ORG"/>
      <sheetName val="BARNUM"/>
      <sheetName val="Barnum_ORG"/>
      <sheetName val="BEARDSLEY"/>
      <sheetName val="Beardsley_ORG"/>
      <sheetName val="BLACKROCK"/>
      <sheetName val="BlackRock_ORG"/>
      <sheetName val="BLACKHAM"/>
      <sheetName val="Blackham_ORG"/>
      <sheetName val="BRYANT"/>
      <sheetName val="Bryant_ORG"/>
      <sheetName val="BATALLA"/>
      <sheetName val="Batalla_ORG"/>
      <sheetName val="CLASSICAL"/>
      <sheetName val="Classical_ORG"/>
      <sheetName val="COLUMBUS"/>
      <sheetName val="Columbus_ORG"/>
      <sheetName val="ColumbusAnnex"/>
      <sheetName val="ColumbusAnnex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CURIALE"/>
      <sheetName val="JamesCURIALE_Org"/>
      <sheetName val="JettieTISDALE"/>
      <sheetName val="JettieTISDALE_ORG"/>
      <sheetName val="JohnWINTHROP"/>
      <sheetName val="JohnWINTHROP_ORG"/>
      <sheetName val="MARIN"/>
      <sheetName val="Marin_ORG"/>
      <sheetName val="MADISON"/>
      <sheetName val="Madison_ORG"/>
      <sheetName val="MCM"/>
      <sheetName val="MCM_Org"/>
      <sheetName val="PCM"/>
      <sheetName val="PCM_Org"/>
      <sheetName val="PaulDUNBAR"/>
      <sheetName val="PaulDUNBAR_Org"/>
      <sheetName val="READ"/>
      <sheetName val="Read_Org"/>
      <sheetName val="ROOSEVELT"/>
      <sheetName val="Roosevelt_ORG"/>
      <sheetName val="SKANE"/>
      <sheetName val="Skane_ORG"/>
      <sheetName val="ThomasHOOKER"/>
      <sheetName val="ThomasHOOKER_ORG"/>
      <sheetName val="WALTERSVILLE"/>
      <sheetName val="Waltersville_ORG"/>
      <sheetName val="WilburCROSS"/>
      <sheetName val="WilburCROSS_ORG"/>
      <sheetName val="BASSICK"/>
      <sheetName val="Bassick_ORG"/>
      <sheetName val="CENTRAL"/>
      <sheetName val="Central_ORG"/>
      <sheetName val="HARDING"/>
      <sheetName val="Harding_ORG"/>
      <sheetName val="BMA"/>
      <sheetName val="BMA_ORG"/>
      <sheetName val="FWC Info Tech"/>
      <sheetName val="InfoTech_ORG"/>
      <sheetName val="FWC Zoo Sci"/>
      <sheetName val="Zoo Sci_ORG"/>
      <sheetName val="FWC Phy Sci"/>
      <sheetName val="Phy Sci_ORG"/>
      <sheetName val="AQUA"/>
      <sheetName val="AQUA_ORG"/>
      <sheetName val="LEGEND"/>
      <sheetName val="MENU"/>
    </sheetNames>
    <sheetDataSet>
      <sheetData sheetId="0"/>
      <sheetData sheetId="1"/>
      <sheetData sheetId="2">
        <row r="7">
          <cell r="BE7">
            <v>661</v>
          </cell>
        </row>
      </sheetData>
      <sheetData sheetId="3">
        <row r="10">
          <cell r="B10">
            <v>100</v>
          </cell>
        </row>
      </sheetData>
      <sheetData sheetId="4">
        <row r="5">
          <cell r="I5">
            <v>30</v>
          </cell>
        </row>
      </sheetData>
      <sheetData sheetId="5"/>
      <sheetData sheetId="6">
        <row r="7">
          <cell r="D7">
            <v>7</v>
          </cell>
        </row>
      </sheetData>
      <sheetData sheetId="7">
        <row r="10">
          <cell r="S10">
            <v>3</v>
          </cell>
        </row>
      </sheetData>
      <sheetData sheetId="8"/>
      <sheetData sheetId="9"/>
      <sheetData sheetId="10"/>
      <sheetData sheetId="11">
        <row r="10">
          <cell r="S10">
            <v>3</v>
          </cell>
        </row>
      </sheetData>
      <sheetData sheetId="12">
        <row r="12">
          <cell r="E12">
            <v>1</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7">
          <cell r="Q7">
            <v>1</v>
          </cell>
        </row>
      </sheetData>
      <sheetData sheetId="81"/>
      <sheetData sheetId="82"/>
      <sheetData sheetId="83"/>
      <sheetData sheetId="84"/>
      <sheetData sheetId="85"/>
      <sheetData sheetId="86"/>
      <sheetData sheetId="87"/>
      <sheetData sheetId="88"/>
      <sheetData sheetId="89"/>
      <sheetData sheetId="90"/>
      <sheetData sheetId="91">
        <row r="2">
          <cell r="A2" t="str">
            <v>Leave-LTS Coverage</v>
          </cell>
        </row>
        <row r="40">
          <cell r="A40" t="str">
            <v>ELA</v>
          </cell>
        </row>
        <row r="41">
          <cell r="A41" t="str">
            <v>Mathematics</v>
          </cell>
        </row>
        <row r="42">
          <cell r="A42" t="str">
            <v>Science</v>
          </cell>
        </row>
        <row r="43">
          <cell r="A43" t="str">
            <v>Social Studies</v>
          </cell>
        </row>
        <row r="44">
          <cell r="A44" t="str">
            <v>Spanish</v>
          </cell>
        </row>
        <row r="45">
          <cell r="A45">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TERSVILLE"/>
      <sheetName val="Waltersville_STAFF"/>
      <sheetName val="Waltersville_ORG"/>
      <sheetName val="MENU"/>
    </sheetNames>
    <sheetDataSet>
      <sheetData sheetId="0"/>
      <sheetData sheetId="1"/>
      <sheetData sheetId="2"/>
      <sheetData sheetId="3">
        <row r="15">
          <cell r="A15" t="str">
            <v>Art</v>
          </cell>
        </row>
        <row r="39">
          <cell r="A39" t="str">
            <v>ELA</v>
          </cell>
        </row>
        <row r="40">
          <cell r="A40" t="str">
            <v>Mathematics</v>
          </cell>
        </row>
        <row r="41">
          <cell r="A41" t="str">
            <v>Science</v>
          </cell>
        </row>
        <row r="42">
          <cell r="A42" t="str">
            <v>Social Studies</v>
          </cell>
        </row>
        <row r="43">
          <cell r="A43" t="str">
            <v>Spanish</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LTERSVILLE"/>
      <sheetName val="Waltersville_STAFF"/>
      <sheetName val="Waltersville_ORG"/>
      <sheetName val="MENU"/>
    </sheetNames>
    <sheetDataSet>
      <sheetData sheetId="0"/>
      <sheetData sheetId="1"/>
      <sheetData sheetId="2"/>
      <sheetData sheetId="3">
        <row r="15">
          <cell r="A15" t="str">
            <v>Art</v>
          </cell>
        </row>
        <row r="39">
          <cell r="A39" t="str">
            <v>ELA</v>
          </cell>
        </row>
        <row r="40">
          <cell r="A40" t="str">
            <v>Mathematics</v>
          </cell>
        </row>
        <row r="41">
          <cell r="A41" t="str">
            <v>Science</v>
          </cell>
        </row>
        <row r="42">
          <cell r="A42" t="str">
            <v>Social Studies</v>
          </cell>
        </row>
        <row r="43">
          <cell r="A43" t="str">
            <v>Spanish</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ING MODEL"/>
      <sheetName val="Univ Interns"/>
      <sheetName val="Reg-Elem"/>
      <sheetName val="Reg-ElemFY16"/>
      <sheetName val="Reg-Elem_DM"/>
      <sheetName val="Reg-HS"/>
      <sheetName val="Reg-HSFY16"/>
      <sheetName val="Reg-HS_DM"/>
      <sheetName val="Oper Alloc"/>
      <sheetName val="Par Inv Alloc"/>
      <sheetName val="Pos Alloc - ELEM"/>
      <sheetName val="Pos Alloc - HS"/>
      <sheetName val="ELEM_2016-17"/>
      <sheetName val="ELEM_2014-15"/>
      <sheetName val="ELEM_Class Change"/>
      <sheetName val="FY 14 Classes"/>
      <sheetName val="ELEM_Class ChangeFY16"/>
      <sheetName val="SPED_SUPP Summary"/>
      <sheetName val="MENU"/>
      <sheetName val="BLC"/>
      <sheetName val="BLC_ORG"/>
      <sheetName val="BARNUM"/>
      <sheetName val="Barnum_ORG"/>
      <sheetName val="BEARDSLEY"/>
      <sheetName val="BEARDSLEY_ORG"/>
      <sheetName val="BLACKROCK"/>
      <sheetName val="BLACKROCK_ORG"/>
      <sheetName val="BLACKHAM"/>
      <sheetName val="BLACKHAM_ORG"/>
      <sheetName val="BRYANT"/>
      <sheetName val="BRYANT_ORG"/>
      <sheetName val="BATALLA"/>
      <sheetName val="BATALLA_ORG"/>
      <sheetName val="CSMA"/>
      <sheetName val="CSMA_ORG"/>
      <sheetName val="COLUMBUS"/>
      <sheetName val="COLUMBUS_ORG"/>
      <sheetName val="CLAYTOR"/>
      <sheetName val="CLAYTOR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CURIALE"/>
      <sheetName val="JamesCURIALE_ORG"/>
      <sheetName val="JettieTISDALE"/>
      <sheetName val="JettieTISDALE_ORG"/>
      <sheetName val="JohnWINTHROP"/>
      <sheetName val="JohnWINTHROP_ORG"/>
      <sheetName val="MARIN"/>
      <sheetName val="MARIN_ORG"/>
      <sheetName val="MADISON"/>
      <sheetName val="MADISON_ORG"/>
      <sheetName val="MCM"/>
      <sheetName val="MCM_ORG"/>
      <sheetName val="PCM"/>
      <sheetName val="PCM_ORG"/>
      <sheetName val="PaulDUNBAR"/>
      <sheetName val="PaulDUNBAR_ORG"/>
      <sheetName val="READ"/>
      <sheetName val="READ_ORG"/>
      <sheetName val="ROOSEVELT"/>
      <sheetName val="ROOSEVELT_ORG"/>
      <sheetName val="SKANE"/>
      <sheetName val="SKANE_ORG"/>
      <sheetName val="ThomasHOOKER"/>
      <sheetName val="ThomasHOOKER_ORG"/>
      <sheetName val="WALTERSVILLE"/>
      <sheetName val="WALTERSVILLE_ORG"/>
      <sheetName val="WilburCROSS"/>
      <sheetName val="WilburCROSS_ORG"/>
      <sheetName val="BASSICK"/>
      <sheetName val="Bassick_ORG"/>
      <sheetName val="CENTRAL"/>
      <sheetName val="CENTRAL_ORG"/>
      <sheetName val="HARDING"/>
      <sheetName val="HARDING_ORG"/>
      <sheetName val="BMA"/>
      <sheetName val="BMA_ORG"/>
      <sheetName val="FCWInfoTech"/>
      <sheetName val="FCWINfoTech_ORG"/>
      <sheetName val="FCWZooSci"/>
      <sheetName val="FCWZooSci_ORG"/>
      <sheetName val="FCWPhySci"/>
      <sheetName val="FCWPhySci_ORG"/>
      <sheetName val="AQUA"/>
      <sheetName val="AQUA_ORG"/>
      <sheetName val="LEGEND"/>
    </sheetNames>
    <sheetDataSet>
      <sheetData sheetId="0"/>
      <sheetData sheetId="1"/>
      <sheetData sheetId="2">
        <row r="7">
          <cell r="BE7">
            <v>658</v>
          </cell>
        </row>
      </sheetData>
      <sheetData sheetId="3"/>
      <sheetData sheetId="4"/>
      <sheetData sheetId="5">
        <row r="7">
          <cell r="AE7">
            <v>1042</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Leave of Absence-One Year</v>
          </cell>
        </row>
        <row r="3">
          <cell r="A3" t="str">
            <v>New Alloc Position</v>
          </cell>
        </row>
        <row r="4">
          <cell r="A4" t="str">
            <v>Replace PEND CERT</v>
          </cell>
        </row>
        <row r="5">
          <cell r="A5" t="str">
            <v>Resignation</v>
          </cell>
        </row>
        <row r="6">
          <cell r="A6" t="str">
            <v>Retirement</v>
          </cell>
        </row>
        <row r="7">
          <cell r="A7" t="str">
            <v>Termination</v>
          </cell>
        </row>
        <row r="8">
          <cell r="A8" t="str">
            <v>Transfer-External</v>
          </cell>
        </row>
        <row r="9">
          <cell r="A9" t="str">
            <v>Transfer-Internal</v>
          </cell>
        </row>
        <row r="10">
          <cell r="A10" t="str">
            <v>Non-Renewal</v>
          </cell>
        </row>
        <row r="11">
          <cell r="A11" t="str">
            <v>Deceased</v>
          </cell>
        </row>
        <row r="12">
          <cell r="A12" t="str">
            <v>Excess</v>
          </cell>
        </row>
        <row r="13">
          <cell r="A13" t="str">
            <v>Other-Explain</v>
          </cell>
        </row>
        <row r="43">
          <cell r="A43" t="str">
            <v>ELA</v>
          </cell>
        </row>
        <row r="44">
          <cell r="A44" t="str">
            <v>Mathematics</v>
          </cell>
        </row>
        <row r="45">
          <cell r="A45" t="str">
            <v>Science</v>
          </cell>
        </row>
        <row r="46">
          <cell r="A46" t="str">
            <v>Social Studies</v>
          </cell>
        </row>
        <row r="47">
          <cell r="A47" t="str">
            <v>Spanish</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ING MODEL"/>
      <sheetName val="Univ Interns"/>
      <sheetName val="Reg-Elem"/>
      <sheetName val="Reg-ElemFY16"/>
      <sheetName val="Reg-Elem_DM"/>
      <sheetName val="Reg-HS"/>
      <sheetName val="Reg-HSFY16"/>
      <sheetName val="Reg-HS_DM"/>
      <sheetName val="Oper Alloc"/>
      <sheetName val="Par Inv Alloc"/>
      <sheetName val="Pos Alloc - ELEM"/>
      <sheetName val="Pos Alloc - HS"/>
      <sheetName val="ELEM_2016-17"/>
      <sheetName val="ELEM_2014-15"/>
      <sheetName val="ELEM_Class Change"/>
      <sheetName val="FY 14 Classes"/>
      <sheetName val="ELEM_Class ChangeFY16"/>
      <sheetName val="SPED_SUPP Summary"/>
      <sheetName val="MENU"/>
      <sheetName val="BLC"/>
      <sheetName val="BLC_ORG"/>
      <sheetName val="BARNUM"/>
      <sheetName val="Barnum_ORG"/>
      <sheetName val="BEARDSLEY"/>
      <sheetName val="BEARDSLEY_ORG"/>
      <sheetName val="BLACKROCK"/>
      <sheetName val="BLACKROCK_ORG"/>
      <sheetName val="BLACKHAM"/>
      <sheetName val="BLACKHAM_ORG"/>
      <sheetName val="BRYANT"/>
      <sheetName val="BRYANT_ORG"/>
      <sheetName val="BATALLA"/>
      <sheetName val="BATALLA_ORG"/>
      <sheetName val="CSMA"/>
      <sheetName val="CSMA_ORG"/>
      <sheetName val="COLUMBUS"/>
      <sheetName val="COLUMBUS_ORG"/>
      <sheetName val="CLAYTOR"/>
      <sheetName val="CLAYTOR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CURIALE"/>
      <sheetName val="JamesCURIALE_ORG"/>
      <sheetName val="JettieTISDALE"/>
      <sheetName val="JettieTISDALE_ORG"/>
      <sheetName val="JohnWINTHROP"/>
      <sheetName val="JohnWINTHROP_ORG"/>
      <sheetName val="MARIN"/>
      <sheetName val="MARIN_ORG"/>
      <sheetName val="MADISON"/>
      <sheetName val="MADISON_ORG"/>
      <sheetName val="MCM"/>
      <sheetName val="MCM_ORG"/>
      <sheetName val="PCM"/>
      <sheetName val="PCM_ORG"/>
      <sheetName val="PaulDUNBAR"/>
      <sheetName val="PaulDUNBAR_ORG"/>
      <sheetName val="READ"/>
      <sheetName val="READ_ORG"/>
      <sheetName val="ROOSEVELT"/>
      <sheetName val="ROOSEVELT_ORG"/>
      <sheetName val="SKANE"/>
      <sheetName val="SKANE_ORG"/>
      <sheetName val="ThomasHOOKER"/>
      <sheetName val="ThomasHOOKER_ORG"/>
      <sheetName val="WALTERSVILLE"/>
      <sheetName val="WALTERSVILLE_ORG"/>
      <sheetName val="WilburCROSS"/>
      <sheetName val="WilburCROSS_ORG"/>
      <sheetName val="BASSICK"/>
      <sheetName val="Bassick_ORG"/>
      <sheetName val="CENTRAL"/>
      <sheetName val="CENTRAL_ORG"/>
      <sheetName val="HARDING"/>
      <sheetName val="HARDING_ORG"/>
      <sheetName val="BMA"/>
      <sheetName val="BMA_ORG"/>
      <sheetName val="FCWInfoTech"/>
      <sheetName val="FCWINfoTech_ORG"/>
      <sheetName val="FCWZooSci"/>
      <sheetName val="FCWZooSci_ORG"/>
      <sheetName val="FCWPhySci"/>
      <sheetName val="FCWPhySci_ORG"/>
      <sheetName val="AQUA"/>
      <sheetName val="AQUA_ORG"/>
      <sheetName val="LEGEND"/>
    </sheetNames>
    <sheetDataSet>
      <sheetData sheetId="0"/>
      <sheetData sheetId="1"/>
      <sheetData sheetId="2">
        <row r="7">
          <cell r="BE7">
            <v>658</v>
          </cell>
        </row>
      </sheetData>
      <sheetData sheetId="3"/>
      <sheetData sheetId="4"/>
      <sheetData sheetId="5">
        <row r="7">
          <cell r="AE7">
            <v>1042</v>
          </cell>
        </row>
      </sheetData>
      <sheetData sheetId="6"/>
      <sheetData sheetId="7"/>
      <sheetData sheetId="8"/>
      <sheetData sheetId="9"/>
      <sheetData sheetId="10"/>
      <sheetData sheetId="11"/>
      <sheetData sheetId="12"/>
      <sheetData sheetId="13"/>
      <sheetData sheetId="14"/>
      <sheetData sheetId="15"/>
      <sheetData sheetId="16"/>
      <sheetData sheetId="17"/>
      <sheetData sheetId="18">
        <row r="2">
          <cell r="A2" t="str">
            <v>Leave of Absence-One Year</v>
          </cell>
        </row>
        <row r="3">
          <cell r="A3" t="str">
            <v>New Alloc Position</v>
          </cell>
        </row>
        <row r="4">
          <cell r="A4" t="str">
            <v>Replace PEND CERT</v>
          </cell>
        </row>
        <row r="5">
          <cell r="A5" t="str">
            <v>Resignation</v>
          </cell>
        </row>
        <row r="6">
          <cell r="A6" t="str">
            <v>Retirement</v>
          </cell>
        </row>
        <row r="7">
          <cell r="A7" t="str">
            <v>Termination</v>
          </cell>
        </row>
        <row r="8">
          <cell r="A8" t="str">
            <v>Transfer-External</v>
          </cell>
        </row>
        <row r="9">
          <cell r="A9" t="str">
            <v>Transfer-Internal</v>
          </cell>
        </row>
        <row r="10">
          <cell r="A10" t="str">
            <v>Non-Renewal</v>
          </cell>
        </row>
        <row r="11">
          <cell r="A11" t="str">
            <v>Deceased</v>
          </cell>
        </row>
        <row r="12">
          <cell r="A12" t="str">
            <v>Excess</v>
          </cell>
        </row>
        <row r="13">
          <cell r="A13" t="str">
            <v>Other-Explain</v>
          </cell>
        </row>
        <row r="43">
          <cell r="A43" t="str">
            <v>ELA</v>
          </cell>
        </row>
        <row r="44">
          <cell r="A44" t="str">
            <v>Mathematics</v>
          </cell>
        </row>
        <row r="45">
          <cell r="A45" t="str">
            <v>Science</v>
          </cell>
        </row>
        <row r="46">
          <cell r="A46" t="str">
            <v>Social Studies</v>
          </cell>
        </row>
        <row r="47">
          <cell r="A47" t="str">
            <v>Spanish</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1 Allocations"/>
      <sheetName val="2 Guidelines"/>
      <sheetName val="3 Budget Plan"/>
      <sheetName val="MENU"/>
      <sheetName val="4 Budget Transfer"/>
      <sheetName val="5 Purchasing Rules"/>
      <sheetName val="6A Order Form_TITLE I"/>
      <sheetName val="6B Order Form_PRIORITY"/>
      <sheetName val="7 Bid Form"/>
      <sheetName val="8 Flowcharts"/>
      <sheetName val="9 Sample Activity Timeline"/>
      <sheetName val="SchLocTable"/>
      <sheetName val="MENU_Schools"/>
    </sheetNames>
    <sheetDataSet>
      <sheetData sheetId="0"/>
      <sheetData sheetId="1"/>
      <sheetData sheetId="2"/>
      <sheetData sheetId="3"/>
      <sheetData sheetId="4"/>
      <sheetData sheetId="5">
        <row r="2">
          <cell r="A2" t="str">
            <v>Supervisor Per Diem</v>
          </cell>
        </row>
        <row r="3">
          <cell r="A3" t="str">
            <v>Supervisor Hourly</v>
          </cell>
        </row>
        <row r="4">
          <cell r="A4" t="str">
            <v>Teacher Per Diem</v>
          </cell>
        </row>
        <row r="5">
          <cell r="A5" t="str">
            <v>Teacher Hourly</v>
          </cell>
        </row>
        <row r="6">
          <cell r="A6" t="str">
            <v>Instructional Assistant Hourly</v>
          </cell>
        </row>
        <row r="7">
          <cell r="A7" t="str">
            <v>Special Education Assistant Hourly</v>
          </cell>
        </row>
        <row r="8">
          <cell r="A8" t="str">
            <v>Home-School Coordinator Hourly</v>
          </cell>
        </row>
        <row r="9">
          <cell r="A9" t="str">
            <v>In-School Suspension Officer Hourly</v>
          </cell>
        </row>
        <row r="10">
          <cell r="A10" t="str">
            <v>Part-time Aide Hourly</v>
          </cell>
        </row>
        <row r="11">
          <cell r="A11" t="str">
            <v>Tutor Certified Hourly</v>
          </cell>
        </row>
        <row r="12">
          <cell r="A12" t="str">
            <v>Tutor Uncertified Hourly</v>
          </cell>
        </row>
      </sheetData>
      <sheetData sheetId="6"/>
      <sheetData sheetId="7"/>
      <sheetData sheetId="8"/>
      <sheetData sheetId="9"/>
      <sheetData sheetId="10"/>
      <sheetData sheetId="11"/>
      <sheetData sheetId="12"/>
      <sheetData sheetId="13"/>
      <sheetData sheetId="14">
        <row r="2">
          <cell r="A2" t="str">
            <v>Barnum</v>
          </cell>
        </row>
        <row r="3">
          <cell r="A3" t="str">
            <v>Bassick HS</v>
          </cell>
        </row>
        <row r="4">
          <cell r="A4" t="str">
            <v>Beardsley</v>
          </cell>
        </row>
        <row r="5">
          <cell r="A5" t="str">
            <v>Black Rock</v>
          </cell>
        </row>
        <row r="6">
          <cell r="A6" t="str">
            <v>Blackham</v>
          </cell>
        </row>
        <row r="7">
          <cell r="A7" t="str">
            <v>Bridgeport Learning Center</v>
          </cell>
        </row>
        <row r="8">
          <cell r="A8" t="str">
            <v>BMA HS</v>
          </cell>
        </row>
        <row r="9">
          <cell r="A9" t="str">
            <v>Bryant</v>
          </cell>
        </row>
        <row r="10">
          <cell r="A10" t="str">
            <v>Central HS</v>
          </cell>
        </row>
        <row r="11">
          <cell r="A11" t="str">
            <v>Cesar Batalla</v>
          </cell>
        </row>
        <row r="12">
          <cell r="A12" t="str">
            <v>Classical Studies Academy</v>
          </cell>
        </row>
        <row r="13">
          <cell r="A13" t="str">
            <v>Columbus</v>
          </cell>
        </row>
        <row r="14">
          <cell r="A14" t="str">
            <v>Discovery Magnet</v>
          </cell>
        </row>
        <row r="15">
          <cell r="A15" t="str">
            <v>Edison</v>
          </cell>
        </row>
        <row r="16">
          <cell r="A16" t="str">
            <v>Geraldine Johnson</v>
          </cell>
        </row>
        <row r="17">
          <cell r="A17" t="str">
            <v>Hall</v>
          </cell>
        </row>
        <row r="18">
          <cell r="A18" t="str">
            <v>Hallen</v>
          </cell>
        </row>
        <row r="19">
          <cell r="A19" t="str">
            <v>Harding HS</v>
          </cell>
        </row>
        <row r="20">
          <cell r="A20" t="str">
            <v>High Horizons Magnet</v>
          </cell>
        </row>
        <row r="21">
          <cell r="A21" t="str">
            <v>Information Technology HS</v>
          </cell>
        </row>
        <row r="22">
          <cell r="A22" t="str">
            <v>James Curiale</v>
          </cell>
        </row>
        <row r="23">
          <cell r="A23" t="str">
            <v>Jettie Tisdale</v>
          </cell>
        </row>
        <row r="24">
          <cell r="A24" t="str">
            <v>John Winthrop</v>
          </cell>
        </row>
        <row r="25">
          <cell r="A25" t="str">
            <v>Luis Munoz Marin</v>
          </cell>
        </row>
        <row r="26">
          <cell r="A26" t="str">
            <v>Madison</v>
          </cell>
        </row>
        <row r="27">
          <cell r="A27" t="str">
            <v>Multi-Cultural Magnet</v>
          </cell>
        </row>
        <row r="28">
          <cell r="A28" t="str">
            <v>Park City Magnet</v>
          </cell>
        </row>
        <row r="29">
          <cell r="A29" t="str">
            <v>Paul L. Dunbar</v>
          </cell>
        </row>
        <row r="30">
          <cell r="A30" t="str">
            <v>Physical Science HS</v>
          </cell>
        </row>
        <row r="31">
          <cell r="A31" t="str">
            <v>Read</v>
          </cell>
        </row>
        <row r="32">
          <cell r="A32" t="str">
            <v>Roosevelt</v>
          </cell>
        </row>
        <row r="33">
          <cell r="A33" t="str">
            <v>Skane</v>
          </cell>
        </row>
        <row r="34">
          <cell r="A34" t="str">
            <v>Thomas Hooker</v>
          </cell>
        </row>
        <row r="35">
          <cell r="A35" t="str">
            <v>Waltersville</v>
          </cell>
        </row>
        <row r="36">
          <cell r="A36" t="str">
            <v>Wilbur Cross</v>
          </cell>
        </row>
        <row r="37">
          <cell r="A37" t="str">
            <v>Zoological Science HS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of Contents"/>
      <sheetName val="1 Allocations"/>
      <sheetName val="2 Guidelines"/>
      <sheetName val="3 Budget Plan"/>
      <sheetName val="MENU"/>
      <sheetName val="4 Budget Transfer"/>
      <sheetName val="5 Purchasing Rules"/>
      <sheetName val="6A Order Form_TITLE I"/>
      <sheetName val="6B Order Form_PRIORITY"/>
      <sheetName val="7 Bid Form"/>
      <sheetName val="8 Flowcharts"/>
      <sheetName val="9 Sample Activity Timeline"/>
      <sheetName val="SchLocTable"/>
      <sheetName val="MENU_Schools"/>
    </sheetNames>
    <sheetDataSet>
      <sheetData sheetId="0"/>
      <sheetData sheetId="1"/>
      <sheetData sheetId="2"/>
      <sheetData sheetId="3"/>
      <sheetData sheetId="4"/>
      <sheetData sheetId="5">
        <row r="2">
          <cell r="A2" t="str">
            <v>Supervisor Per Diem</v>
          </cell>
        </row>
        <row r="3">
          <cell r="A3" t="str">
            <v>Supervisor Hourly</v>
          </cell>
        </row>
        <row r="4">
          <cell r="A4" t="str">
            <v>Teacher Per Diem</v>
          </cell>
        </row>
        <row r="5">
          <cell r="A5" t="str">
            <v>Teacher Hourly</v>
          </cell>
        </row>
        <row r="6">
          <cell r="A6" t="str">
            <v>Instructional Assistant Hourly</v>
          </cell>
        </row>
        <row r="7">
          <cell r="A7" t="str">
            <v>Special Education Assistant Hourly</v>
          </cell>
        </row>
        <row r="8">
          <cell r="A8" t="str">
            <v>Home-School Coordinator Hourly</v>
          </cell>
        </row>
        <row r="9">
          <cell r="A9" t="str">
            <v>In-School Suspension Officer Hourly</v>
          </cell>
        </row>
        <row r="10">
          <cell r="A10" t="str">
            <v>Part-time Aide Hourly</v>
          </cell>
        </row>
        <row r="11">
          <cell r="A11" t="str">
            <v>Tutor Certified Hourly</v>
          </cell>
        </row>
        <row r="12">
          <cell r="A12" t="str">
            <v>Tutor Uncertified Hourly</v>
          </cell>
        </row>
      </sheetData>
      <sheetData sheetId="6"/>
      <sheetData sheetId="7"/>
      <sheetData sheetId="8"/>
      <sheetData sheetId="9"/>
      <sheetData sheetId="10"/>
      <sheetData sheetId="11"/>
      <sheetData sheetId="12"/>
      <sheetData sheetId="13"/>
      <sheetData sheetId="14">
        <row r="2">
          <cell r="A2" t="str">
            <v>Barnum</v>
          </cell>
        </row>
        <row r="3">
          <cell r="A3" t="str">
            <v>Bassick HS</v>
          </cell>
        </row>
        <row r="4">
          <cell r="A4" t="str">
            <v>Beardsley</v>
          </cell>
        </row>
        <row r="5">
          <cell r="A5" t="str">
            <v>Black Rock</v>
          </cell>
        </row>
        <row r="6">
          <cell r="A6" t="str">
            <v>Blackham</v>
          </cell>
        </row>
        <row r="7">
          <cell r="A7" t="str">
            <v>Bridgeport Learning Center</v>
          </cell>
        </row>
        <row r="8">
          <cell r="A8" t="str">
            <v>BMA HS</v>
          </cell>
        </row>
        <row r="9">
          <cell r="A9" t="str">
            <v>Bryant</v>
          </cell>
        </row>
        <row r="10">
          <cell r="A10" t="str">
            <v>Central HS</v>
          </cell>
        </row>
        <row r="11">
          <cell r="A11" t="str">
            <v>Cesar Batalla</v>
          </cell>
        </row>
        <row r="12">
          <cell r="A12" t="str">
            <v>Classical Studies Academy</v>
          </cell>
        </row>
        <row r="13">
          <cell r="A13" t="str">
            <v>Columbus</v>
          </cell>
        </row>
        <row r="14">
          <cell r="A14" t="str">
            <v>Discovery Magnet</v>
          </cell>
        </row>
        <row r="15">
          <cell r="A15" t="str">
            <v>Edison</v>
          </cell>
        </row>
        <row r="16">
          <cell r="A16" t="str">
            <v>Geraldine Johnson</v>
          </cell>
        </row>
        <row r="17">
          <cell r="A17" t="str">
            <v>Hall</v>
          </cell>
        </row>
        <row r="18">
          <cell r="A18" t="str">
            <v>Hallen</v>
          </cell>
        </row>
        <row r="19">
          <cell r="A19" t="str">
            <v>Harding HS</v>
          </cell>
        </row>
        <row r="20">
          <cell r="A20" t="str">
            <v>High Horizons Magnet</v>
          </cell>
        </row>
        <row r="21">
          <cell r="A21" t="str">
            <v>Information Technology HS</v>
          </cell>
        </row>
        <row r="22">
          <cell r="A22" t="str">
            <v>James Curiale</v>
          </cell>
        </row>
        <row r="23">
          <cell r="A23" t="str">
            <v>Jettie Tisdale</v>
          </cell>
        </row>
        <row r="24">
          <cell r="A24" t="str">
            <v>John Winthrop</v>
          </cell>
        </row>
        <row r="25">
          <cell r="A25" t="str">
            <v>Luis Munoz Marin</v>
          </cell>
        </row>
        <row r="26">
          <cell r="A26" t="str">
            <v>Madison</v>
          </cell>
        </row>
        <row r="27">
          <cell r="A27" t="str">
            <v>Multi-Cultural Magnet</v>
          </cell>
        </row>
        <row r="28">
          <cell r="A28" t="str">
            <v>Park City Magnet</v>
          </cell>
        </row>
        <row r="29">
          <cell r="A29" t="str">
            <v>Paul L. Dunbar</v>
          </cell>
        </row>
        <row r="30">
          <cell r="A30" t="str">
            <v>Physical Science HS</v>
          </cell>
        </row>
        <row r="31">
          <cell r="A31" t="str">
            <v>Read</v>
          </cell>
        </row>
        <row r="32">
          <cell r="A32" t="str">
            <v>Roosevelt</v>
          </cell>
        </row>
        <row r="33">
          <cell r="A33" t="str">
            <v>Skane</v>
          </cell>
        </row>
        <row r="34">
          <cell r="A34" t="str">
            <v>Thomas Hooker</v>
          </cell>
        </row>
        <row r="35">
          <cell r="A35" t="str">
            <v>Waltersville</v>
          </cell>
        </row>
        <row r="36">
          <cell r="A36" t="str">
            <v>Wilbur Cross</v>
          </cell>
        </row>
        <row r="37">
          <cell r="A37" t="str">
            <v>Zoological Science HS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_Site_Employee_Roster"/>
      <sheetName val="Empl Data"/>
      <sheetName val="Employee Inquiry"/>
      <sheetName val="SchLocTable"/>
      <sheetName val="MENU"/>
      <sheetName val="Program_Site_Employee_Roster_FI"/>
    </sheetNames>
    <sheetDataSet>
      <sheetData sheetId="0"/>
      <sheetData sheetId="1"/>
      <sheetData sheetId="2"/>
      <sheetData sheetId="3"/>
      <sheetData sheetId="4">
        <row r="2">
          <cell r="A2" t="str">
            <v>Teacher</v>
          </cell>
        </row>
        <row r="3">
          <cell r="A3" t="str">
            <v>Paraprofessional</v>
          </cell>
        </row>
        <row r="4">
          <cell r="A4" t="str">
            <v>Home-School Coordinator</v>
          </cell>
        </row>
        <row r="5">
          <cell r="A5" t="str">
            <v>Nurse</v>
          </cell>
        </row>
        <row r="6">
          <cell r="A6" t="str">
            <v>Occupational Therapist</v>
          </cell>
        </row>
        <row r="7">
          <cell r="A7">
            <v>0</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_Site_Employee_Roster"/>
      <sheetName val="Empl Data"/>
      <sheetName val="Employee Inquiry"/>
      <sheetName val="SchLocTable"/>
      <sheetName val="MENU"/>
      <sheetName val="Program_Site_Employee_Roster_FI"/>
    </sheetNames>
    <sheetDataSet>
      <sheetData sheetId="0"/>
      <sheetData sheetId="1"/>
      <sheetData sheetId="2"/>
      <sheetData sheetId="3"/>
      <sheetData sheetId="4">
        <row r="2">
          <cell r="A2" t="str">
            <v>Teacher</v>
          </cell>
        </row>
        <row r="3">
          <cell r="A3" t="str">
            <v>Paraprofessional</v>
          </cell>
        </row>
        <row r="4">
          <cell r="A4" t="str">
            <v>Home-School Coordinator</v>
          </cell>
        </row>
        <row r="5">
          <cell r="A5" t="str">
            <v>Nurse</v>
          </cell>
        </row>
        <row r="6">
          <cell r="A6" t="str">
            <v>Occupational Therapist</v>
          </cell>
        </row>
        <row r="7">
          <cell r="A7">
            <v>0</v>
          </cell>
        </row>
      </sheetData>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ING MODEL"/>
      <sheetName val="Supp Staff_UI_ST"/>
      <sheetName val="Reg-Elem"/>
      <sheetName val="Reg-HS"/>
      <sheetName val="Operating Alloc"/>
      <sheetName val="Par Inv Elem Title I"/>
      <sheetName val="Par Inv HS Priority"/>
      <sheetName val="Pos Alloc - ELEM"/>
      <sheetName val="ELEM_Class Change"/>
      <sheetName val="FY 14 Classes"/>
      <sheetName val="Pos Alloc - HS"/>
      <sheetName val="SPED_SUPP Summary"/>
      <sheetName val="BLC"/>
      <sheetName val="BARNUM"/>
      <sheetName val="Barnum_ORG"/>
      <sheetName val="BEARDSLEY"/>
      <sheetName val="Beardsley_ORG"/>
      <sheetName val="BLACKROCK"/>
      <sheetName val="BlackRock_ORG"/>
      <sheetName val="BLACKHAM"/>
      <sheetName val="Blackham_ORG"/>
      <sheetName val="BRYANT"/>
      <sheetName val="Bryant_ORG"/>
      <sheetName val="BATALLA"/>
      <sheetName val="Batalla_ORG"/>
      <sheetName val="CLASSICAL"/>
      <sheetName val="Classical_ORG"/>
      <sheetName val="COLUMBUS"/>
      <sheetName val="Columbus_ORG"/>
      <sheetName val="ColumbusAnnex"/>
      <sheetName val="ColumbusAnnex_ORG"/>
      <sheetName val="DISCOVERY"/>
      <sheetName val="Discovery_ORG"/>
      <sheetName val="EDISON"/>
      <sheetName val="Edison_ORG"/>
      <sheetName val="JOHNSON"/>
      <sheetName val="Johnson_ORG"/>
      <sheetName val="HALL"/>
      <sheetName val="Hall_ORG"/>
      <sheetName val="HALLEN"/>
      <sheetName val="Hallen_ORG"/>
      <sheetName val="HHM"/>
      <sheetName val="HHM_ORG"/>
      <sheetName val="JamesCURIALE"/>
      <sheetName val="JamesCURIALE_Org"/>
      <sheetName val="JettieTISDALE"/>
      <sheetName val="JettieTISDALE_ORG"/>
      <sheetName val="JohnWINTHROP"/>
      <sheetName val="JohnWINTHROP_ORG"/>
      <sheetName val="MARIN"/>
      <sheetName val="Marin_ORG"/>
      <sheetName val="MADISON"/>
      <sheetName val="Madison_ORG"/>
      <sheetName val="MCM"/>
      <sheetName val="MCM_Org"/>
      <sheetName val="PCM"/>
      <sheetName val="PCM_Org"/>
      <sheetName val="PaulDUNBAR"/>
      <sheetName val="PaulDUNBAR_Org"/>
      <sheetName val="READ"/>
      <sheetName val="Read_Org"/>
      <sheetName val="ROOSEVELT"/>
      <sheetName val="Roosevelt_ORG"/>
      <sheetName val="SKANE"/>
      <sheetName val="Skane_ORG"/>
      <sheetName val="ThomasHOOKER"/>
      <sheetName val="ThomasHOOKER_ORG"/>
      <sheetName val="WALTERSVILLE"/>
      <sheetName val="Waltersville_ORG"/>
      <sheetName val="WilburCROSS"/>
      <sheetName val="WilburCROSS_ORG"/>
      <sheetName val="BASSICK"/>
      <sheetName val="Bassick_ORG"/>
      <sheetName val="CENTRAL"/>
      <sheetName val="Central_ORG"/>
      <sheetName val="HARDING"/>
      <sheetName val="Harding_ORG"/>
      <sheetName val="BMA"/>
      <sheetName val="BMA_ORG"/>
      <sheetName val="FWC Info Tech"/>
      <sheetName val="FWC Zoo Sci"/>
      <sheetName val="FWC Phy Sci"/>
      <sheetName val="AQUA"/>
      <sheetName val="LEGEND"/>
      <sheetName val="MEN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2">
          <cell r="A2" t="str">
            <v>Leave-LTS Coverage</v>
          </cell>
        </row>
        <row r="3">
          <cell r="A3" t="str">
            <v>New Alloc Position</v>
          </cell>
        </row>
        <row r="4">
          <cell r="A4" t="str">
            <v>Resignation</v>
          </cell>
        </row>
        <row r="5">
          <cell r="A5" t="str">
            <v>Retirement</v>
          </cell>
        </row>
        <row r="6">
          <cell r="A6" t="str">
            <v>Termination</v>
          </cell>
        </row>
        <row r="7">
          <cell r="A7" t="str">
            <v>Transfer-External</v>
          </cell>
        </row>
        <row r="8">
          <cell r="A8" t="str">
            <v>Transfer-Internal</v>
          </cell>
        </row>
        <row r="9">
          <cell r="A9" t="str">
            <v>Non-Renewal</v>
          </cell>
        </row>
        <row r="10">
          <cell r="A10" t="str">
            <v>Other-Explain</v>
          </cell>
        </row>
        <row r="17">
          <cell r="A17" t="str">
            <v>Art</v>
          </cell>
        </row>
        <row r="18">
          <cell r="A18" t="str">
            <v>Bilingual</v>
          </cell>
        </row>
        <row r="19">
          <cell r="A19" t="str">
            <v>Computer Literacy</v>
          </cell>
        </row>
        <row r="20">
          <cell r="A20" t="str">
            <v>Dance</v>
          </cell>
        </row>
        <row r="21">
          <cell r="A21" t="str">
            <v>ELA</v>
          </cell>
        </row>
        <row r="22">
          <cell r="A22" t="str">
            <v>Library/Media</v>
          </cell>
        </row>
        <row r="23">
          <cell r="A23" t="str">
            <v>Music</v>
          </cell>
        </row>
        <row r="24">
          <cell r="A24" t="str">
            <v>PE</v>
          </cell>
        </row>
        <row r="25">
          <cell r="A25" t="str">
            <v>Science</v>
          </cell>
        </row>
        <row r="26">
          <cell r="A26" t="str">
            <v>Social Studies</v>
          </cell>
        </row>
        <row r="27">
          <cell r="A27" t="str">
            <v>Spanish</v>
          </cell>
        </row>
        <row r="28">
          <cell r="A28" t="str">
            <v>SRBI/Literacy</v>
          </cell>
        </row>
        <row r="29">
          <cell r="A29" t="str">
            <v>SRBI/Mathematics</v>
          </cell>
        </row>
        <row r="30">
          <cell r="A30" t="str">
            <v>Technology</v>
          </cell>
        </row>
        <row r="31">
          <cell r="A31" t="str">
            <v>Theatre/Drama</v>
          </cell>
        </row>
        <row r="32">
          <cell r="A32" t="str">
            <v>Visual Arts</v>
          </cell>
        </row>
        <row r="33">
          <cell r="A33" t="str">
            <v>World Languages</v>
          </cell>
        </row>
        <row r="34">
          <cell r="A34" t="str">
            <v>Writing</v>
          </cell>
        </row>
        <row r="35">
          <cell r="A35">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Read_STAFF"/>
      <sheetName val="Read_Org"/>
      <sheetName val="MENU"/>
    </sheetNames>
    <sheetDataSet>
      <sheetData sheetId="0" refreshError="1"/>
      <sheetData sheetId="1" refreshError="1"/>
      <sheetData sheetId="2" refreshError="1"/>
      <sheetData sheetId="3">
        <row r="15">
          <cell r="A15" t="str">
            <v>Art</v>
          </cell>
        </row>
        <row r="16">
          <cell r="A16" t="str">
            <v>Bilingual</v>
          </cell>
        </row>
        <row r="17">
          <cell r="A17" t="str">
            <v>Computer Literacy</v>
          </cell>
        </row>
        <row r="18">
          <cell r="A18" t="str">
            <v>Dance</v>
          </cell>
        </row>
        <row r="19">
          <cell r="A19" t="str">
            <v>ELA</v>
          </cell>
        </row>
        <row r="20">
          <cell r="A20" t="str">
            <v>Library/Media</v>
          </cell>
        </row>
        <row r="21">
          <cell r="A21" t="str">
            <v>Music</v>
          </cell>
        </row>
        <row r="22">
          <cell r="A22" t="str">
            <v>PE</v>
          </cell>
        </row>
        <row r="23">
          <cell r="A23" t="str">
            <v>Science</v>
          </cell>
        </row>
        <row r="24">
          <cell r="A24" t="str">
            <v>Social Studies</v>
          </cell>
        </row>
        <row r="25">
          <cell r="A25" t="str">
            <v>Spanish</v>
          </cell>
        </row>
        <row r="26">
          <cell r="A26" t="str">
            <v>SRBI/Literacy</v>
          </cell>
        </row>
        <row r="27">
          <cell r="A27" t="str">
            <v>SRBI/Mathematics</v>
          </cell>
        </row>
        <row r="28">
          <cell r="A28" t="str">
            <v>Technology</v>
          </cell>
        </row>
        <row r="29">
          <cell r="A29" t="str">
            <v>Theatre/Drama</v>
          </cell>
        </row>
        <row r="30">
          <cell r="A30" t="str">
            <v>Visual Arts</v>
          </cell>
        </row>
        <row r="31">
          <cell r="A31" t="str">
            <v>World Languages</v>
          </cell>
        </row>
        <row r="32">
          <cell r="A32" t="str">
            <v>Writing</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Read_STAFF"/>
      <sheetName val="Read_Org"/>
      <sheetName val="MENU"/>
    </sheetNames>
    <sheetDataSet>
      <sheetData sheetId="0" refreshError="1"/>
      <sheetData sheetId="1" refreshError="1"/>
      <sheetData sheetId="2" refreshError="1"/>
      <sheetData sheetId="3">
        <row r="15">
          <cell r="A15" t="str">
            <v>Art</v>
          </cell>
        </row>
        <row r="16">
          <cell r="A16" t="str">
            <v>Bilingual</v>
          </cell>
        </row>
        <row r="17">
          <cell r="A17" t="str">
            <v>Computer Literacy</v>
          </cell>
        </row>
        <row r="18">
          <cell r="A18" t="str">
            <v>Dance</v>
          </cell>
        </row>
        <row r="19">
          <cell r="A19" t="str">
            <v>ELA</v>
          </cell>
        </row>
        <row r="20">
          <cell r="A20" t="str">
            <v>Library/Media</v>
          </cell>
        </row>
        <row r="21">
          <cell r="A21" t="str">
            <v>Music</v>
          </cell>
        </row>
        <row r="22">
          <cell r="A22" t="str">
            <v>PE</v>
          </cell>
        </row>
        <row r="23">
          <cell r="A23" t="str">
            <v>Science</v>
          </cell>
        </row>
        <row r="24">
          <cell r="A24" t="str">
            <v>Social Studies</v>
          </cell>
        </row>
        <row r="25">
          <cell r="A25" t="str">
            <v>Spanish</v>
          </cell>
        </row>
        <row r="26">
          <cell r="A26" t="str">
            <v>SRBI/Literacy</v>
          </cell>
        </row>
        <row r="27">
          <cell r="A27" t="str">
            <v>SRBI/Mathematics</v>
          </cell>
        </row>
        <row r="28">
          <cell r="A28" t="str">
            <v>Technology</v>
          </cell>
        </row>
        <row r="29">
          <cell r="A29" t="str">
            <v>Theatre/Drama</v>
          </cell>
        </row>
        <row r="30">
          <cell r="A30" t="str">
            <v>Visual Arts</v>
          </cell>
        </row>
        <row r="31">
          <cell r="A31" t="str">
            <v>World Languages</v>
          </cell>
        </row>
        <row r="32">
          <cell r="A32" t="str">
            <v>Writing</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ers"/>
      <sheetName val="Other CERT Staff"/>
      <sheetName val="Paraprofessionals"/>
      <sheetName val="Other NON-CERT Staff"/>
      <sheetName val="Civil Service-C"/>
      <sheetName val="Directions-TRACKER"/>
      <sheetName val="VACANCIES-DISTRICT MASTER"/>
      <sheetName val="SchLocTable"/>
      <sheetName val="Loc Codes Reference"/>
      <sheetName val="ReasonTable2"/>
    </sheetNames>
    <sheetDataSet>
      <sheetData sheetId="0"/>
      <sheetData sheetId="1"/>
      <sheetData sheetId="2"/>
      <sheetData sheetId="3"/>
      <sheetData sheetId="4"/>
      <sheetData sheetId="5"/>
      <sheetData sheetId="6"/>
      <sheetData sheetId="7"/>
      <sheetData sheetId="8"/>
      <sheetData sheetId="9">
        <row r="2">
          <cell r="A2" t="str">
            <v>Leave-LTS Coverage</v>
          </cell>
        </row>
        <row r="3">
          <cell r="A3" t="str">
            <v>New Allocated Position</v>
          </cell>
        </row>
        <row r="4">
          <cell r="A4" t="str">
            <v>Resignation</v>
          </cell>
        </row>
        <row r="5">
          <cell r="A5" t="str">
            <v>Retirement</v>
          </cell>
        </row>
        <row r="6">
          <cell r="A6" t="str">
            <v>Termination</v>
          </cell>
        </row>
        <row r="7">
          <cell r="A7" t="str">
            <v>Transfer</v>
          </cell>
        </row>
        <row r="8">
          <cell r="A8" t="str">
            <v>Non-Renewal</v>
          </cell>
        </row>
        <row r="9">
          <cell r="A9" t="str">
            <v>Other-Explain</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achers"/>
      <sheetName val="Other CERT Staff"/>
      <sheetName val="Paraprofessionals"/>
      <sheetName val="Other NON-CERT Staff"/>
      <sheetName val="Civil Service-C"/>
      <sheetName val="Directions-TRACKER"/>
      <sheetName val="VACANCIES-DISTRICT MASTER"/>
      <sheetName val="SchLocTable"/>
      <sheetName val="Loc Codes Reference"/>
      <sheetName val="ReasonTable2"/>
    </sheetNames>
    <sheetDataSet>
      <sheetData sheetId="0"/>
      <sheetData sheetId="1"/>
      <sheetData sheetId="2"/>
      <sheetData sheetId="3"/>
      <sheetData sheetId="4"/>
      <sheetData sheetId="5"/>
      <sheetData sheetId="6"/>
      <sheetData sheetId="7"/>
      <sheetData sheetId="8"/>
      <sheetData sheetId="9">
        <row r="2">
          <cell r="A2" t="str">
            <v>Leave-LTS Coverage</v>
          </cell>
        </row>
        <row r="3">
          <cell r="A3" t="str">
            <v>New Allocated Position</v>
          </cell>
        </row>
        <row r="4">
          <cell r="A4" t="str">
            <v>Resignation</v>
          </cell>
        </row>
        <row r="5">
          <cell r="A5" t="str">
            <v>Retirement</v>
          </cell>
        </row>
        <row r="6">
          <cell r="A6" t="str">
            <v>Termination</v>
          </cell>
        </row>
        <row r="7">
          <cell r="A7" t="str">
            <v>Transfer</v>
          </cell>
        </row>
        <row r="8">
          <cell r="A8" t="str">
            <v>Non-Renewal</v>
          </cell>
        </row>
        <row r="9">
          <cell r="A9" t="str">
            <v>Other-Explain</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VERY"/>
      <sheetName val="Discovery_STAFF"/>
      <sheetName val="Discovery_ORG"/>
      <sheetName val="MENU"/>
    </sheetNames>
    <sheetDataSet>
      <sheetData sheetId="0" refreshError="1"/>
      <sheetData sheetId="1" refreshError="1"/>
      <sheetData sheetId="2" refreshError="1"/>
      <sheetData sheetId="3">
        <row r="2">
          <cell r="A2" t="str">
            <v>Leave-LTS Coverage</v>
          </cell>
        </row>
        <row r="3">
          <cell r="A3" t="str">
            <v>New Alloc Position</v>
          </cell>
        </row>
        <row r="4">
          <cell r="A4" t="str">
            <v>Resignation</v>
          </cell>
        </row>
        <row r="5">
          <cell r="A5" t="str">
            <v>Retirement</v>
          </cell>
        </row>
        <row r="6">
          <cell r="A6" t="str">
            <v>Termination</v>
          </cell>
        </row>
        <row r="7">
          <cell r="A7" t="str">
            <v>Transfer-External</v>
          </cell>
        </row>
        <row r="8">
          <cell r="A8" t="str">
            <v>Transfer-Internal</v>
          </cell>
        </row>
        <row r="9">
          <cell r="A9" t="str">
            <v>Non-Renewal</v>
          </cell>
        </row>
        <row r="10">
          <cell r="A10" t="str">
            <v>Other-Explain</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VERY"/>
      <sheetName val="Discovery_STAFF"/>
      <sheetName val="Discovery_ORG"/>
      <sheetName val="MENU"/>
    </sheetNames>
    <sheetDataSet>
      <sheetData sheetId="0" refreshError="1"/>
      <sheetData sheetId="1" refreshError="1"/>
      <sheetData sheetId="2" refreshError="1"/>
      <sheetData sheetId="3">
        <row r="2">
          <cell r="A2" t="str">
            <v>Leave-LTS Coverage</v>
          </cell>
        </row>
        <row r="3">
          <cell r="A3" t="str">
            <v>New Alloc Position</v>
          </cell>
        </row>
        <row r="4">
          <cell r="A4" t="str">
            <v>Resignation</v>
          </cell>
        </row>
        <row r="5">
          <cell r="A5" t="str">
            <v>Retirement</v>
          </cell>
        </row>
        <row r="6">
          <cell r="A6" t="str">
            <v>Termination</v>
          </cell>
        </row>
        <row r="7">
          <cell r="A7" t="str">
            <v>Transfer-External</v>
          </cell>
        </row>
        <row r="8">
          <cell r="A8" t="str">
            <v>Transfer-Internal</v>
          </cell>
        </row>
        <row r="9">
          <cell r="A9" t="str">
            <v>Non-Renewal</v>
          </cell>
        </row>
        <row r="10">
          <cell r="A10" t="str">
            <v>Other-Explain</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NUM"/>
      <sheetName val="Barnum_ORG"/>
      <sheetName val="Barnum Staff"/>
      <sheetName val="MENU"/>
    </sheetNames>
    <sheetDataSet>
      <sheetData sheetId="0"/>
      <sheetData sheetId="1"/>
      <sheetData sheetId="2"/>
      <sheetData sheetId="3">
        <row r="20">
          <cell r="A20" t="str">
            <v>Art</v>
          </cell>
        </row>
        <row r="21">
          <cell r="A21" t="str">
            <v>Bilingual</v>
          </cell>
        </row>
        <row r="22">
          <cell r="A22" t="str">
            <v>Computer Literacy</v>
          </cell>
        </row>
        <row r="23">
          <cell r="A23" t="str">
            <v>Dance</v>
          </cell>
        </row>
        <row r="24">
          <cell r="A24" t="str">
            <v>ELA</v>
          </cell>
        </row>
        <row r="25">
          <cell r="A25" t="str">
            <v>Library/Media</v>
          </cell>
        </row>
        <row r="26">
          <cell r="A26" t="str">
            <v>Music</v>
          </cell>
        </row>
        <row r="27">
          <cell r="A27" t="str">
            <v>PE</v>
          </cell>
        </row>
        <row r="28">
          <cell r="A28" t="str">
            <v>Science</v>
          </cell>
        </row>
        <row r="29">
          <cell r="A29" t="str">
            <v>Social Studies</v>
          </cell>
        </row>
        <row r="30">
          <cell r="A30" t="str">
            <v>Spanish</v>
          </cell>
        </row>
        <row r="31">
          <cell r="A31" t="str">
            <v>SRBI/Literacy</v>
          </cell>
        </row>
        <row r="32">
          <cell r="A32" t="str">
            <v>SRBI/Mathematics</v>
          </cell>
        </row>
        <row r="33">
          <cell r="A33" t="str">
            <v>Technology</v>
          </cell>
        </row>
        <row r="34">
          <cell r="A34" t="str">
            <v>Theatre/Drama</v>
          </cell>
        </row>
        <row r="35">
          <cell r="A35" t="str">
            <v>Visual Arts</v>
          </cell>
        </row>
        <row r="36">
          <cell r="A36" t="str">
            <v>World Languages</v>
          </cell>
        </row>
        <row r="37">
          <cell r="A37" t="str">
            <v>Writing</v>
          </cell>
        </row>
        <row r="38">
          <cell r="A38">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NUM"/>
      <sheetName val="Barnum_ORG"/>
      <sheetName val="Barnum Staff"/>
      <sheetName val="MENU"/>
    </sheetNames>
    <sheetDataSet>
      <sheetData sheetId="0"/>
      <sheetData sheetId="1"/>
      <sheetData sheetId="2"/>
      <sheetData sheetId="3">
        <row r="20">
          <cell r="A20" t="str">
            <v>Art</v>
          </cell>
        </row>
        <row r="21">
          <cell r="A21" t="str">
            <v>Bilingual</v>
          </cell>
        </row>
        <row r="22">
          <cell r="A22" t="str">
            <v>Computer Literacy</v>
          </cell>
        </row>
        <row r="23">
          <cell r="A23" t="str">
            <v>Dance</v>
          </cell>
        </row>
        <row r="24">
          <cell r="A24" t="str">
            <v>ELA</v>
          </cell>
        </row>
        <row r="25">
          <cell r="A25" t="str">
            <v>Library/Media</v>
          </cell>
        </row>
        <row r="26">
          <cell r="A26" t="str">
            <v>Music</v>
          </cell>
        </row>
        <row r="27">
          <cell r="A27" t="str">
            <v>PE</v>
          </cell>
        </row>
        <row r="28">
          <cell r="A28" t="str">
            <v>Science</v>
          </cell>
        </row>
        <row r="29">
          <cell r="A29" t="str">
            <v>Social Studies</v>
          </cell>
        </row>
        <row r="30">
          <cell r="A30" t="str">
            <v>Spanish</v>
          </cell>
        </row>
        <row r="31">
          <cell r="A31" t="str">
            <v>SRBI/Literacy</v>
          </cell>
        </row>
        <row r="32">
          <cell r="A32" t="str">
            <v>SRBI/Mathematics</v>
          </cell>
        </row>
        <row r="33">
          <cell r="A33" t="str">
            <v>Technology</v>
          </cell>
        </row>
        <row r="34">
          <cell r="A34" t="str">
            <v>Theatre/Drama</v>
          </cell>
        </row>
        <row r="35">
          <cell r="A35" t="str">
            <v>Visual Arts</v>
          </cell>
        </row>
        <row r="36">
          <cell r="A36" t="str">
            <v>World Languages</v>
          </cell>
        </row>
        <row r="37">
          <cell r="A37" t="str">
            <v>Writing</v>
          </cell>
        </row>
        <row r="38">
          <cell r="A38">
            <v>0</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7:I113" totalsRowCount="1" headerRowDxfId="159" dataDxfId="158" headerRowCellStyle="Normal 2">
  <autoFilter ref="A7:I112" xr:uid="{00000000-0009-0000-0100-000004000000}"/>
  <tableColumns count="9">
    <tableColumn id="1" xr3:uid="{00000000-0010-0000-0000-000001000000}" name="ACCOUNT" dataDxfId="157" totalsRowDxfId="156"/>
    <tableColumn id="2" xr3:uid="{00000000-0010-0000-0000-000002000000}" name="DESCRIPTION" totalsRowLabel="GRAND TOTAL" dataDxfId="155" totalsRowDxfId="154"/>
    <tableColumn id="4" xr3:uid="{00000000-0010-0000-0000-000004000000}" name="FY24 Adopted Budget" totalsRowFunction="sum" dataDxfId="153" totalsRowDxfId="152">
      <calculatedColumnFormula>#REF!</calculatedColumnFormula>
    </tableColumn>
    <tableColumn id="7" xr3:uid="{00000000-0010-0000-0000-000007000000}" name="FTE" totalsRowFunction="sum" dataDxfId="151" totalsRowDxfId="150">
      <calculatedColumnFormula>#REF!</calculatedColumnFormula>
    </tableColumn>
    <tableColumn id="8" xr3:uid="{00000000-0010-0000-0000-000008000000}" name="ENCUMBERED" totalsRowFunction="sum" dataDxfId="149" totalsRowDxfId="148">
      <calculatedColumnFormula>#REF!</calculatedColumnFormula>
    </tableColumn>
    <tableColumn id="9" xr3:uid="{00000000-0010-0000-0000-000009000000}" name="EXPENDED" totalsRowFunction="sum" dataDxfId="147" totalsRowDxfId="146">
      <calculatedColumnFormula>#REF!</calculatedColumnFormula>
    </tableColumn>
    <tableColumn id="10" xr3:uid="{00000000-0010-0000-0000-00000A000000}" name="TOTAL YTD" totalsRowFunction="sum" dataDxfId="145" totalsRowDxfId="144">
      <calculatedColumnFormula>#REF!</calculatedColumnFormula>
    </tableColumn>
    <tableColumn id="11" xr3:uid="{00000000-0010-0000-0000-00000B000000}" name="FORECAST" totalsRowFunction="sum" dataDxfId="143" totalsRowDxfId="142">
      <calculatedColumnFormula>#REF!</calculatedColumnFormula>
    </tableColumn>
    <tableColumn id="12" xr3:uid="{00000000-0010-0000-0000-00000C000000}" name="VARIANCE" totalsRowFunction="sum" dataDxfId="141" totalsRowDxfId="140">
      <calculatedColumnFormula>Table4[[#This Row],[FY24 Adopted Budget]]-H8</calculatedColumnFormula>
    </tableColumn>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1000000}" name="Table15" displayName="Table15" ref="A115:I120" totalsRowShown="0" headerRowDxfId="139" tableBorderDxfId="138" headerRowCellStyle="Normal 16 3">
  <autoFilter ref="A115:I120" xr:uid="{00000000-0009-0000-0100-00000F000000}"/>
  <tableColumns count="9">
    <tableColumn id="1" xr3:uid="{00000000-0010-0000-0100-000001000000}" name="RANGE" dataDxfId="137" dataCellStyle="Normal 16 3"/>
    <tableColumn id="2" xr3:uid="{00000000-0010-0000-0100-000002000000}" name="BUDGET CATEGORY" dataDxfId="136" dataCellStyle="Normal 16 3"/>
    <tableColumn id="3" xr3:uid="{00000000-0010-0000-0100-000003000000}" name="BUDGET" dataDxfId="135" dataCellStyle="Normal 16 3">
      <calculatedColumnFormula>'3 OPBUD_Detail'!I111</calculatedColumnFormula>
    </tableColumn>
    <tableColumn id="4" xr3:uid="{00000000-0010-0000-0100-000004000000}" name="REQUISITION" dataDxfId="134" dataCellStyle="Normal 16 3">
      <calculatedColumnFormula>'3 OPBUD_Detail'!J111</calculatedColumnFormula>
    </tableColumn>
    <tableColumn id="5" xr3:uid="{00000000-0010-0000-0100-000005000000}" name="ENCUMBERED" dataDxfId="133" dataCellStyle="Normal 16 3">
      <calculatedColumnFormula>'3 OPBUD_Detail'!K111</calculatedColumnFormula>
    </tableColumn>
    <tableColumn id="6" xr3:uid="{00000000-0010-0000-0100-000006000000}" name="EXPEND" dataDxfId="132" dataCellStyle="Normal 16 3">
      <calculatedColumnFormula>'3 OPBUD_Detail'!L111</calculatedColumnFormula>
    </tableColumn>
    <tableColumn id="7" xr3:uid="{00000000-0010-0000-0100-000007000000}" name="TOTAL YTD" dataDxfId="131" dataCellStyle="Normal 16 3">
      <calculatedColumnFormula>'3 OPBUD_Detail'!M111</calculatedColumnFormula>
    </tableColumn>
    <tableColumn id="8" xr3:uid="{00000000-0010-0000-0100-000008000000}" name="FORECAST" dataDxfId="130" dataCellStyle="Normal 16 3">
      <calculatedColumnFormula>'3 OPBUD_Detail'!N111</calculatedColumnFormula>
    </tableColumn>
    <tableColumn id="9" xr3:uid="{00000000-0010-0000-0100-000009000000}" name="VARIANCE" dataDxfId="129" dataCellStyle="Normal 16 3">
      <calculatedColumnFormula>C116-H116</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210" displayName="Table210" ref="D2:O108" totalsRowCount="1" headerRowDxfId="128" dataDxfId="127">
  <autoFilter ref="D2:O107" xr:uid="{00000000-0009-0000-0100-000008000000}"/>
  <tableColumns count="12">
    <tableColumn id="1" xr3:uid="{00000000-0010-0000-0200-000001000000}" name="Account" totalsRowLabel="Total" totalsRowDxfId="126" dataCellStyle="Normal 16 3"/>
    <tableColumn id="2" xr3:uid="{00000000-0010-0000-0200-000002000000}" name="." dataDxfId="125" totalsRowDxfId="124" dataCellStyle="Normal 16 3"/>
    <tableColumn id="10" xr3:uid="{00000000-0010-0000-0200-00000A000000}" name="Account Title" dataDxfId="123" totalsRowDxfId="122" dataCellStyle="Normal 16 3"/>
    <tableColumn id="3" xr3:uid="{00000000-0010-0000-0200-000003000000}" name="FTE" totalsRowFunction="sum" dataDxfId="121" totalsRowDxfId="120" dataCellStyle="Normal 16 3">
      <calculatedColumnFormula>SUMIF($D$127:$D$4732,$D3,#REF!)</calculatedColumnFormula>
    </tableColumn>
    <tableColumn id="4" xr3:uid="{00000000-0010-0000-0200-000004000000}" name="…" dataDxfId="119" totalsRowDxfId="118" dataCellStyle="Normal 16 3"/>
    <tableColumn id="5" xr3:uid="{00000000-0010-0000-0200-000005000000}" name="BUDGET" totalsRowFunction="sum" dataDxfId="117" totalsRowDxfId="116" dataCellStyle="Normal 16 3"/>
    <tableColumn id="6" xr3:uid="{00000000-0010-0000-0200-000006000000}" name="REQUISITION" totalsRowFunction="sum" dataDxfId="115" totalsRowDxfId="114" dataCellStyle="Normal 16 3"/>
    <tableColumn id="7" xr3:uid="{00000000-0010-0000-0200-000007000000}" name="ENCUMBERED" totalsRowFunction="sum" dataDxfId="113" totalsRowDxfId="112" dataCellStyle="Normal 16 3"/>
    <tableColumn id="8" xr3:uid="{00000000-0010-0000-0200-000008000000}" name="EXPENDED" totalsRowFunction="sum" dataDxfId="111" totalsRowDxfId="110" dataCellStyle="Normal 16 3"/>
    <tableColumn id="9" xr3:uid="{00000000-0010-0000-0200-000009000000}" name="TOTAL YTD" totalsRowFunction="sum" dataDxfId="109" totalsRowDxfId="108" dataCellStyle="Normal 16 3"/>
    <tableColumn id="12" xr3:uid="{00000000-0010-0000-0200-00000C000000}" name="FORECAST" totalsRowFunction="sum" dataDxfId="107" totalsRowDxfId="106" dataCellStyle="Normal 16 3">
      <calculatedColumnFormula>SUMIF($D$127:$D$4732,$D3,$N$127:$N$4732)</calculatedColumnFormula>
    </tableColumn>
    <tableColumn id="13" xr3:uid="{00000000-0010-0000-0200-00000D000000}" name="VARIANCE" totalsRowFunction="sum" dataDxfId="105" totalsRowDxfId="104" dataCellStyle="Normal 16 3">
      <calculatedColumnFormula>SUMIF($D$127:$D$4732,$D3,$O$127:$O$4732)</calculatedColumnFormula>
    </tableColumn>
  </tableColumns>
  <tableStyleInfo name="TableStyleLight16"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3000000}" name="Table17" displayName="Table17" ref="A126:O4078" totalsRowCount="1" dataDxfId="103">
  <autoFilter ref="A126:O4077" xr:uid="{00000000-0009-0000-0100-000011000000}"/>
  <tableColumns count="15">
    <tableColumn id="1" xr3:uid="{00000000-0010-0000-0300-000001000000}" name="SCHOOL" totalsRowLabel="Total" dataDxfId="102" totalsRowDxfId="101" dataCellStyle="Normal 16 3">
      <calculatedColumnFormula>VLOOKUP(RIGHT(E127,3)+0,SchLocTable!$A$2:$B$47,2,FALSE)</calculatedColumnFormula>
    </tableColumn>
    <tableColumn id="2" xr3:uid="{00000000-0010-0000-0300-000002000000}" name="ORG DESCRIPTION" dataDxfId="100" totalsRowDxfId="99" dataCellStyle="Normal 16 3">
      <calculatedColumnFormula>VLOOKUP(VALUE(D127),$D$3:F$106,3,FALSE)</calculatedColumnFormula>
    </tableColumn>
    <tableColumn id="3" xr3:uid="{00000000-0010-0000-0300-000003000000}" name="FUND" dataDxfId="98" totalsRowDxfId="97" dataCellStyle="Normal 2 2 5"/>
    <tableColumn id="4" xr3:uid="{00000000-0010-0000-0300-000004000000}" name="DEPT" dataDxfId="96" totalsRowDxfId="95" dataCellStyle="Normal 2 2 5"/>
    <tableColumn id="5" xr3:uid="{00000000-0010-0000-0300-000005000000}" name="ORG" dataDxfId="94" totalsRowDxfId="93" dataCellStyle="Normal 2 2 5"/>
    <tableColumn id="6" xr3:uid="{00000000-0010-0000-0300-000006000000}" name="DESC" dataDxfId="92" totalsRowDxfId="91" dataCellStyle="Normal 2 2 5"/>
    <tableColumn id="7" xr3:uid="{00000000-0010-0000-0300-000007000000}" name="FTE" totalsRowFunction="sum" dataDxfId="90" totalsRowDxfId="89" dataCellStyle="Normal 2 2 5"/>
    <tableColumn id="8" xr3:uid="{00000000-0010-0000-0300-000008000000}" name="OBJECT" dataDxfId="88" totalsRowDxfId="87" dataCellStyle="Normal 2 2 5"/>
    <tableColumn id="9" xr3:uid="{00000000-0010-0000-0300-000009000000}" name="CY_REVISED_BUD" totalsRowFunction="sum" dataDxfId="86" totalsRowDxfId="85" dataCellStyle="Comma 4"/>
    <tableColumn id="10" xr3:uid="{00000000-0010-0000-0300-00000A000000}" name="CY_REQ" totalsRowFunction="sum" dataDxfId="84" totalsRowDxfId="83" dataCellStyle="Normal 2 2 5"/>
    <tableColumn id="11" xr3:uid="{00000000-0010-0000-0300-00000B000000}" name="CY_ENCUMB" totalsRowFunction="sum" dataDxfId="82" totalsRowDxfId="81" dataCellStyle="Normal 2 2 5"/>
    <tableColumn id="12" xr3:uid="{00000000-0010-0000-0300-00000C000000}" name="CY_EXPEND" totalsRowFunction="sum" dataDxfId="80" totalsRowDxfId="79" dataCellStyle="Normal 2 2 5"/>
    <tableColumn id="13" xr3:uid="{00000000-0010-0000-0300-00000D000000}" name="TOTAL YTD" totalsRowFunction="sum" dataDxfId="78" totalsRowDxfId="77" dataCellStyle="Normal 2 2 5">
      <calculatedColumnFormula>SUM(J127:L127)</calculatedColumnFormula>
    </tableColumn>
    <tableColumn id="14" xr3:uid="{00000000-0010-0000-0300-00000E000000}" name="FORECAST" totalsRowFunction="sum" dataDxfId="76" totalsRowDxfId="75" dataCellStyle="Normal 2 2 5"/>
    <tableColumn id="15" xr3:uid="{00000000-0010-0000-0300-00000F000000}" name="VARIANCE" totalsRowFunction="sum" dataDxfId="74" totalsRowDxfId="73" dataCellStyle="Comma 4">
      <calculatedColumnFormula>I127-N127</calculatedColumnFormula>
    </tableColumn>
  </tableColumns>
  <tableStyleInfo name="TableStyleLight16"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DB8F5E-7DD6-49EE-A264-863B7F1F1C7F}" name="Table2726731436383210271164102" displayName="Table2726731436383210271164102" ref="A5:P210" insertRowShift="1" totalsRowCount="1" headerRowDxfId="72" dataDxfId="70" totalsRowDxfId="69" headerRowBorderDxfId="71" headerRowCellStyle="Normal 2">
  <autoFilter ref="A5:P209" xr:uid="{2BDB8F5E-7DD6-49EE-A264-863B7F1F1C7F}"/>
  <tableColumns count="16">
    <tableColumn id="1" xr3:uid="{8997E783-A1D0-4A65-9829-167F3F67EA61}" name="PROJECT NUMBER" totalsRowLabel="Total" dataDxfId="68" totalsRowDxfId="67" dataCellStyle="Normal 2"/>
    <tableColumn id="2" xr3:uid="{575EC069-A84D-406B-ADA4-1030C84A030D}" name="GRANT TITLE" dataDxfId="66" totalsRowDxfId="65" dataCellStyle="Normal 2"/>
    <tableColumn id="15" xr3:uid="{24DBDA2E-A0A3-4408-B351-0A41D4E1271E}" name="SCH #" dataDxfId="64" totalsRowDxfId="63" dataCellStyle="Normal 2"/>
    <tableColumn id="13" xr3:uid="{CC5E0453-D556-40F0-B1B3-43FB811208C1}" name="STATE" dataDxfId="62" totalsRowDxfId="61" dataCellStyle="Normal 2"/>
    <tableColumn id="3" xr3:uid="{38504930-FCAC-402C-87BB-C761150AD56A}" name="FEDERAL" dataDxfId="60" totalsRowDxfId="59" dataCellStyle="Normal 2"/>
    <tableColumn id="14" xr3:uid="{340FC584-F811-4FAE-9F4B-14AE544778DB}" name="PRIVATE" dataDxfId="58" totalsRowDxfId="57" dataCellStyle="Normal 2"/>
    <tableColumn id="4" xr3:uid="{71DA9801-26C8-4868-A6BB-9AA1EC8B75B6}" name="FY2024-2025 BUDGET" totalsRowFunction="sum" dataDxfId="56" totalsRowDxfId="55"/>
    <tableColumn id="5" xr3:uid="{34AFECBE-E52F-4895-BEFD-386B44DF103C}" name="ADDITIONAL REVENUE " totalsRowFunction="sum" dataDxfId="54" totalsRowDxfId="53"/>
    <tableColumn id="6" xr3:uid="{8D0A46E6-CE60-471E-8D83-DF87F5C52A12}" name="FINAL BUDGET" totalsRowFunction="sum" dataDxfId="52" totalsRowDxfId="51">
      <calculatedColumnFormula>Table2726731436383210271164102[[#This Row],[FY2024-2025 BUDGET]]+Table2726731436383210271164102[[#This Row],[ADDITIONAL REVENUE ]]</calculatedColumnFormula>
    </tableColumn>
    <tableColumn id="7" xr3:uid="{81FF1307-DD12-4DC2-BD73-62FF6EC4935A}" name="EXPENDED " totalsRowFunction="sum" dataDxfId="50" totalsRowDxfId="49"/>
    <tableColumn id="8" xr3:uid="{71FD2E7A-3CA2-407C-81EF-AEAE3CB59D67}" name="ENCUMBERED" totalsRowFunction="sum" dataDxfId="48" totalsRowDxfId="47"/>
    <tableColumn id="10" xr3:uid="{3F75BB3D-DC94-44E0-8661-19EB7D62B298}" name="TOTAL YTD" totalsRowFunction="sum" dataDxfId="46" totalsRowDxfId="45">
      <calculatedColumnFormula>Table2726731436383210271164102[[#This Row],[EXPENDED ]]+Table2726731436383210271164102[[#This Row],[ENCUMBERED]]</calculatedColumnFormula>
    </tableColumn>
    <tableColumn id="9" xr3:uid="{0040FEC4-2886-4803-A873-FEC051ACD537}" name="AVAILABLE " totalsRowFunction="sum" dataDxfId="44" totalsRowDxfId="43">
      <calculatedColumnFormula>Table2726731436383210271164102[[#This Row],[FORECAST]]-Table2726731436383210271164102[[#This Row],[TOTAL YTD]]</calculatedColumnFormula>
    </tableColumn>
    <tableColumn id="16" xr3:uid="{49AC7EE4-7D19-47A0-820D-8E24429020BF}" name="% USED" dataDxfId="42" totalsRowDxfId="41">
      <calculatedColumnFormula>Table2726731436383210271164102[[#This Row],[TOTAL YTD]]/Table2726731436383210271164102[[#This Row],[FINAL BUDGET]]</calculatedColumnFormula>
    </tableColumn>
    <tableColumn id="11" xr3:uid="{E10C559E-C140-405B-BF1C-D9E776DC230E}" name="FORECAST" totalsRowFunction="sum" dataDxfId="40" totalsRowDxfId="39">
      <calculatedColumnFormula>Table2726731436383210271164102[[#This Row],[FINAL BUDGET]]</calculatedColumnFormula>
    </tableColumn>
    <tableColumn id="12" xr3:uid="{DF0C0C80-10C5-4E8D-AF44-9C1C371323CA}" name="ROLLOVER" totalsRowFunction="sum" dataDxfId="38" totalsRowDxfId="37">
      <calculatedColumnFormula>I6-O6</calculatedColumnFormula>
    </tableColumn>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BBC33E-019D-4286-9DC1-6D67D75E99BC}" name="Table1878915136106101264" displayName="Table1878915136106101264" ref="A7:G292" insertRowShift="1" totalsRowCount="1" headerRowDxfId="36" dataDxfId="35">
  <autoFilter ref="A7:G291" xr:uid="{3BBBC33E-019D-4286-9DC1-6D67D75E99BC}"/>
  <tableColumns count="7">
    <tableColumn id="2" xr3:uid="{97236730-201C-4FDB-83AA-10BB4B887152}" name="PROJECT NUMBER" totalsRowLabel="Total" dataDxfId="34" totalsRowDxfId="33" dataCellStyle="Normal 2"/>
    <tableColumn id="3" xr3:uid="{B099BD39-B1B9-4561-B9DE-526F9CBC64D2}" name="GRANT TITLE" dataDxfId="32" totalsRowDxfId="31" dataCellStyle="Normal 2"/>
    <tableColumn id="5" xr3:uid="{9441944D-F9DE-41DC-B493-D9BC2407E9A6}" name="END DATE" totalsRowFunction="count" dataDxfId="30" totalsRowDxfId="29"/>
    <tableColumn id="6" xr3:uid="{2E875478-AF29-4BD0-968F-509336167A64}" name="STATE" totalsRowFunction="count" dataDxfId="28" totalsRowDxfId="27"/>
    <tableColumn id="7" xr3:uid="{E9F56FC4-C106-4715-86E3-358E443F21A0}" name="FEDERAL" totalsRowFunction="count" dataDxfId="26" totalsRowDxfId="25"/>
    <tableColumn id="8" xr3:uid="{E8D9B62A-88FB-4036-8D93-4531609BF219}" name="PRIVATE" totalsRowFunction="count" dataDxfId="24" totalsRowDxfId="23"/>
    <tableColumn id="9" xr3:uid="{BE6BB21D-F457-417E-B9AC-DBA0A3C70807}" name="PURPOSE OF GRANT FUNDING" dataDxfId="22" totalsRowDxfId="21"/>
  </tableColumns>
  <tableStyleInfo name="TableStyleLight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22CAE2-9675-454D-8042-ED612BB873D3}" name="Table1573939143467598111210144527691011813151217181916456739108121315181954781091112131416151817212223242567891011121314151617181921222325578910111213141516171819202122113" displayName="Table1573939143467598111210144527691011813151217181916456739108121315181954781091112131416151817212223242567891011121314151617181921222325578910111213141516171819202122113" ref="A6:S97" totalsRowShown="0" headerRowDxfId="19" dataDxfId="18">
  <autoFilter ref="A6:S97" xr:uid="{00000000-0009-0000-0100-000009000000}"/>
  <tableColumns count="19">
    <tableColumn id="1" xr3:uid="{F9FF7337-E791-4B59-8FA8-A7995B71D1D2}" name="Code" dataDxfId="17"/>
    <tableColumn id="2" xr3:uid="{EE807A1F-6B43-4429-A089-3ADBBB1E8BA0}" name="Account Title" dataDxfId="16"/>
    <tableColumn id="3" xr3:uid="{0990049C-E3A8-41B9-8936-9171D2747EE3}" name="Actual" dataDxfId="15"/>
    <tableColumn id="8" xr3:uid="{6B1631AB-1C32-44D3-81DA-7A2C5436BDC8}" name="Actual." dataDxfId="14"/>
    <tableColumn id="4" xr3:uid="{2FE91013-9CB9-4A88-A013-CE29040650DC}" name="Actual.." dataDxfId="13"/>
    <tableColumn id="5" xr3:uid="{BDFE0BAD-94CD-48C0-B3C6-BD647052DDB7}" name="Actual…" dataDxfId="12"/>
    <tableColumn id="15" xr3:uid="{70DD19DE-CF67-443C-914B-4979E143389F}" name="Actual…."/>
    <tableColumn id="16" xr3:uid="{6F4AC3FA-75A5-42E4-82A1-46A03709BE0F}" name="Actual….."/>
    <tableColumn id="17" xr3:uid="{6925683E-9BBC-493C-919B-C33299FA4A1D}" name="Actual…..."/>
    <tableColumn id="18" xr3:uid="{9C08D02A-E27D-4211-BC04-1C61EDF1C4CA}" name="Actual…&gt;"/>
    <tableColumn id="19" xr3:uid="{DC68C9C6-9425-476A-B554-8FE85F13A31D}" name="Projected"/>
    <tableColumn id="14" xr3:uid="{26791CC3-77E4-4A95-9385-8FDA53E16325}" name=".."/>
    <tableColumn id="6" xr3:uid="{97E38B9E-B276-4E97-9829-34B2FB7CC9C6}" name="…" dataDxfId="11"/>
    <tableColumn id="7" xr3:uid="{8FADCAA9-6FE4-48CE-8E18-D4FF0FE70DFF}" name="…." dataDxfId="10"/>
    <tableColumn id="9" xr3:uid="{1C6316F0-9D05-4260-83B2-D9BF6B1BFBD3}" name="MUNIS: REVENUE Year to Date" dataDxfId="9"/>
    <tableColumn id="10" xr3:uid="{BB6FBDDA-CD51-482C-92B0-BEAB62B53DC4}" name="Balance" dataDxfId="8"/>
    <tableColumn id="11" xr3:uid="{981DC7BE-A3C1-44AE-9CDA-4CF40686CA82}" name="FORECAST" dataDxfId="7">
      <calculatedColumnFormula>Table1573939143467598111210144527691011813151217181916456739108121315181954781091112131416151817212223242567891011121314151617181921222325578910111213141516171819202122113[[#This Row],[Balance]]</calculatedColumnFormula>
    </tableColumn>
    <tableColumn id="12" xr3:uid="{F13E11B0-6CDE-44BE-97AF-A48F90D93C97}" name="REVENUE VARIANCE to Date" dataDxfId="6"/>
    <tableColumn id="13" xr3:uid="{99019D01-86AC-4602-A847-FED84F7EC920}" name="NOTES" dataDxfId="5"/>
  </tableColumns>
  <tableStyleInfo name="TableStyleLight16"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9000000}" name="Table24" displayName="Table24" ref="A1:B48" totalsRowShown="0" headerRowDxfId="4" headerRowCellStyle="Normal 2 2">
  <autoFilter ref="A1:B48" xr:uid="{00000000-0009-0000-0100-00000E000000}"/>
  <sortState xmlns:xlrd2="http://schemas.microsoft.com/office/spreadsheetml/2017/richdata2" ref="A2:B48">
    <sortCondition ref="A1:A48"/>
  </sortState>
  <tableColumns count="2">
    <tableColumn id="3" xr3:uid="{00000000-0010-0000-0900-000003000000}" name="Loc Code" dataDxfId="3" totalsRowDxfId="2" dataCellStyle="Normal 2 2">
      <calculatedColumnFormula>#REF!</calculatedColumnFormula>
    </tableColumn>
    <tableColumn id="4" xr3:uid="{00000000-0010-0000-0900-000004000000}" name="Location" dataDxfId="1" totalsRowDxfId="0" dataCellStyle="Normal 2 2"/>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6FF33"/>
  </sheetPr>
  <dimension ref="A1:V349"/>
  <sheetViews>
    <sheetView showGridLines="0" tabSelected="1" topLeftCell="A273" zoomScale="115" zoomScaleNormal="115" workbookViewId="0">
      <selection activeCell="F251" sqref="F251"/>
    </sheetView>
  </sheetViews>
  <sheetFormatPr defaultColWidth="16.42578125" defaultRowHeight="12" customHeight="1" x14ac:dyDescent="0.2"/>
  <cols>
    <col min="1" max="1" width="5.5703125" style="521" customWidth="1"/>
    <col min="2" max="2" width="1" style="65" customWidth="1"/>
    <col min="3" max="3" width="12.28515625" style="65" customWidth="1"/>
    <col min="4" max="4" width="8.5703125" style="65" customWidth="1"/>
    <col min="5" max="5" width="9.5703125" style="65" customWidth="1"/>
    <col min="6" max="6" width="12.42578125" style="65" customWidth="1"/>
    <col min="7" max="7" width="12.5703125" style="65" customWidth="1"/>
    <col min="8" max="8" width="5.42578125" style="65" customWidth="1"/>
    <col min="9" max="9" width="15" style="65" customWidth="1"/>
    <col min="10" max="10" width="1.7109375" style="65" customWidth="1"/>
    <col min="11" max="11" width="7.7109375" style="65" customWidth="1"/>
    <col min="12" max="12" width="13.28515625" style="65" customWidth="1"/>
    <col min="13" max="13" width="10.7109375" style="65" customWidth="1"/>
    <col min="14" max="14" width="3.7109375" style="65" customWidth="1"/>
    <col min="15" max="15" width="14.42578125" style="66" customWidth="1"/>
    <col min="16" max="16" width="14" style="423" customWidth="1"/>
    <col min="17" max="16384" width="16.42578125" style="23"/>
  </cols>
  <sheetData>
    <row r="1" spans="1:16" s="310" customFormat="1" ht="23.65" customHeight="1" x14ac:dyDescent="0.25">
      <c r="A1" s="882" t="s">
        <v>0</v>
      </c>
      <c r="B1" s="882"/>
      <c r="C1" s="882"/>
      <c r="D1" s="882"/>
      <c r="E1" s="882"/>
      <c r="F1" s="882"/>
      <c r="G1" s="882"/>
      <c r="H1" s="882"/>
      <c r="I1" s="882"/>
      <c r="J1" s="882"/>
      <c r="K1" s="882"/>
      <c r="L1" s="882"/>
      <c r="M1" s="882"/>
      <c r="N1" s="882"/>
      <c r="O1" s="882"/>
      <c r="P1" s="882"/>
    </row>
    <row r="2" spans="1:16" ht="23.65" customHeight="1" x14ac:dyDescent="0.2">
      <c r="A2" s="883" t="s">
        <v>1558</v>
      </c>
      <c r="B2" s="884"/>
      <c r="C2" s="884"/>
      <c r="D2" s="884"/>
      <c r="E2" s="884"/>
      <c r="F2" s="884"/>
      <c r="G2" s="884"/>
      <c r="H2" s="884"/>
      <c r="I2" s="884"/>
      <c r="J2" s="884"/>
      <c r="K2" s="884"/>
      <c r="L2" s="884"/>
      <c r="M2" s="884"/>
      <c r="N2" s="884"/>
      <c r="O2" s="884"/>
      <c r="P2" s="885"/>
    </row>
    <row r="3" spans="1:16" ht="5.25" customHeight="1" x14ac:dyDescent="0.2">
      <c r="A3" s="886"/>
      <c r="B3" s="887"/>
      <c r="C3" s="887"/>
      <c r="D3" s="887"/>
      <c r="E3" s="887"/>
      <c r="F3" s="887"/>
      <c r="G3" s="887"/>
      <c r="H3" s="887"/>
      <c r="I3" s="887"/>
      <c r="J3" s="887"/>
      <c r="K3" s="887"/>
      <c r="L3" s="887"/>
      <c r="M3" s="887"/>
      <c r="N3" s="887"/>
      <c r="O3" s="887"/>
      <c r="P3" s="56"/>
    </row>
    <row r="4" spans="1:16" s="314" customFormat="1" ht="19.5" customHeight="1" thickBot="1" x14ac:dyDescent="0.25">
      <c r="A4" s="508" t="s">
        <v>1</v>
      </c>
      <c r="B4" s="311"/>
      <c r="C4" s="312" t="s">
        <v>2</v>
      </c>
      <c r="D4" s="312"/>
      <c r="E4" s="312"/>
      <c r="F4" s="312"/>
      <c r="G4" s="311" t="s">
        <v>3</v>
      </c>
      <c r="H4" s="313"/>
      <c r="I4" s="311" t="s">
        <v>3</v>
      </c>
      <c r="J4" s="311"/>
      <c r="K4" s="311"/>
      <c r="L4" s="311" t="s">
        <v>3</v>
      </c>
      <c r="M4" s="311"/>
      <c r="N4" s="311"/>
      <c r="O4" s="311"/>
      <c r="P4" s="118"/>
    </row>
    <row r="5" spans="1:16" ht="18.75" customHeight="1" thickBot="1" x14ac:dyDescent="0.25">
      <c r="A5" s="57" t="s">
        <v>4</v>
      </c>
      <c r="B5" s="58"/>
      <c r="C5" s="58" t="s">
        <v>5</v>
      </c>
      <c r="D5" s="58"/>
      <c r="E5" s="58"/>
      <c r="F5" s="58"/>
      <c r="G5" s="59"/>
      <c r="H5" s="59"/>
      <c r="I5" s="60"/>
      <c r="J5" s="60"/>
      <c r="K5" s="59"/>
      <c r="L5" s="61">
        <v>215843895</v>
      </c>
      <c r="M5" s="62"/>
      <c r="N5" s="62"/>
      <c r="O5" s="62"/>
      <c r="P5" s="63"/>
    </row>
    <row r="6" spans="1:16" ht="5.25" customHeight="1" x14ac:dyDescent="0.2">
      <c r="A6" s="64"/>
      <c r="B6" s="315"/>
      <c r="C6" s="316"/>
      <c r="D6" s="316"/>
      <c r="E6" s="316"/>
      <c r="F6" s="316"/>
      <c r="L6" s="317"/>
      <c r="M6" s="317"/>
      <c r="N6" s="317"/>
      <c r="P6" s="56"/>
    </row>
    <row r="7" spans="1:16" ht="12" customHeight="1" x14ac:dyDescent="0.2">
      <c r="A7" s="64"/>
      <c r="B7" s="315"/>
      <c r="C7" s="318" t="s">
        <v>6</v>
      </c>
      <c r="D7" s="318"/>
      <c r="E7" s="316"/>
      <c r="F7" s="316"/>
      <c r="G7" s="319">
        <v>51648551</v>
      </c>
      <c r="I7" s="67"/>
      <c r="L7" s="317"/>
      <c r="M7" s="320">
        <f>G7/$L$5</f>
        <v>0.23928659645434958</v>
      </c>
      <c r="N7" s="320"/>
      <c r="P7" s="56"/>
    </row>
    <row r="8" spans="1:16" ht="5.25" customHeight="1" x14ac:dyDescent="0.2">
      <c r="A8" s="64"/>
      <c r="B8" s="315"/>
      <c r="C8" s="316"/>
      <c r="D8" s="316"/>
      <c r="E8" s="316"/>
      <c r="F8" s="316"/>
      <c r="I8" s="67"/>
      <c r="L8" s="317"/>
      <c r="P8" s="56"/>
    </row>
    <row r="9" spans="1:16" ht="12" customHeight="1" x14ac:dyDescent="0.2">
      <c r="A9" s="64"/>
      <c r="B9" s="315"/>
      <c r="C9" s="318" t="s">
        <v>1571</v>
      </c>
      <c r="D9" s="318"/>
      <c r="E9" s="316"/>
      <c r="F9" s="316"/>
      <c r="G9" s="319">
        <v>164195344</v>
      </c>
      <c r="I9" s="67"/>
      <c r="L9" s="317"/>
      <c r="M9" s="320">
        <f>G9/$L$5</f>
        <v>0.76071340354565042</v>
      </c>
      <c r="N9" s="320"/>
      <c r="P9" s="56"/>
    </row>
    <row r="10" spans="1:16" s="9" customFormat="1" ht="4.5" customHeight="1" x14ac:dyDescent="0.2">
      <c r="A10" s="509"/>
      <c r="B10" s="321"/>
      <c r="C10" s="322"/>
      <c r="D10" s="322"/>
      <c r="E10" s="322"/>
      <c r="F10" s="322"/>
      <c r="G10" s="323"/>
      <c r="H10" s="65"/>
      <c r="I10" s="320"/>
      <c r="J10" s="320"/>
      <c r="K10" s="324"/>
      <c r="L10" s="323"/>
      <c r="M10" s="323"/>
      <c r="N10" s="323"/>
      <c r="O10" s="323"/>
      <c r="P10" s="68"/>
    </row>
    <row r="11" spans="1:16" ht="6" customHeight="1" thickBot="1" x14ac:dyDescent="0.25">
      <c r="A11" s="510"/>
      <c r="B11" s="325"/>
      <c r="C11" s="325"/>
      <c r="D11" s="325"/>
      <c r="E11" s="325"/>
      <c r="F11" s="325"/>
      <c r="G11" s="326"/>
      <c r="H11" s="326"/>
      <c r="I11" s="326"/>
      <c r="J11" s="326"/>
      <c r="K11" s="326"/>
      <c r="L11" s="327"/>
      <c r="M11" s="327"/>
      <c r="N11" s="327"/>
      <c r="O11" s="327"/>
      <c r="P11" s="69"/>
    </row>
    <row r="12" spans="1:16" ht="18.75" customHeight="1" thickBot="1" x14ac:dyDescent="0.25">
      <c r="A12" s="70" t="s">
        <v>7</v>
      </c>
      <c r="B12" s="315"/>
      <c r="C12" s="315" t="s">
        <v>5</v>
      </c>
      <c r="D12" s="315"/>
      <c r="E12" s="315"/>
      <c r="F12" s="315"/>
      <c r="I12" s="328"/>
      <c r="L12" s="61">
        <f>224218122+16502</f>
        <v>224234624</v>
      </c>
      <c r="M12" s="317"/>
      <c r="N12" s="317"/>
      <c r="P12" s="56"/>
    </row>
    <row r="13" spans="1:16" ht="5.25" customHeight="1" x14ac:dyDescent="0.2">
      <c r="A13" s="64"/>
      <c r="B13" s="316"/>
      <c r="C13" s="316"/>
      <c r="D13" s="316"/>
      <c r="E13" s="316"/>
      <c r="F13" s="316"/>
      <c r="G13" s="328"/>
      <c r="H13" s="328"/>
      <c r="I13" s="328"/>
      <c r="J13" s="328"/>
      <c r="K13" s="328"/>
      <c r="P13" s="56"/>
    </row>
    <row r="14" spans="1:16" ht="17.25" customHeight="1" x14ac:dyDescent="0.2">
      <c r="A14" s="64"/>
      <c r="B14" s="315"/>
      <c r="C14" s="315" t="s">
        <v>6</v>
      </c>
      <c r="D14" s="315"/>
      <c r="E14" s="315"/>
      <c r="F14" s="315"/>
      <c r="G14" s="319">
        <v>55635053</v>
      </c>
      <c r="L14" s="317"/>
      <c r="M14" s="330">
        <f>G14/$L$12</f>
        <v>0.24811089388229357</v>
      </c>
      <c r="N14" s="330"/>
      <c r="O14" s="331"/>
      <c r="P14" s="56"/>
    </row>
    <row r="15" spans="1:16" ht="17.25" customHeight="1" x14ac:dyDescent="0.2">
      <c r="A15" s="64"/>
      <c r="B15" s="315"/>
      <c r="C15" s="316" t="s">
        <v>8</v>
      </c>
      <c r="D15" s="316"/>
      <c r="E15" s="332" t="s">
        <v>9</v>
      </c>
      <c r="F15" s="315"/>
      <c r="I15" s="328">
        <f>G14-G7</f>
        <v>3986502</v>
      </c>
      <c r="J15" s="328"/>
      <c r="K15" s="333">
        <f>I15/G7</f>
        <v>7.7185166336999469E-2</v>
      </c>
      <c r="L15" s="328" t="s">
        <v>10</v>
      </c>
      <c r="M15" s="317"/>
      <c r="N15" s="332"/>
      <c r="O15" s="331"/>
      <c r="P15" s="56"/>
    </row>
    <row r="16" spans="1:16" ht="5.25" customHeight="1" thickBot="1" x14ac:dyDescent="0.25">
      <c r="A16" s="64"/>
      <c r="B16" s="315"/>
      <c r="C16" s="316"/>
      <c r="D16" s="316"/>
      <c r="E16" s="316"/>
      <c r="F16" s="316"/>
      <c r="L16" s="317"/>
      <c r="M16" s="317"/>
      <c r="N16" s="317"/>
      <c r="P16" s="56"/>
    </row>
    <row r="17" spans="1:16" ht="17.25" customHeight="1" x14ac:dyDescent="0.2">
      <c r="A17" s="64"/>
      <c r="B17" s="315"/>
      <c r="C17" s="316" t="s">
        <v>1572</v>
      </c>
      <c r="D17" s="316"/>
      <c r="E17" s="315"/>
      <c r="F17" s="315"/>
      <c r="G17" s="107">
        <v>164195344</v>
      </c>
      <c r="I17" s="328"/>
      <c r="L17" s="317"/>
      <c r="M17" s="330">
        <f>F19/$L$12</f>
        <v>0.75188910611770643</v>
      </c>
      <c r="N17" s="330"/>
      <c r="P17" s="56"/>
    </row>
    <row r="18" spans="1:16" ht="17.25" customHeight="1" thickBot="1" x14ac:dyDescent="0.25">
      <c r="A18" s="64"/>
      <c r="B18" s="315"/>
      <c r="C18" s="316" t="s">
        <v>1573</v>
      </c>
      <c r="D18" s="316"/>
      <c r="E18" s="318"/>
      <c r="F18" s="318"/>
      <c r="G18" s="108">
        <v>4404227</v>
      </c>
      <c r="L18" s="317"/>
      <c r="M18" s="330"/>
      <c r="N18" s="330"/>
      <c r="P18" s="56"/>
    </row>
    <row r="19" spans="1:16" ht="17.25" customHeight="1" thickBot="1" x14ac:dyDescent="0.25">
      <c r="A19" s="64"/>
      <c r="B19" s="315"/>
      <c r="C19" s="316"/>
      <c r="D19" s="876" t="s">
        <v>11</v>
      </c>
      <c r="E19" s="876"/>
      <c r="F19" s="93">
        <f>SUM(G17:G18)</f>
        <v>168599571</v>
      </c>
      <c r="G19" s="319"/>
      <c r="L19" s="317"/>
      <c r="M19" s="330"/>
      <c r="N19" s="330"/>
      <c r="P19" s="56"/>
    </row>
    <row r="20" spans="1:16" ht="17.25" customHeight="1" thickBot="1" x14ac:dyDescent="0.25">
      <c r="A20" s="64"/>
      <c r="B20" s="316"/>
      <c r="C20" s="316" t="s">
        <v>8</v>
      </c>
      <c r="D20" s="316"/>
      <c r="E20" s="315"/>
      <c r="F20" s="315"/>
      <c r="G20" s="334"/>
      <c r="I20" s="328">
        <f>F19-G9</f>
        <v>4404227</v>
      </c>
      <c r="J20" s="328"/>
      <c r="K20" s="333">
        <f>I20/G9</f>
        <v>2.6823093107926372E-2</v>
      </c>
      <c r="L20" s="328" t="s">
        <v>10</v>
      </c>
      <c r="O20" s="329">
        <f>I20</f>
        <v>4404227</v>
      </c>
      <c r="P20" s="71" t="s">
        <v>12</v>
      </c>
    </row>
    <row r="21" spans="1:16" ht="16.149999999999999" customHeight="1" thickBot="1" x14ac:dyDescent="0.25">
      <c r="A21" s="511"/>
      <c r="C21" s="335" t="s">
        <v>1570</v>
      </c>
      <c r="D21" s="335"/>
      <c r="E21" s="335"/>
      <c r="F21" s="335"/>
      <c r="G21" s="67"/>
      <c r="H21" s="316"/>
      <c r="J21" s="336"/>
      <c r="K21" s="877" t="s">
        <v>13</v>
      </c>
      <c r="L21" s="877"/>
      <c r="M21" s="877"/>
      <c r="N21" s="878"/>
      <c r="O21" s="337">
        <f>L12-L5</f>
        <v>8390729</v>
      </c>
      <c r="P21" s="338">
        <f>O21/L5</f>
        <v>3.8874062201295988E-2</v>
      </c>
    </row>
    <row r="22" spans="1:16" ht="4.5" customHeight="1" x14ac:dyDescent="0.2">
      <c r="A22" s="64"/>
      <c r="B22" s="316"/>
      <c r="C22" s="316"/>
      <c r="D22" s="316"/>
      <c r="E22" s="316"/>
      <c r="F22" s="316"/>
      <c r="G22" s="328"/>
      <c r="H22" s="328"/>
      <c r="I22" s="328"/>
      <c r="J22" s="328"/>
      <c r="K22" s="328"/>
      <c r="P22" s="56"/>
    </row>
    <row r="23" spans="1:16" ht="6" customHeight="1" thickBot="1" x14ac:dyDescent="0.25">
      <c r="A23" s="510"/>
      <c r="B23" s="325"/>
      <c r="C23" s="325"/>
      <c r="D23" s="325"/>
      <c r="E23" s="325"/>
      <c r="F23" s="325"/>
      <c r="G23" s="326"/>
      <c r="H23" s="326"/>
      <c r="I23" s="326"/>
      <c r="J23" s="326"/>
      <c r="K23" s="326"/>
      <c r="L23" s="327"/>
      <c r="M23" s="327"/>
      <c r="N23" s="327"/>
      <c r="O23" s="327"/>
      <c r="P23" s="69"/>
    </row>
    <row r="24" spans="1:16" ht="18.75" customHeight="1" thickBot="1" x14ac:dyDescent="0.25">
      <c r="A24" s="70" t="s">
        <v>14</v>
      </c>
      <c r="B24" s="315"/>
      <c r="C24" s="315" t="s">
        <v>15</v>
      </c>
      <c r="D24" s="315"/>
      <c r="E24" s="315"/>
      <c r="F24" s="315"/>
      <c r="L24" s="61">
        <f>L12+I26+I32</f>
        <v>232641042</v>
      </c>
      <c r="M24" s="317"/>
      <c r="N24" s="317"/>
      <c r="P24" s="56"/>
    </row>
    <row r="25" spans="1:16" ht="17.25" customHeight="1" x14ac:dyDescent="0.2">
      <c r="A25" s="64"/>
      <c r="B25" s="316"/>
      <c r="C25" s="316" t="s">
        <v>16</v>
      </c>
      <c r="D25" s="316"/>
      <c r="E25" s="316"/>
      <c r="F25" s="316"/>
      <c r="G25" s="319">
        <f>G14+I26</f>
        <v>58916756</v>
      </c>
      <c r="H25" s="328" t="s">
        <v>17</v>
      </c>
      <c r="I25" s="328"/>
      <c r="J25" s="328"/>
      <c r="K25" s="328"/>
      <c r="M25" s="330">
        <f>G25/$L$24</f>
        <v>0.25325177145656008</v>
      </c>
      <c r="N25" s="330"/>
      <c r="P25" s="56"/>
    </row>
    <row r="26" spans="1:16" ht="17.25" customHeight="1" x14ac:dyDescent="0.2">
      <c r="A26" s="64"/>
      <c r="B26" s="316"/>
      <c r="C26" s="316" t="s">
        <v>8</v>
      </c>
      <c r="D26" s="316"/>
      <c r="E26" s="316"/>
      <c r="F26" s="316"/>
      <c r="G26" s="328"/>
      <c r="H26" s="328"/>
      <c r="I26" s="328">
        <v>3281703</v>
      </c>
      <c r="J26" s="328"/>
      <c r="K26" s="339">
        <f>I26/G14</f>
        <v>5.8986247393347499E-2</v>
      </c>
      <c r="L26" s="340" t="s">
        <v>10</v>
      </c>
      <c r="P26" s="56"/>
    </row>
    <row r="27" spans="1:16" ht="17.25" customHeight="1" x14ac:dyDescent="0.2">
      <c r="A27" s="64"/>
      <c r="B27" s="316"/>
      <c r="C27" s="341" t="s">
        <v>18</v>
      </c>
      <c r="D27" s="341"/>
      <c r="E27" s="316"/>
      <c r="F27" s="316"/>
      <c r="G27" s="328"/>
      <c r="H27" s="328"/>
      <c r="I27" s="328"/>
      <c r="J27" s="328"/>
      <c r="K27" s="339"/>
      <c r="L27" s="340"/>
      <c r="M27" s="342">
        <v>1212273</v>
      </c>
      <c r="P27" s="56"/>
    </row>
    <row r="28" spans="1:16" ht="16.5" customHeight="1" thickBot="1" x14ac:dyDescent="0.25">
      <c r="A28" s="64"/>
      <c r="B28" s="316"/>
      <c r="C28" s="341" t="s">
        <v>19</v>
      </c>
      <c r="D28" s="341"/>
      <c r="E28" s="343"/>
      <c r="F28" s="343"/>
      <c r="G28" s="344"/>
      <c r="H28" s="344"/>
      <c r="I28" s="345"/>
      <c r="J28" s="345"/>
      <c r="K28" s="346"/>
      <c r="L28" s="347" t="s">
        <v>20</v>
      </c>
      <c r="M28" s="345"/>
      <c r="N28" s="345"/>
      <c r="P28" s="56"/>
    </row>
    <row r="29" spans="1:16" ht="17.25" customHeight="1" x14ac:dyDescent="0.2">
      <c r="A29" s="511"/>
      <c r="C29" s="316" t="s">
        <v>1574</v>
      </c>
      <c r="D29" s="316"/>
      <c r="E29" s="318"/>
      <c r="F29" s="318"/>
      <c r="G29" s="107">
        <v>164195344</v>
      </c>
      <c r="K29" s="348"/>
      <c r="L29" s="349"/>
      <c r="M29" s="330">
        <f>F31/L24</f>
        <v>0.74674822854343992</v>
      </c>
      <c r="N29" s="330"/>
      <c r="P29" s="56"/>
    </row>
    <row r="30" spans="1:16" ht="17.25" customHeight="1" thickBot="1" x14ac:dyDescent="0.25">
      <c r="A30" s="511"/>
      <c r="C30" s="316" t="s">
        <v>1575</v>
      </c>
      <c r="D30" s="316"/>
      <c r="E30" s="318"/>
      <c r="F30" s="318"/>
      <c r="G30" s="108">
        <v>9528942</v>
      </c>
      <c r="I30" s="350"/>
      <c r="K30" s="348"/>
      <c r="L30" s="349"/>
      <c r="M30" s="330"/>
      <c r="N30" s="330"/>
      <c r="P30" s="56"/>
    </row>
    <row r="31" spans="1:16" ht="17.25" customHeight="1" thickBot="1" x14ac:dyDescent="0.25">
      <c r="A31" s="511"/>
      <c r="C31" s="316"/>
      <c r="D31" s="876" t="s">
        <v>11</v>
      </c>
      <c r="E31" s="876"/>
      <c r="F31" s="93">
        <f>SUM(G29:G30)</f>
        <v>173724286</v>
      </c>
      <c r="G31" s="319"/>
      <c r="K31" s="348"/>
      <c r="L31" s="349"/>
      <c r="M31" s="330"/>
      <c r="N31" s="330"/>
      <c r="P31" s="56"/>
    </row>
    <row r="32" spans="1:16" ht="17.25" customHeight="1" x14ac:dyDescent="0.2">
      <c r="A32" s="64"/>
      <c r="B32" s="316"/>
      <c r="C32" s="316" t="s">
        <v>8</v>
      </c>
      <c r="D32" s="316"/>
      <c r="E32" s="316"/>
      <c r="F32" s="316"/>
      <c r="G32" s="319"/>
      <c r="H32" s="328"/>
      <c r="I32" s="328">
        <f>F31-F19</f>
        <v>5124715</v>
      </c>
      <c r="J32" s="328"/>
      <c r="K32" s="339">
        <f>I32/F19</f>
        <v>3.0395777222944415E-2</v>
      </c>
      <c r="L32" s="340" t="s">
        <v>10</v>
      </c>
      <c r="O32" s="329">
        <v>9528942</v>
      </c>
      <c r="P32" s="71" t="s">
        <v>12</v>
      </c>
    </row>
    <row r="33" spans="1:16" ht="5.25" customHeight="1" thickBot="1" x14ac:dyDescent="0.25">
      <c r="A33" s="511"/>
      <c r="C33" s="322"/>
      <c r="D33" s="322"/>
      <c r="E33" s="322"/>
      <c r="F33" s="322"/>
      <c r="G33" s="351"/>
      <c r="H33" s="352"/>
      <c r="I33" s="336"/>
      <c r="J33" s="336"/>
      <c r="P33" s="56"/>
    </row>
    <row r="34" spans="1:16" ht="16.149999999999999" customHeight="1" thickBot="1" x14ac:dyDescent="0.25">
      <c r="A34" s="511"/>
      <c r="C34" s="335" t="s">
        <v>1569</v>
      </c>
      <c r="D34" s="335"/>
      <c r="E34" s="335"/>
      <c r="F34" s="335"/>
      <c r="G34" s="67"/>
      <c r="H34" s="316"/>
      <c r="J34" s="336"/>
      <c r="K34" s="877" t="s">
        <v>13</v>
      </c>
      <c r="L34" s="877"/>
      <c r="M34" s="877"/>
      <c r="N34" s="878"/>
      <c r="O34" s="337">
        <f>L24-L12</f>
        <v>8406418</v>
      </c>
      <c r="P34" s="338">
        <f>O34/L12</f>
        <v>3.7489384333438174E-2</v>
      </c>
    </row>
    <row r="35" spans="1:16" ht="4.5" customHeight="1" x14ac:dyDescent="0.2">
      <c r="A35" s="64"/>
      <c r="B35" s="316"/>
      <c r="C35" s="316"/>
      <c r="D35" s="316"/>
      <c r="E35" s="316"/>
      <c r="F35" s="316"/>
      <c r="G35" s="328"/>
      <c r="H35" s="328"/>
      <c r="I35" s="328"/>
      <c r="J35" s="328"/>
      <c r="K35" s="328"/>
      <c r="P35" s="56"/>
    </row>
    <row r="36" spans="1:16" ht="19.149999999999999" customHeight="1" thickBot="1" x14ac:dyDescent="0.25">
      <c r="A36" s="512"/>
      <c r="B36" s="353"/>
      <c r="C36" s="354" t="s">
        <v>21</v>
      </c>
      <c r="H36" s="72" t="s">
        <v>22</v>
      </c>
      <c r="I36" s="73"/>
      <c r="J36" s="73"/>
      <c r="K36" s="73"/>
      <c r="L36" s="355">
        <v>-1078805</v>
      </c>
      <c r="M36" s="356" t="s">
        <v>23</v>
      </c>
      <c r="N36" s="353"/>
      <c r="O36" s="353"/>
      <c r="P36" s="357"/>
    </row>
    <row r="37" spans="1:16" ht="15" customHeight="1" x14ac:dyDescent="0.2">
      <c r="A37" s="512"/>
      <c r="B37" s="353"/>
      <c r="C37" s="358">
        <v>1200000</v>
      </c>
      <c r="D37" s="359" t="s">
        <v>24</v>
      </c>
      <c r="G37" s="353"/>
      <c r="H37" s="353"/>
      <c r="I37" s="353"/>
      <c r="J37" s="353"/>
      <c r="K37" s="353"/>
      <c r="L37" s="360">
        <v>-1019400</v>
      </c>
      <c r="M37" s="361" t="s">
        <v>25</v>
      </c>
      <c r="N37" s="353"/>
      <c r="O37" s="353"/>
      <c r="P37" s="357"/>
    </row>
    <row r="38" spans="1:16" ht="15" customHeight="1" x14ac:dyDescent="0.2">
      <c r="A38" s="512"/>
      <c r="B38" s="353"/>
      <c r="C38" s="362">
        <v>1019400</v>
      </c>
      <c r="D38" s="359" t="s">
        <v>26</v>
      </c>
      <c r="G38" s="353"/>
      <c r="H38" s="353"/>
      <c r="I38" s="353"/>
      <c r="J38" s="353"/>
      <c r="K38" s="353"/>
      <c r="L38" s="363">
        <f>-O32</f>
        <v>-9528942</v>
      </c>
      <c r="M38" s="361" t="s">
        <v>27</v>
      </c>
      <c r="N38" s="353"/>
      <c r="O38" s="353"/>
      <c r="P38" s="357"/>
    </row>
    <row r="39" spans="1:16" ht="15" customHeight="1" thickBot="1" x14ac:dyDescent="0.25">
      <c r="A39" s="512"/>
      <c r="B39" s="353"/>
      <c r="C39" s="364">
        <v>1062303</v>
      </c>
      <c r="D39" s="359" t="s">
        <v>28</v>
      </c>
      <c r="G39" s="353"/>
      <c r="H39" s="353"/>
      <c r="I39" s="353"/>
      <c r="J39" s="353"/>
      <c r="K39" s="353"/>
      <c r="L39" s="365">
        <f>SUM(L24,L36:L38)</f>
        <v>221013895</v>
      </c>
      <c r="M39" s="366" t="s">
        <v>29</v>
      </c>
      <c r="N39" s="353"/>
      <c r="O39" s="353"/>
      <c r="P39" s="357"/>
    </row>
    <row r="40" spans="1:16" ht="15" customHeight="1" thickTop="1" thickBot="1" x14ac:dyDescent="0.25">
      <c r="A40" s="512"/>
      <c r="B40" s="353"/>
      <c r="C40" s="74">
        <f>SUM(C37:C39)</f>
        <v>3281703</v>
      </c>
      <c r="D40" s="359" t="s">
        <v>30</v>
      </c>
      <c r="G40" s="353"/>
      <c r="H40" s="353"/>
      <c r="I40" s="353"/>
      <c r="J40" s="353"/>
      <c r="K40" s="353"/>
      <c r="L40" s="353"/>
      <c r="M40" s="359"/>
      <c r="N40" s="353"/>
      <c r="O40" s="353"/>
      <c r="P40" s="357"/>
    </row>
    <row r="41" spans="1:16" ht="15" customHeight="1" thickBot="1" x14ac:dyDescent="0.25">
      <c r="A41" s="512"/>
      <c r="B41" s="353"/>
      <c r="C41" s="367">
        <f>219830397-219813895</f>
        <v>16502</v>
      </c>
      <c r="D41" s="359" t="s">
        <v>31</v>
      </c>
      <c r="G41" s="353"/>
      <c r="H41" s="353"/>
      <c r="I41" s="353"/>
      <c r="J41" s="353"/>
      <c r="K41" s="353"/>
      <c r="L41" s="75">
        <f>L39+O32</f>
        <v>230542837</v>
      </c>
      <c r="M41" s="359" t="s">
        <v>32</v>
      </c>
      <c r="N41" s="353"/>
      <c r="O41" s="353"/>
      <c r="P41" s="357"/>
    </row>
    <row r="42" spans="1:16" ht="15" customHeight="1" thickBot="1" x14ac:dyDescent="0.25">
      <c r="A42" s="512"/>
      <c r="B42" s="359"/>
      <c r="C42" s="76">
        <f>SUM(C40:C41)</f>
        <v>3298205</v>
      </c>
      <c r="D42" s="359"/>
      <c r="E42" s="359"/>
      <c r="F42" s="359"/>
      <c r="G42" s="353"/>
      <c r="H42" s="353"/>
      <c r="I42" s="353"/>
      <c r="J42" s="353"/>
      <c r="K42" s="353"/>
      <c r="L42" s="353"/>
      <c r="M42" s="353"/>
      <c r="N42" s="353"/>
      <c r="O42" s="353"/>
      <c r="P42" s="357"/>
    </row>
    <row r="43" spans="1:16" ht="9" customHeight="1" thickBot="1" x14ac:dyDescent="0.25">
      <c r="A43" s="101"/>
      <c r="B43" s="77"/>
      <c r="C43" s="77"/>
      <c r="D43" s="77"/>
      <c r="E43" s="77"/>
      <c r="F43" s="77"/>
      <c r="G43" s="368"/>
      <c r="H43" s="368"/>
      <c r="I43" s="368"/>
      <c r="J43" s="368"/>
      <c r="K43" s="368"/>
      <c r="L43" s="78"/>
      <c r="M43" s="78"/>
      <c r="N43" s="78"/>
      <c r="O43" s="369"/>
      <c r="P43" s="370"/>
    </row>
    <row r="44" spans="1:16" ht="7.15" customHeight="1" thickBot="1" x14ac:dyDescent="0.25">
      <c r="A44" s="513"/>
      <c r="B44" s="79"/>
      <c r="C44" s="79"/>
      <c r="D44" s="79"/>
      <c r="E44" s="79"/>
      <c r="F44" s="79"/>
      <c r="G44" s="80"/>
      <c r="H44" s="80"/>
      <c r="I44" s="80"/>
      <c r="J44" s="80"/>
      <c r="K44" s="80"/>
      <c r="L44" s="81"/>
      <c r="M44" s="81"/>
      <c r="N44" s="81"/>
      <c r="O44" s="81"/>
      <c r="P44" s="119"/>
    </row>
    <row r="45" spans="1:16" ht="18.75" customHeight="1" thickBot="1" x14ac:dyDescent="0.25">
      <c r="A45" s="57" t="s">
        <v>33</v>
      </c>
      <c r="B45" s="58"/>
      <c r="C45" s="58" t="s">
        <v>15</v>
      </c>
      <c r="D45" s="58"/>
      <c r="E45" s="58"/>
      <c r="F45" s="58"/>
      <c r="G45" s="59"/>
      <c r="H45" s="59"/>
      <c r="I45" s="59"/>
      <c r="J45" s="59"/>
      <c r="K45" s="59"/>
      <c r="L45" s="61">
        <f>SUM(G46+F51)</f>
        <v>239526866</v>
      </c>
      <c r="M45" s="62"/>
      <c r="N45" s="62"/>
      <c r="P45" s="56"/>
    </row>
    <row r="46" spans="1:16" ht="17.25" customHeight="1" x14ac:dyDescent="0.2">
      <c r="A46" s="64"/>
      <c r="B46" s="316"/>
      <c r="C46" s="316" t="s">
        <v>16</v>
      </c>
      <c r="D46" s="316"/>
      <c r="E46" s="316"/>
      <c r="F46" s="316"/>
      <c r="G46" s="319">
        <f>G25+1693460+16502</f>
        <v>60626718</v>
      </c>
      <c r="H46" s="328"/>
      <c r="I46" s="328"/>
      <c r="J46" s="328"/>
      <c r="K46" s="328"/>
      <c r="M46" s="330">
        <f>G46/$L$24</f>
        <v>0.26060198784701111</v>
      </c>
      <c r="N46" s="330"/>
      <c r="P46" s="56"/>
    </row>
    <row r="47" spans="1:16" ht="17.25" customHeight="1" x14ac:dyDescent="0.2">
      <c r="A47" s="64"/>
      <c r="B47" s="316"/>
      <c r="C47" s="316" t="s">
        <v>8</v>
      </c>
      <c r="D47" s="316"/>
      <c r="E47" s="316"/>
      <c r="F47" s="316"/>
      <c r="G47" s="328"/>
      <c r="H47" s="328"/>
      <c r="I47" s="328">
        <v>1693460</v>
      </c>
      <c r="J47" s="328"/>
      <c r="K47" s="339">
        <f>I47/G25</f>
        <v>2.8743266177112672E-2</v>
      </c>
      <c r="L47" s="340" t="s">
        <v>10</v>
      </c>
      <c r="P47" s="56"/>
    </row>
    <row r="48" spans="1:16" ht="5.25" customHeight="1" thickBot="1" x14ac:dyDescent="0.25">
      <c r="A48" s="64"/>
      <c r="B48" s="316"/>
      <c r="C48" s="316"/>
      <c r="D48" s="316"/>
      <c r="E48" s="316"/>
      <c r="F48" s="316"/>
      <c r="G48" s="328"/>
      <c r="H48" s="328"/>
      <c r="I48" s="67"/>
      <c r="J48" s="67"/>
      <c r="K48" s="348"/>
      <c r="L48" s="349"/>
      <c r="P48" s="56"/>
    </row>
    <row r="49" spans="1:22" ht="17.25" customHeight="1" x14ac:dyDescent="0.2">
      <c r="A49" s="511"/>
      <c r="C49" s="316" t="s">
        <v>1576</v>
      </c>
      <c r="D49" s="316"/>
      <c r="E49" s="318"/>
      <c r="F49" s="318"/>
      <c r="G49" s="107">
        <v>164195344</v>
      </c>
      <c r="K49" s="348"/>
      <c r="L49" s="349"/>
      <c r="M49" s="330">
        <f>F51/L45</f>
        <v>0.74688969545487227</v>
      </c>
      <c r="N49" s="330"/>
      <c r="P49" s="56"/>
    </row>
    <row r="50" spans="1:22" ht="17.25" customHeight="1" thickBot="1" x14ac:dyDescent="0.25">
      <c r="A50" s="511"/>
      <c r="C50" s="316" t="s">
        <v>1577</v>
      </c>
      <c r="D50" s="316"/>
      <c r="E50" s="318"/>
      <c r="F50" s="318"/>
      <c r="G50" s="108">
        <v>14704804</v>
      </c>
      <c r="I50" s="350"/>
      <c r="K50" s="348"/>
      <c r="L50" s="349"/>
      <c r="M50" s="330"/>
      <c r="N50" s="330"/>
      <c r="P50" s="56"/>
    </row>
    <row r="51" spans="1:22" ht="17.25" customHeight="1" thickBot="1" x14ac:dyDescent="0.25">
      <c r="A51" s="511"/>
      <c r="C51" s="316"/>
      <c r="D51" s="876" t="s">
        <v>11</v>
      </c>
      <c r="E51" s="876"/>
      <c r="F51" s="93">
        <f>SUM(G49:G50)</f>
        <v>178900148</v>
      </c>
      <c r="G51" s="319"/>
      <c r="K51" s="348"/>
      <c r="L51" s="349"/>
      <c r="M51" s="330"/>
      <c r="N51" s="330"/>
      <c r="P51" s="56"/>
    </row>
    <row r="52" spans="1:22" ht="17.25" customHeight="1" x14ac:dyDescent="0.2">
      <c r="A52" s="64"/>
      <c r="B52" s="316"/>
      <c r="C52" s="316" t="s">
        <v>8</v>
      </c>
      <c r="D52" s="316"/>
      <c r="E52" s="316"/>
      <c r="F52" s="316"/>
      <c r="G52" s="328"/>
      <c r="H52" s="328"/>
      <c r="I52" s="328">
        <f>4284548+891314</f>
        <v>5175862</v>
      </c>
      <c r="J52" s="328"/>
      <c r="K52" s="339">
        <f>I52/F31</f>
        <v>2.9793543085852716E-2</v>
      </c>
      <c r="L52" s="340" t="s">
        <v>10</v>
      </c>
      <c r="O52" s="329">
        <v>14704804</v>
      </c>
      <c r="P52" s="71" t="s">
        <v>12</v>
      </c>
    </row>
    <row r="53" spans="1:22" ht="5.25" customHeight="1" thickBot="1" x14ac:dyDescent="0.25">
      <c r="A53" s="511"/>
      <c r="C53" s="322"/>
      <c r="D53" s="322"/>
      <c r="E53" s="322"/>
      <c r="F53" s="322"/>
      <c r="G53" s="351"/>
      <c r="H53" s="352"/>
      <c r="I53" s="336"/>
      <c r="J53" s="336"/>
      <c r="P53" s="56"/>
    </row>
    <row r="54" spans="1:22" ht="17.25" customHeight="1" thickBot="1" x14ac:dyDescent="0.25">
      <c r="A54" s="511"/>
      <c r="C54" s="335" t="s">
        <v>1568</v>
      </c>
      <c r="D54" s="335"/>
      <c r="E54" s="335"/>
      <c r="F54" s="335"/>
      <c r="G54" s="67"/>
      <c r="H54" s="316"/>
      <c r="J54" s="336"/>
      <c r="K54" s="877" t="s">
        <v>13</v>
      </c>
      <c r="L54" s="877"/>
      <c r="M54" s="877"/>
      <c r="N54" s="878"/>
      <c r="O54" s="337">
        <f>L45-L24</f>
        <v>6885824</v>
      </c>
      <c r="P54" s="338">
        <f>O54/L24</f>
        <v>2.9598491911844171E-2</v>
      </c>
    </row>
    <row r="55" spans="1:22" ht="5.25" customHeight="1" x14ac:dyDescent="0.2">
      <c r="A55" s="64"/>
      <c r="B55" s="316"/>
      <c r="C55" s="316"/>
      <c r="D55" s="316"/>
      <c r="E55" s="316"/>
      <c r="F55" s="316"/>
      <c r="G55" s="328"/>
      <c r="H55" s="328"/>
      <c r="I55" s="328"/>
      <c r="J55" s="328"/>
      <c r="K55" s="328"/>
      <c r="P55" s="56"/>
    </row>
    <row r="56" spans="1:22" ht="19.149999999999999" customHeight="1" thickBot="1" x14ac:dyDescent="0.25">
      <c r="A56" s="512"/>
      <c r="B56" s="353"/>
      <c r="C56" s="354" t="s">
        <v>21</v>
      </c>
      <c r="H56" s="72" t="s">
        <v>22</v>
      </c>
      <c r="I56" s="73"/>
      <c r="J56" s="73"/>
      <c r="K56" s="73"/>
      <c r="L56" s="355">
        <v>-1078805</v>
      </c>
      <c r="M56" s="356" t="s">
        <v>23</v>
      </c>
      <c r="N56" s="353"/>
      <c r="O56" s="353"/>
      <c r="P56" s="357"/>
    </row>
    <row r="57" spans="1:22" ht="15" customHeight="1" x14ac:dyDescent="0.2">
      <c r="A57" s="512"/>
      <c r="B57" s="353"/>
      <c r="C57" s="358">
        <v>1200000</v>
      </c>
      <c r="D57" s="359" t="s">
        <v>34</v>
      </c>
      <c r="G57" s="353"/>
      <c r="H57" s="353"/>
      <c r="I57" s="353"/>
      <c r="J57" s="353"/>
      <c r="K57" s="353"/>
      <c r="L57" s="360">
        <v>-1019400</v>
      </c>
      <c r="M57" s="361" t="s">
        <v>25</v>
      </c>
      <c r="N57" s="353"/>
      <c r="O57" s="353"/>
      <c r="P57" s="357"/>
    </row>
    <row r="58" spans="1:22" ht="15" customHeight="1" thickBot="1" x14ac:dyDescent="0.25">
      <c r="A58" s="512"/>
      <c r="B58" s="353"/>
      <c r="C58" s="362">
        <v>1019400</v>
      </c>
      <c r="D58" s="359" t="s">
        <v>26</v>
      </c>
      <c r="G58" s="353"/>
      <c r="H58" s="353"/>
      <c r="I58" s="353"/>
      <c r="J58" s="353"/>
      <c r="K58" s="353"/>
      <c r="L58" s="360">
        <f>-O52</f>
        <v>-14704804</v>
      </c>
      <c r="M58" s="361" t="s">
        <v>27</v>
      </c>
      <c r="N58" s="353"/>
      <c r="O58" s="353"/>
      <c r="P58" s="357"/>
    </row>
    <row r="59" spans="1:22" ht="15" customHeight="1" thickBot="1" x14ac:dyDescent="0.25">
      <c r="A59" s="512"/>
      <c r="B59" s="353"/>
      <c r="C59" s="364">
        <v>1062303</v>
      </c>
      <c r="D59" s="359" t="s">
        <v>28</v>
      </c>
      <c r="G59" s="353"/>
      <c r="H59" s="353"/>
      <c r="I59" s="353"/>
      <c r="J59" s="353"/>
      <c r="K59" s="353"/>
      <c r="L59" s="82">
        <f>SUM(L45,L56:L58)</f>
        <v>222723857</v>
      </c>
      <c r="M59" s="371" t="s">
        <v>35</v>
      </c>
      <c r="N59" s="372"/>
      <c r="O59" s="372"/>
      <c r="P59" s="357"/>
    </row>
    <row r="60" spans="1:22" ht="15" customHeight="1" thickTop="1" thickBot="1" x14ac:dyDescent="0.25">
      <c r="A60" s="512"/>
      <c r="B60" s="353"/>
      <c r="C60" s="74">
        <f>SUM(C57:C59)</f>
        <v>3281703</v>
      </c>
      <c r="D60" s="359" t="s">
        <v>30</v>
      </c>
      <c r="G60" s="353"/>
      <c r="H60" s="353"/>
      <c r="I60" s="353"/>
      <c r="J60" s="353"/>
      <c r="K60" s="353"/>
      <c r="L60" s="373">
        <v>-9962</v>
      </c>
      <c r="M60" s="374" t="s">
        <v>36</v>
      </c>
      <c r="N60" s="375"/>
      <c r="O60" s="375"/>
      <c r="P60" s="357"/>
    </row>
    <row r="61" spans="1:22" ht="15" customHeight="1" thickBot="1" x14ac:dyDescent="0.25">
      <c r="A61" s="512"/>
      <c r="B61" s="353"/>
      <c r="C61" s="367">
        <f>219830397-219813895</f>
        <v>16502</v>
      </c>
      <c r="D61" s="359" t="s">
        <v>31</v>
      </c>
      <c r="G61" s="353"/>
      <c r="H61" s="353"/>
      <c r="I61" s="353"/>
      <c r="J61" s="353"/>
      <c r="K61" s="353"/>
      <c r="L61" s="376">
        <f>SUM(L59:L60)</f>
        <v>222713895</v>
      </c>
      <c r="M61" s="371" t="s">
        <v>37</v>
      </c>
      <c r="N61" s="372"/>
      <c r="O61" s="372"/>
      <c r="P61" s="357"/>
    </row>
    <row r="62" spans="1:22" ht="15" customHeight="1" thickBot="1" x14ac:dyDescent="0.25">
      <c r="A62" s="512"/>
      <c r="B62" s="353"/>
      <c r="C62" s="76">
        <f>SUM(C60:C61)</f>
        <v>3298205</v>
      </c>
      <c r="D62" s="359"/>
      <c r="G62" s="353"/>
      <c r="H62" s="353"/>
      <c r="I62" s="353"/>
      <c r="J62" s="353"/>
      <c r="K62" s="353"/>
      <c r="L62" s="120">
        <f>M63+O63</f>
        <v>2098205</v>
      </c>
      <c r="M62" s="121" t="s">
        <v>38</v>
      </c>
      <c r="N62" s="122"/>
      <c r="O62" s="123"/>
      <c r="P62" s="357"/>
    </row>
    <row r="63" spans="1:22" ht="15" customHeight="1" x14ac:dyDescent="0.2">
      <c r="A63" s="512"/>
      <c r="B63" s="359"/>
      <c r="C63" s="23"/>
      <c r="D63" s="359"/>
      <c r="G63" s="353"/>
      <c r="H63" s="353"/>
      <c r="I63" s="353"/>
      <c r="J63" s="353"/>
      <c r="K63" s="353"/>
      <c r="L63" s="353"/>
      <c r="M63" s="377">
        <v>1078805</v>
      </c>
      <c r="N63" s="377" t="s">
        <v>39</v>
      </c>
      <c r="O63" s="377">
        <f>C58</f>
        <v>1019400</v>
      </c>
      <c r="P63" s="357"/>
    </row>
    <row r="64" spans="1:22" s="84" customFormat="1" ht="8.25" customHeight="1" thickBot="1" x14ac:dyDescent="0.25">
      <c r="A64" s="514"/>
      <c r="B64" s="378"/>
      <c r="C64" s="379"/>
      <c r="D64" s="378"/>
      <c r="E64" s="380"/>
      <c r="F64" s="380"/>
      <c r="G64" s="381"/>
      <c r="H64" s="381"/>
      <c r="I64" s="381"/>
      <c r="J64" s="381"/>
      <c r="K64" s="381"/>
      <c r="L64" s="381"/>
      <c r="M64" s="382"/>
      <c r="N64" s="382"/>
      <c r="O64" s="382"/>
      <c r="P64" s="83"/>
      <c r="R64" s="23"/>
      <c r="S64" s="23"/>
      <c r="T64" s="23"/>
      <c r="U64" s="23"/>
      <c r="V64" s="23"/>
    </row>
    <row r="65" spans="1:16" ht="15" customHeight="1" thickBot="1" x14ac:dyDescent="0.25">
      <c r="A65" s="515"/>
      <c r="B65" s="359"/>
      <c r="C65" s="359"/>
      <c r="D65" s="359"/>
      <c r="E65" s="359"/>
      <c r="F65" s="359"/>
      <c r="G65" s="353"/>
      <c r="H65" s="353"/>
      <c r="I65" s="353"/>
      <c r="J65" s="353"/>
      <c r="K65" s="353"/>
      <c r="L65" s="76">
        <f>SUM(L61:L62)</f>
        <v>224812100</v>
      </c>
      <c r="M65" s="359" t="s">
        <v>40</v>
      </c>
      <c r="N65" s="353"/>
      <c r="O65" s="353"/>
      <c r="P65" s="357"/>
    </row>
    <row r="66" spans="1:16" ht="8.25" customHeight="1" thickBot="1" x14ac:dyDescent="0.25">
      <c r="A66" s="515"/>
      <c r="B66" s="359"/>
      <c r="C66" s="359"/>
      <c r="D66" s="359"/>
      <c r="E66" s="359"/>
      <c r="F66" s="359"/>
      <c r="G66" s="353"/>
      <c r="H66" s="353"/>
      <c r="I66" s="353"/>
      <c r="J66" s="353"/>
      <c r="K66" s="353"/>
      <c r="L66" s="353"/>
      <c r="M66" s="353"/>
      <c r="N66" s="353"/>
      <c r="O66" s="353"/>
      <c r="P66" s="357"/>
    </row>
    <row r="67" spans="1:16" ht="15" customHeight="1" thickBot="1" x14ac:dyDescent="0.25">
      <c r="A67" s="515"/>
      <c r="B67" s="359"/>
      <c r="C67" s="359"/>
      <c r="D67" s="359"/>
      <c r="E67" s="359"/>
      <c r="F67" s="359"/>
      <c r="G67" s="353"/>
      <c r="H67" s="353"/>
      <c r="I67" s="353"/>
      <c r="J67" s="353"/>
      <c r="K67" s="353"/>
      <c r="L67" s="75">
        <f>L65+O52</f>
        <v>239516904</v>
      </c>
      <c r="M67" s="359" t="s">
        <v>32</v>
      </c>
      <c r="N67" s="353"/>
      <c r="O67" s="353"/>
      <c r="P67" s="357"/>
    </row>
    <row r="68" spans="1:16" ht="15" customHeight="1" x14ac:dyDescent="0.2">
      <c r="A68" s="515"/>
      <c r="B68" s="359"/>
      <c r="C68" s="359"/>
      <c r="D68" s="359"/>
      <c r="E68" s="359"/>
      <c r="F68" s="359"/>
      <c r="G68" s="353"/>
      <c r="H68" s="353"/>
      <c r="I68" s="353"/>
      <c r="J68" s="353"/>
      <c r="K68" s="353"/>
      <c r="L68" s="353"/>
      <c r="M68" s="359"/>
      <c r="N68" s="353"/>
      <c r="O68" s="353"/>
      <c r="P68" s="357"/>
    </row>
    <row r="69" spans="1:16" ht="7.15" customHeight="1" thickBot="1" x14ac:dyDescent="0.25">
      <c r="A69" s="513"/>
      <c r="B69" s="79"/>
      <c r="C69" s="79"/>
      <c r="D69" s="79"/>
      <c r="E69" s="79"/>
      <c r="F69" s="79"/>
      <c r="G69" s="80"/>
      <c r="H69" s="80"/>
      <c r="I69" s="80"/>
      <c r="J69" s="80"/>
      <c r="K69" s="80"/>
      <c r="L69" s="81"/>
      <c r="M69" s="81"/>
      <c r="N69" s="81"/>
      <c r="O69" s="81"/>
      <c r="P69" s="119"/>
    </row>
    <row r="70" spans="1:16" ht="18.75" customHeight="1" x14ac:dyDescent="0.2">
      <c r="A70" s="70" t="s">
        <v>41</v>
      </c>
      <c r="B70" s="315"/>
      <c r="C70" s="315" t="s">
        <v>42</v>
      </c>
      <c r="D70" s="315"/>
      <c r="E70" s="315"/>
      <c r="F70" s="315"/>
      <c r="L70" s="67"/>
      <c r="M70" s="67"/>
      <c r="N70" s="67"/>
      <c r="O70" s="67"/>
      <c r="P70" s="124"/>
    </row>
    <row r="71" spans="1:16" ht="9" customHeight="1" thickBot="1" x14ac:dyDescent="0.25">
      <c r="A71" s="64"/>
      <c r="B71" s="315"/>
      <c r="C71" s="315"/>
      <c r="D71" s="318"/>
      <c r="E71" s="67"/>
      <c r="F71" s="67"/>
      <c r="M71" s="317"/>
      <c r="N71" s="317"/>
      <c r="O71" s="317"/>
      <c r="P71" s="85"/>
    </row>
    <row r="72" spans="1:16" ht="18.75" customHeight="1" x14ac:dyDescent="0.2">
      <c r="A72" s="64"/>
      <c r="B72" s="315"/>
      <c r="C72" s="86" t="s">
        <v>6</v>
      </c>
      <c r="D72" s="58"/>
      <c r="E72" s="87" t="s">
        <v>43</v>
      </c>
      <c r="F72" s="58"/>
      <c r="G72" s="59"/>
      <c r="H72" s="59"/>
      <c r="I72" s="88">
        <f>G46</f>
        <v>60626718</v>
      </c>
      <c r="J72" s="59"/>
      <c r="K72" s="59"/>
      <c r="L72" s="89"/>
      <c r="M72" s="62"/>
      <c r="N72" s="62"/>
      <c r="O72" s="63"/>
      <c r="P72" s="85"/>
    </row>
    <row r="73" spans="1:16" s="92" customFormat="1" ht="15" customHeight="1" thickBot="1" x14ac:dyDescent="0.25">
      <c r="A73" s="64"/>
      <c r="B73" s="318"/>
      <c r="C73" s="90"/>
      <c r="D73" s="318" t="s">
        <v>44</v>
      </c>
      <c r="E73" s="318"/>
      <c r="F73" s="318"/>
      <c r="G73" s="383"/>
      <c r="H73" s="383" t="s">
        <v>45</v>
      </c>
      <c r="I73" s="384">
        <v>-9962</v>
      </c>
      <c r="J73" s="383"/>
      <c r="K73" s="383"/>
      <c r="L73" s="385"/>
      <c r="M73" s="385"/>
      <c r="N73" s="385"/>
      <c r="O73" s="91"/>
      <c r="P73" s="91"/>
    </row>
    <row r="74" spans="1:16" s="92" customFormat="1" ht="15" customHeight="1" thickBot="1" x14ac:dyDescent="0.25">
      <c r="A74" s="64"/>
      <c r="B74" s="318"/>
      <c r="C74" s="90"/>
      <c r="D74" s="318"/>
      <c r="E74" s="318"/>
      <c r="F74" s="318"/>
      <c r="G74" s="383"/>
      <c r="H74" s="383"/>
      <c r="I74" s="384"/>
      <c r="J74" s="383"/>
      <c r="K74" s="383"/>
      <c r="L74" s="93">
        <f>SUM(I72:I73)</f>
        <v>60616756</v>
      </c>
      <c r="M74" s="888" t="s">
        <v>46</v>
      </c>
      <c r="N74" s="889"/>
      <c r="O74" s="94">
        <f>SUM(L74,G49)+SUM(L56:L58)</f>
        <v>208009091</v>
      </c>
      <c r="P74" s="95" t="s">
        <v>47</v>
      </c>
    </row>
    <row r="75" spans="1:16" s="92" customFormat="1" ht="15" customHeight="1" x14ac:dyDescent="0.2">
      <c r="A75" s="64"/>
      <c r="B75" s="318"/>
      <c r="C75" s="90"/>
      <c r="D75" s="318" t="s">
        <v>48</v>
      </c>
      <c r="E75" s="318"/>
      <c r="F75" s="318"/>
      <c r="G75" s="383"/>
      <c r="H75" s="383" t="s">
        <v>45</v>
      </c>
      <c r="I75" s="384">
        <f>SUM(L56:L57)</f>
        <v>-2098205</v>
      </c>
      <c r="J75" s="383"/>
      <c r="K75" s="383"/>
      <c r="L75" s="385"/>
      <c r="M75" s="385"/>
      <c r="N75" s="385"/>
      <c r="O75" s="91"/>
      <c r="P75" s="91"/>
    </row>
    <row r="76" spans="1:16" s="92" customFormat="1" ht="15" customHeight="1" x14ac:dyDescent="0.2">
      <c r="A76" s="64"/>
      <c r="B76" s="318"/>
      <c r="C76" s="90"/>
      <c r="D76" s="318" t="s">
        <v>49</v>
      </c>
      <c r="E76" s="318"/>
      <c r="F76" s="318"/>
      <c r="G76" s="383"/>
      <c r="H76" s="383"/>
      <c r="I76" s="328">
        <f>SUM(I72:I75)</f>
        <v>58518551</v>
      </c>
      <c r="J76" s="383"/>
      <c r="K76" s="383"/>
      <c r="L76" s="385"/>
      <c r="M76" s="385"/>
      <c r="N76" s="385"/>
      <c r="O76" s="91"/>
      <c r="P76" s="91"/>
    </row>
    <row r="77" spans="1:16" s="92" customFormat="1" ht="15" customHeight="1" x14ac:dyDescent="0.2">
      <c r="A77" s="64"/>
      <c r="B77" s="318"/>
      <c r="C77" s="64" t="s">
        <v>50</v>
      </c>
      <c r="D77" s="318"/>
      <c r="E77" s="316" t="s">
        <v>51</v>
      </c>
      <c r="F77" s="318" t="s">
        <v>52</v>
      </c>
      <c r="G77" s="383"/>
      <c r="H77" s="383"/>
      <c r="I77" s="328">
        <v>1000000</v>
      </c>
      <c r="J77" s="383"/>
      <c r="K77" s="383"/>
      <c r="L77" s="385"/>
      <c r="M77" s="385"/>
      <c r="N77" s="385"/>
      <c r="O77" s="91"/>
      <c r="P77" s="91"/>
    </row>
    <row r="78" spans="1:16" ht="18.75" customHeight="1" thickBot="1" x14ac:dyDescent="0.25">
      <c r="A78" s="64"/>
      <c r="B78" s="315"/>
      <c r="C78" s="96" t="s">
        <v>50</v>
      </c>
      <c r="D78" s="97"/>
      <c r="E78" s="98" t="s">
        <v>51</v>
      </c>
      <c r="F78" s="97"/>
      <c r="G78" s="99"/>
      <c r="H78" s="99"/>
      <c r="I78" s="100">
        <v>3800000</v>
      </c>
      <c r="K78" s="386" t="s">
        <v>17</v>
      </c>
      <c r="L78" s="385" t="s">
        <v>53</v>
      </c>
      <c r="M78" s="317"/>
      <c r="N78" s="317"/>
      <c r="O78" s="85"/>
      <c r="P78" s="85"/>
    </row>
    <row r="79" spans="1:16" ht="18.75" customHeight="1" thickTop="1" thickBot="1" x14ac:dyDescent="0.25">
      <c r="A79" s="64"/>
      <c r="B79" s="315"/>
      <c r="C79" s="101" t="s">
        <v>6</v>
      </c>
      <c r="D79" s="102"/>
      <c r="E79" s="77" t="s">
        <v>51</v>
      </c>
      <c r="F79" s="102"/>
      <c r="G79" s="102" t="s">
        <v>54</v>
      </c>
      <c r="H79" s="78"/>
      <c r="I79" s="103">
        <f>SUM(I76:I78)</f>
        <v>63318551</v>
      </c>
      <c r="J79" s="78"/>
      <c r="K79" s="78"/>
      <c r="L79" s="104"/>
      <c r="M79" s="104"/>
      <c r="N79" s="104"/>
      <c r="O79" s="105"/>
      <c r="P79" s="85"/>
    </row>
    <row r="80" spans="1:16" ht="8.25" customHeight="1" thickBot="1" x14ac:dyDescent="0.25">
      <c r="A80" s="64"/>
      <c r="B80" s="315"/>
      <c r="C80" s="315"/>
      <c r="D80" s="315"/>
      <c r="E80" s="315"/>
      <c r="F80" s="315"/>
      <c r="L80" s="317"/>
      <c r="M80" s="317"/>
      <c r="N80" s="317"/>
      <c r="O80" s="317"/>
      <c r="P80" s="85"/>
    </row>
    <row r="81" spans="1:18" ht="16.5" customHeight="1" x14ac:dyDescent="0.2">
      <c r="A81" s="86"/>
      <c r="B81" s="58"/>
      <c r="C81" s="106" t="s">
        <v>55</v>
      </c>
      <c r="D81" s="125" t="s">
        <v>56</v>
      </c>
      <c r="E81" s="125"/>
      <c r="F81" s="125"/>
      <c r="G81" s="126"/>
      <c r="H81" s="59"/>
      <c r="I81" s="59"/>
      <c r="J81" s="59"/>
      <c r="K81" s="59"/>
      <c r="L81" s="62"/>
      <c r="M81" s="62"/>
      <c r="N81" s="62"/>
      <c r="O81" s="62"/>
      <c r="P81" s="63"/>
    </row>
    <row r="82" spans="1:18" ht="16.5" customHeight="1" x14ac:dyDescent="0.2">
      <c r="A82" s="64"/>
      <c r="B82" s="315"/>
      <c r="C82" s="315"/>
      <c r="D82" s="387"/>
      <c r="E82" s="388" t="s">
        <v>57</v>
      </c>
      <c r="F82" s="388"/>
      <c r="G82" s="389"/>
      <c r="L82" s="317"/>
      <c r="M82" s="317"/>
      <c r="N82" s="317"/>
      <c r="O82" s="317"/>
      <c r="P82" s="85"/>
    </row>
    <row r="83" spans="1:18" ht="16.5" customHeight="1" x14ac:dyDescent="0.2">
      <c r="A83" s="64"/>
      <c r="B83" s="315"/>
      <c r="C83" s="315"/>
      <c r="D83" s="388" t="s">
        <v>58</v>
      </c>
      <c r="E83" s="388"/>
      <c r="F83" s="388"/>
      <c r="G83" s="389"/>
      <c r="L83" s="317"/>
      <c r="M83" s="317"/>
      <c r="N83" s="317"/>
      <c r="O83" s="317"/>
      <c r="P83" s="85"/>
    </row>
    <row r="84" spans="1:18" ht="7.5" customHeight="1" thickBot="1" x14ac:dyDescent="0.25">
      <c r="A84" s="64"/>
      <c r="B84" s="315"/>
      <c r="C84" s="315"/>
      <c r="D84" s="315"/>
      <c r="E84" s="315"/>
      <c r="F84" s="315"/>
      <c r="G84" s="318"/>
      <c r="L84" s="317"/>
      <c r="M84" s="317"/>
      <c r="N84" s="317"/>
      <c r="O84" s="317"/>
      <c r="P84" s="85"/>
    </row>
    <row r="85" spans="1:18" ht="18.75" customHeight="1" thickBot="1" x14ac:dyDescent="0.25">
      <c r="A85" s="64"/>
      <c r="B85" s="315"/>
      <c r="C85" s="390" t="s">
        <v>59</v>
      </c>
      <c r="D85" s="390"/>
      <c r="E85" s="390"/>
      <c r="F85" s="390"/>
      <c r="G85" s="391"/>
      <c r="H85" s="391"/>
      <c r="I85" s="391"/>
      <c r="J85" s="391"/>
      <c r="K85" s="391"/>
      <c r="L85" s="61">
        <f>SUM(G86,G89:G90)</f>
        <v>245590744</v>
      </c>
      <c r="M85" s="317"/>
      <c r="N85" s="317"/>
      <c r="P85" s="56"/>
      <c r="R85" s="31"/>
    </row>
    <row r="86" spans="1:18" ht="17.25" customHeight="1" x14ac:dyDescent="0.2">
      <c r="A86" s="64"/>
      <c r="B86" s="316"/>
      <c r="C86" s="316" t="s">
        <v>16</v>
      </c>
      <c r="D86" s="316"/>
      <c r="E86" s="316" t="s">
        <v>60</v>
      </c>
      <c r="F86" s="316"/>
      <c r="G86" s="319">
        <f>I79+5469</f>
        <v>63324020</v>
      </c>
      <c r="I86" s="328"/>
      <c r="J86" s="328"/>
      <c r="K86" s="328"/>
      <c r="M86" s="330">
        <f>G86/$L$85</f>
        <v>0.2578436750857353</v>
      </c>
      <c r="N86" s="330"/>
      <c r="P86" s="56"/>
    </row>
    <row r="87" spans="1:18" ht="17.25" customHeight="1" x14ac:dyDescent="0.2">
      <c r="A87" s="64"/>
      <c r="B87" s="316"/>
      <c r="C87" s="316" t="s">
        <v>61</v>
      </c>
      <c r="D87" s="316"/>
      <c r="E87" s="316"/>
      <c r="F87" s="316"/>
      <c r="G87" s="328"/>
      <c r="H87" s="386" t="s">
        <v>62</v>
      </c>
      <c r="I87" s="319">
        <f>(G86-L74)-(2300000+I75)</f>
        <v>2505469</v>
      </c>
      <c r="J87" s="328"/>
      <c r="K87" s="339">
        <f>I87/G46</f>
        <v>4.1326152604863088E-2</v>
      </c>
      <c r="L87" s="340" t="s">
        <v>10</v>
      </c>
      <c r="P87" s="56"/>
    </row>
    <row r="88" spans="1:18" ht="6.75" customHeight="1" thickBot="1" x14ac:dyDescent="0.25">
      <c r="A88" s="64"/>
      <c r="B88" s="316"/>
      <c r="C88" s="316"/>
      <c r="D88" s="316"/>
      <c r="E88" s="316"/>
      <c r="F88" s="316"/>
      <c r="G88" s="328"/>
      <c r="H88" s="328"/>
      <c r="I88" s="67"/>
      <c r="J88" s="67"/>
      <c r="K88" s="348"/>
      <c r="L88" s="349"/>
      <c r="P88" s="56"/>
    </row>
    <row r="89" spans="1:18" ht="17.25" customHeight="1" x14ac:dyDescent="0.2">
      <c r="A89" s="511"/>
      <c r="C89" s="316" t="s">
        <v>1578</v>
      </c>
      <c r="D89" s="316"/>
      <c r="E89" s="318"/>
      <c r="F89" s="318"/>
      <c r="G89" s="107">
        <f>167561920-3366576</f>
        <v>164195344</v>
      </c>
      <c r="K89" s="348"/>
      <c r="L89" s="349"/>
      <c r="N89" s="330"/>
      <c r="P89" s="56"/>
    </row>
    <row r="90" spans="1:18" ht="17.25" customHeight="1" thickBot="1" x14ac:dyDescent="0.25">
      <c r="A90" s="511"/>
      <c r="C90" s="316" t="s">
        <v>1579</v>
      </c>
      <c r="D90" s="316"/>
      <c r="E90" s="318"/>
      <c r="F90" s="318"/>
      <c r="G90" s="108">
        <f>O52+3366576</f>
        <v>18071380</v>
      </c>
      <c r="K90" s="348"/>
      <c r="L90" s="349"/>
      <c r="M90" s="330"/>
      <c r="N90" s="330"/>
      <c r="P90" s="56"/>
    </row>
    <row r="91" spans="1:18" ht="17.25" customHeight="1" thickBot="1" x14ac:dyDescent="0.25">
      <c r="A91" s="511"/>
      <c r="C91" s="316"/>
      <c r="D91" s="876" t="s">
        <v>11</v>
      </c>
      <c r="E91" s="876"/>
      <c r="F91" s="93">
        <f>SUM(G89:G90)</f>
        <v>182266724</v>
      </c>
      <c r="G91" s="319"/>
      <c r="K91" s="348"/>
      <c r="L91" s="349"/>
      <c r="M91" s="330">
        <f>F91/$L$85</f>
        <v>0.74215632491426464</v>
      </c>
      <c r="N91" s="330"/>
      <c r="P91" s="56"/>
    </row>
    <row r="92" spans="1:18" ht="17.25" customHeight="1" x14ac:dyDescent="0.2">
      <c r="A92" s="64"/>
      <c r="B92" s="316"/>
      <c r="C92" s="316" t="s">
        <v>8</v>
      </c>
      <c r="D92" s="316"/>
      <c r="E92" s="316"/>
      <c r="F92" s="316"/>
      <c r="G92" s="328"/>
      <c r="H92" s="328"/>
      <c r="I92" s="319">
        <f>F91-F51</f>
        <v>3366576</v>
      </c>
      <c r="J92" s="328"/>
      <c r="K92" s="339">
        <f>I92/F51</f>
        <v>1.8818184543927821E-2</v>
      </c>
      <c r="L92" s="340" t="s">
        <v>10</v>
      </c>
      <c r="O92" s="329">
        <v>18071380</v>
      </c>
      <c r="P92" s="71" t="s">
        <v>12</v>
      </c>
    </row>
    <row r="93" spans="1:18" ht="6.75" customHeight="1" thickBot="1" x14ac:dyDescent="0.25">
      <c r="A93" s="511"/>
      <c r="C93" s="322"/>
      <c r="D93" s="322"/>
      <c r="E93" s="322"/>
      <c r="F93" s="322"/>
      <c r="G93" s="351"/>
      <c r="H93" s="352"/>
      <c r="I93" s="336"/>
      <c r="J93" s="336"/>
      <c r="P93" s="56"/>
    </row>
    <row r="94" spans="1:18" ht="17.25" customHeight="1" thickBot="1" x14ac:dyDescent="0.25">
      <c r="A94" s="511"/>
      <c r="C94" s="335" t="s">
        <v>1567</v>
      </c>
      <c r="D94" s="335"/>
      <c r="E94" s="335"/>
      <c r="F94" s="335"/>
      <c r="G94" s="67"/>
      <c r="H94" s="316"/>
      <c r="J94" s="336"/>
      <c r="K94" s="877" t="s">
        <v>13</v>
      </c>
      <c r="L94" s="877"/>
      <c r="M94" s="877"/>
      <c r="N94" s="878"/>
      <c r="O94" s="337">
        <f>L85-L45-(2300000+I75+I73)</f>
        <v>5872045</v>
      </c>
      <c r="P94" s="338">
        <f>O94/L45</f>
        <v>2.4515183194523157E-2</v>
      </c>
    </row>
    <row r="95" spans="1:18" ht="14.25" customHeight="1" x14ac:dyDescent="0.2">
      <c r="A95" s="64"/>
      <c r="B95" s="316"/>
      <c r="C95" s="316"/>
      <c r="D95" s="316"/>
      <c r="E95" s="316"/>
      <c r="F95" s="316"/>
      <c r="G95" s="328"/>
      <c r="H95" s="328"/>
      <c r="I95" s="328"/>
      <c r="J95" s="328"/>
      <c r="K95" s="328"/>
      <c r="L95" s="392"/>
      <c r="O95" s="393" t="s">
        <v>63</v>
      </c>
      <c r="P95" s="56"/>
    </row>
    <row r="96" spans="1:18" ht="18" customHeight="1" x14ac:dyDescent="0.2">
      <c r="A96" s="512"/>
      <c r="B96" s="353"/>
      <c r="C96" s="367"/>
      <c r="D96" s="367"/>
      <c r="E96" s="67"/>
      <c r="F96" s="67"/>
      <c r="H96" s="109"/>
      <c r="I96" s="110"/>
      <c r="J96" s="110"/>
      <c r="K96" s="110"/>
      <c r="L96" s="394">
        <f>-O92</f>
        <v>-18071380</v>
      </c>
      <c r="M96" s="361" t="s">
        <v>27</v>
      </c>
      <c r="N96" s="353"/>
      <c r="O96" s="353"/>
      <c r="P96" s="357"/>
    </row>
    <row r="97" spans="1:18" ht="6.75" customHeight="1" thickBot="1" x14ac:dyDescent="0.25">
      <c r="A97" s="512"/>
      <c r="B97" s="353"/>
      <c r="C97" s="367"/>
      <c r="D97" s="367"/>
      <c r="E97" s="67"/>
      <c r="F97" s="67"/>
      <c r="H97" s="395"/>
      <c r="I97" s="396"/>
      <c r="J97" s="396"/>
      <c r="K97" s="396"/>
      <c r="L97" s="360"/>
      <c r="M97" s="361"/>
      <c r="N97" s="353"/>
      <c r="O97" s="353"/>
      <c r="P97" s="357"/>
    </row>
    <row r="98" spans="1:18" s="67" customFormat="1" ht="18" customHeight="1" thickBot="1" x14ac:dyDescent="0.3">
      <c r="A98" s="516" t="s">
        <v>64</v>
      </c>
      <c r="B98" s="398"/>
      <c r="C98" s="399"/>
      <c r="E98" s="353"/>
      <c r="F98" s="353"/>
      <c r="G98" s="353"/>
      <c r="H98" s="72" t="s">
        <v>22</v>
      </c>
      <c r="I98" s="73"/>
      <c r="J98" s="73"/>
      <c r="K98" s="73"/>
      <c r="L98" s="82">
        <f>SUM(L85,L96)</f>
        <v>227519364</v>
      </c>
      <c r="M98" s="359" t="s">
        <v>65</v>
      </c>
      <c r="N98" s="353"/>
      <c r="O98" s="353"/>
      <c r="P98" s="357"/>
    </row>
    <row r="99" spans="1:18" s="67" customFormat="1" ht="18" customHeight="1" thickBot="1" x14ac:dyDescent="0.3">
      <c r="A99" s="517" t="s">
        <v>66</v>
      </c>
      <c r="B99" s="367"/>
      <c r="G99" s="353"/>
      <c r="H99" s="353"/>
      <c r="I99" s="353"/>
      <c r="J99" s="353"/>
      <c r="K99" s="353"/>
      <c r="L99" s="353"/>
      <c r="M99" s="359"/>
      <c r="N99" s="353"/>
      <c r="O99" s="353"/>
      <c r="P99" s="357"/>
    </row>
    <row r="100" spans="1:18" s="67" customFormat="1" ht="30" customHeight="1" thickBot="1" x14ac:dyDescent="0.3">
      <c r="A100" s="875" t="s">
        <v>67</v>
      </c>
      <c r="B100" s="875"/>
      <c r="C100" s="875"/>
      <c r="D100" s="875"/>
      <c r="E100" s="875"/>
      <c r="F100" s="875"/>
      <c r="G100" s="875"/>
      <c r="I100" s="353"/>
      <c r="J100" s="353"/>
      <c r="K100" s="353"/>
      <c r="L100" s="400">
        <f>L98+O92</f>
        <v>245590744</v>
      </c>
      <c r="M100" s="359" t="s">
        <v>32</v>
      </c>
      <c r="N100" s="353"/>
      <c r="O100" s="353"/>
      <c r="P100" s="357"/>
    </row>
    <row r="101" spans="1:18" s="67" customFormat="1" ht="23.25" customHeight="1" x14ac:dyDescent="0.25">
      <c r="A101" s="517" t="s">
        <v>1560</v>
      </c>
      <c r="B101" s="367"/>
      <c r="C101" s="359"/>
      <c r="D101" s="359"/>
      <c r="E101" s="353"/>
      <c r="F101" s="353"/>
      <c r="P101" s="357"/>
      <c r="R101" s="111"/>
    </row>
    <row r="102" spans="1:18" ht="11.25" customHeight="1" x14ac:dyDescent="0.2">
      <c r="A102" s="512"/>
      <c r="B102" s="353"/>
      <c r="C102" s="366"/>
      <c r="D102" s="367"/>
      <c r="E102" s="359"/>
      <c r="F102" s="359"/>
      <c r="G102" s="353"/>
      <c r="H102" s="353"/>
      <c r="I102" s="353"/>
      <c r="J102" s="353"/>
      <c r="K102" s="353"/>
      <c r="L102" s="67"/>
      <c r="M102" s="67"/>
      <c r="N102" s="353"/>
      <c r="O102" s="353"/>
      <c r="P102" s="357"/>
    </row>
    <row r="103" spans="1:18" ht="7.15" customHeight="1" thickBot="1" x14ac:dyDescent="0.25">
      <c r="A103" s="518"/>
      <c r="B103" s="79"/>
      <c r="C103" s="79"/>
      <c r="D103" s="79"/>
      <c r="E103" s="79"/>
      <c r="F103" s="79"/>
      <c r="G103" s="80"/>
      <c r="H103" s="80"/>
      <c r="I103" s="80"/>
      <c r="J103" s="80"/>
      <c r="K103" s="80"/>
      <c r="L103" s="81"/>
      <c r="M103" s="81"/>
      <c r="N103" s="81"/>
      <c r="O103" s="81"/>
      <c r="P103" s="119"/>
    </row>
    <row r="104" spans="1:18" ht="18" customHeight="1" thickBot="1" x14ac:dyDescent="0.25">
      <c r="A104" s="57" t="s">
        <v>68</v>
      </c>
      <c r="B104" s="58"/>
      <c r="C104" s="58" t="s">
        <v>15</v>
      </c>
      <c r="D104" s="58"/>
      <c r="E104" s="58"/>
      <c r="F104" s="58"/>
      <c r="G104" s="59"/>
      <c r="H104" s="59"/>
      <c r="I104" s="59"/>
      <c r="J104" s="59"/>
      <c r="K104" s="59"/>
      <c r="L104" s="61">
        <f>SUM(G105,F111)</f>
        <v>244488960</v>
      </c>
      <c r="M104" s="62"/>
      <c r="N104" s="62"/>
      <c r="P104" s="56"/>
    </row>
    <row r="105" spans="1:18" ht="12" customHeight="1" x14ac:dyDescent="0.2">
      <c r="A105" s="64"/>
      <c r="B105" s="316"/>
      <c r="C105" s="316" t="s">
        <v>16</v>
      </c>
      <c r="D105" s="316"/>
      <c r="E105" s="316" t="s">
        <v>69</v>
      </c>
      <c r="F105" s="316"/>
      <c r="G105" s="319">
        <f>G86+59550</f>
        <v>63383570</v>
      </c>
      <c r="H105" s="328"/>
      <c r="I105" s="328"/>
      <c r="J105" s="328"/>
      <c r="K105" s="328"/>
      <c r="M105" s="330"/>
      <c r="N105" s="330"/>
      <c r="P105" s="56"/>
    </row>
    <row r="106" spans="1:18" ht="12" customHeight="1" x14ac:dyDescent="0.2">
      <c r="A106" s="64"/>
      <c r="B106" s="316"/>
      <c r="C106" s="316" t="s">
        <v>8</v>
      </c>
      <c r="D106" s="316"/>
      <c r="E106" s="316"/>
      <c r="F106" s="316"/>
      <c r="G106" s="328"/>
      <c r="H106" s="328"/>
      <c r="I106" s="319">
        <f>G105-G86</f>
        <v>59550</v>
      </c>
      <c r="J106" s="328"/>
      <c r="K106" s="339">
        <f>I106/G86</f>
        <v>9.4040144640217098E-4</v>
      </c>
      <c r="L106" s="340" t="s">
        <v>10</v>
      </c>
      <c r="M106" s="330">
        <f>G105/L104</f>
        <v>0.25924921108912241</v>
      </c>
      <c r="P106" s="56"/>
    </row>
    <row r="107" spans="1:18" ht="12" customHeight="1" thickBot="1" x14ac:dyDescent="0.25">
      <c r="A107" s="64"/>
      <c r="B107" s="316"/>
      <c r="C107" s="316"/>
      <c r="D107" s="316"/>
      <c r="E107" s="316"/>
      <c r="F107" s="316"/>
      <c r="G107" s="328"/>
      <c r="H107" s="328"/>
      <c r="I107" s="67"/>
      <c r="J107" s="67"/>
      <c r="K107" s="348"/>
      <c r="L107" s="349"/>
      <c r="P107" s="56"/>
    </row>
    <row r="108" spans="1:18" ht="16.5" customHeight="1" x14ac:dyDescent="0.2">
      <c r="A108" s="511"/>
      <c r="C108" s="316" t="s">
        <v>1580</v>
      </c>
      <c r="D108" s="316"/>
      <c r="E108" s="318"/>
      <c r="F108" s="318"/>
      <c r="G108" s="107">
        <f>167561920-3366576</f>
        <v>164195344</v>
      </c>
      <c r="K108" s="348"/>
      <c r="L108" s="349"/>
      <c r="N108" s="330"/>
      <c r="P108" s="56"/>
    </row>
    <row r="109" spans="1:18" ht="16.5" customHeight="1" x14ac:dyDescent="0.2">
      <c r="A109" s="511"/>
      <c r="C109" s="316" t="s">
        <v>1581</v>
      </c>
      <c r="D109" s="316"/>
      <c r="E109" s="318"/>
      <c r="F109" s="318"/>
      <c r="G109" s="127">
        <f>18071380-911334-250000</f>
        <v>16910046</v>
      </c>
      <c r="K109" s="348"/>
      <c r="L109" s="349"/>
      <c r="N109" s="330"/>
      <c r="P109" s="56"/>
    </row>
    <row r="110" spans="1:18" ht="16.5" customHeight="1" thickBot="1" x14ac:dyDescent="0.25">
      <c r="A110" s="511"/>
      <c r="C110" s="401" t="s">
        <v>1582</v>
      </c>
      <c r="D110" s="401"/>
      <c r="E110" s="402"/>
      <c r="F110" s="402"/>
      <c r="G110" s="128">
        <v>0</v>
      </c>
      <c r="K110" s="348"/>
      <c r="L110" s="349"/>
      <c r="M110" s="330"/>
      <c r="N110" s="330"/>
      <c r="P110" s="56"/>
    </row>
    <row r="111" spans="1:18" ht="16.5" customHeight="1" thickBot="1" x14ac:dyDescent="0.25">
      <c r="A111" s="511"/>
      <c r="C111" s="316"/>
      <c r="D111" s="876" t="s">
        <v>11</v>
      </c>
      <c r="E111" s="876"/>
      <c r="F111" s="93">
        <f>SUM(G108:G110)</f>
        <v>181105390</v>
      </c>
      <c r="G111" s="403" t="s">
        <v>17</v>
      </c>
      <c r="K111" s="348"/>
      <c r="L111" s="349"/>
      <c r="M111" s="330">
        <f>F111/L104</f>
        <v>0.74075078891087764</v>
      </c>
      <c r="N111" s="330"/>
      <c r="P111" s="56"/>
    </row>
    <row r="112" spans="1:18" ht="16.5" customHeight="1" x14ac:dyDescent="0.2">
      <c r="A112" s="511"/>
      <c r="B112" s="316"/>
      <c r="C112" s="316" t="s">
        <v>8</v>
      </c>
      <c r="D112" s="316"/>
      <c r="E112" s="316"/>
      <c r="F112" s="316"/>
      <c r="G112" s="328"/>
      <c r="H112" s="328"/>
      <c r="I112" s="404">
        <f>F111-F91</f>
        <v>-1161334</v>
      </c>
      <c r="J112" s="328"/>
      <c r="K112" s="405">
        <f>I112/F91</f>
        <v>-6.3716183322634363E-3</v>
      </c>
      <c r="L112" s="340" t="s">
        <v>70</v>
      </c>
      <c r="O112" s="329">
        <f>SUM(G109:G110)</f>
        <v>16910046</v>
      </c>
      <c r="P112" s="71" t="s">
        <v>12</v>
      </c>
    </row>
    <row r="113" spans="1:16" ht="9.75" customHeight="1" thickBot="1" x14ac:dyDescent="0.25">
      <c r="A113" s="511"/>
      <c r="C113" s="322"/>
      <c r="D113" s="322"/>
      <c r="E113" s="322"/>
      <c r="F113" s="322"/>
      <c r="G113" s="351"/>
      <c r="H113" s="352"/>
      <c r="I113" s="336"/>
      <c r="J113" s="336"/>
      <c r="P113" s="56"/>
    </row>
    <row r="114" spans="1:16" ht="16.5" customHeight="1" thickBot="1" x14ac:dyDescent="0.25">
      <c r="A114" s="511"/>
      <c r="C114" s="335" t="s">
        <v>1566</v>
      </c>
      <c r="D114" s="335"/>
      <c r="E114" s="335"/>
      <c r="F114" s="335"/>
      <c r="G114" s="67"/>
      <c r="H114" s="316"/>
      <c r="J114" s="336"/>
      <c r="K114" s="877" t="s">
        <v>13</v>
      </c>
      <c r="L114" s="877"/>
      <c r="M114" s="877"/>
      <c r="N114" s="878"/>
      <c r="O114" s="406">
        <f>L104-L85</f>
        <v>-1101784</v>
      </c>
      <c r="P114" s="407">
        <f>O114/L85</f>
        <v>-4.4862602802327109E-3</v>
      </c>
    </row>
    <row r="115" spans="1:16" ht="16.5" customHeight="1" thickBot="1" x14ac:dyDescent="0.25">
      <c r="A115" s="511"/>
      <c r="B115" s="67"/>
      <c r="C115" s="67"/>
      <c r="D115" s="67"/>
      <c r="E115" s="67"/>
      <c r="F115" s="67"/>
      <c r="G115" s="67"/>
      <c r="H115" s="328"/>
      <c r="I115" s="328"/>
      <c r="J115" s="328"/>
      <c r="K115" s="328"/>
      <c r="L115" s="392"/>
      <c r="O115" s="353"/>
      <c r="P115" s="357"/>
    </row>
    <row r="116" spans="1:16" ht="16.5" customHeight="1" thickBot="1" x14ac:dyDescent="0.25">
      <c r="A116" s="511"/>
      <c r="B116" s="67"/>
      <c r="C116" s="67"/>
      <c r="D116" s="67"/>
      <c r="E116" s="67"/>
      <c r="F116" s="67"/>
      <c r="G116" s="67"/>
      <c r="H116" s="109"/>
      <c r="I116" s="129">
        <f>SUM(I106,I112)</f>
        <v>-1101784</v>
      </c>
      <c r="J116" s="110"/>
      <c r="K116" s="110"/>
      <c r="L116" s="394">
        <f>-O112</f>
        <v>-16910046</v>
      </c>
      <c r="M116" s="361" t="s">
        <v>27</v>
      </c>
      <c r="O116" s="353"/>
      <c r="P116" s="357"/>
    </row>
    <row r="117" spans="1:16" ht="7.5" customHeight="1" thickBot="1" x14ac:dyDescent="0.25">
      <c r="A117" s="511"/>
      <c r="B117" s="67"/>
      <c r="C117" s="67"/>
      <c r="D117" s="67"/>
      <c r="E117" s="67"/>
      <c r="F117" s="67"/>
      <c r="G117" s="67"/>
      <c r="H117" s="395"/>
      <c r="I117" s="396"/>
      <c r="J117" s="396"/>
      <c r="K117" s="396"/>
      <c r="L117" s="360"/>
      <c r="M117" s="361"/>
      <c r="O117" s="353"/>
      <c r="P117" s="357"/>
    </row>
    <row r="118" spans="1:16" ht="16.5" customHeight="1" thickBot="1" x14ac:dyDescent="0.25">
      <c r="A118" s="511"/>
      <c r="B118" s="67"/>
      <c r="C118" s="67"/>
      <c r="D118" s="67"/>
      <c r="E118" s="67"/>
      <c r="F118" s="67"/>
      <c r="G118" s="67"/>
      <c r="H118" s="72" t="s">
        <v>22</v>
      </c>
      <c r="I118" s="73"/>
      <c r="J118" s="73"/>
      <c r="K118" s="73"/>
      <c r="L118" s="82">
        <f>SUM(L104,L116)</f>
        <v>227578914</v>
      </c>
      <c r="M118" s="359" t="s">
        <v>71</v>
      </c>
      <c r="O118" s="353"/>
      <c r="P118" s="357"/>
    </row>
    <row r="119" spans="1:16" ht="16.5" customHeight="1" thickBot="1" x14ac:dyDescent="0.25">
      <c r="A119" s="511"/>
      <c r="B119" s="67"/>
      <c r="C119" s="67"/>
      <c r="D119" s="67"/>
      <c r="E119" s="67"/>
      <c r="F119" s="67"/>
      <c r="G119" s="67"/>
      <c r="H119" s="316"/>
      <c r="O119" s="353"/>
      <c r="P119" s="357"/>
    </row>
    <row r="120" spans="1:16" ht="16.5" customHeight="1" thickBot="1" x14ac:dyDescent="0.25">
      <c r="A120" s="511"/>
      <c r="B120" s="67"/>
      <c r="C120" s="397" t="s">
        <v>64</v>
      </c>
      <c r="D120" s="367"/>
      <c r="E120" s="67"/>
      <c r="F120" s="67"/>
      <c r="G120" s="353"/>
      <c r="H120" s="353"/>
      <c r="I120" s="408" t="s">
        <v>72</v>
      </c>
      <c r="L120" s="400">
        <f>L104</f>
        <v>244488960</v>
      </c>
      <c r="M120" s="359" t="s">
        <v>32</v>
      </c>
      <c r="N120" s="353"/>
      <c r="O120" s="353"/>
      <c r="P120" s="357"/>
    </row>
    <row r="121" spans="1:16" ht="19.5" customHeight="1" x14ac:dyDescent="0.2">
      <c r="A121" s="511"/>
      <c r="B121" s="359"/>
      <c r="C121" s="359" t="s">
        <v>73</v>
      </c>
      <c r="D121" s="367"/>
      <c r="E121" s="67"/>
      <c r="F121" s="67"/>
      <c r="G121" s="67"/>
      <c r="H121" s="67"/>
      <c r="I121" s="353"/>
      <c r="J121" s="353"/>
      <c r="K121" s="353"/>
      <c r="P121" s="357"/>
    </row>
    <row r="122" spans="1:16" ht="15" customHeight="1" x14ac:dyDescent="0.2">
      <c r="A122" s="511"/>
      <c r="C122" s="875" t="s">
        <v>74</v>
      </c>
      <c r="D122" s="875"/>
      <c r="E122" s="875"/>
      <c r="F122" s="875"/>
      <c r="G122" s="875"/>
      <c r="H122" s="875"/>
      <c r="P122" s="357"/>
    </row>
    <row r="123" spans="1:16" ht="15" customHeight="1" x14ac:dyDescent="0.2">
      <c r="A123" s="511"/>
      <c r="C123" s="388" t="s">
        <v>75</v>
      </c>
      <c r="D123" s="409"/>
      <c r="E123" s="409"/>
      <c r="F123" s="409"/>
      <c r="G123" s="409"/>
      <c r="H123" s="409"/>
      <c r="P123" s="357"/>
    </row>
    <row r="124" spans="1:16" ht="15" customHeight="1" x14ac:dyDescent="0.2">
      <c r="A124" s="511"/>
      <c r="C124" s="409"/>
      <c r="D124" s="409"/>
      <c r="E124" s="409"/>
      <c r="F124" s="409"/>
      <c r="G124" s="409"/>
      <c r="H124" s="409"/>
      <c r="P124" s="357"/>
    </row>
    <row r="125" spans="1:16" ht="15" customHeight="1" x14ac:dyDescent="0.2">
      <c r="A125" s="511"/>
      <c r="C125" s="132" t="s">
        <v>76</v>
      </c>
      <c r="D125" s="410"/>
      <c r="E125" s="409"/>
      <c r="F125" s="409"/>
      <c r="G125" s="409"/>
      <c r="H125" s="409"/>
      <c r="P125" s="357"/>
    </row>
    <row r="126" spans="1:16" ht="15" customHeight="1" x14ac:dyDescent="0.2">
      <c r="A126" s="511"/>
      <c r="C126" s="359" t="s">
        <v>77</v>
      </c>
      <c r="D126" s="409"/>
      <c r="E126" s="409"/>
      <c r="F126" s="409"/>
      <c r="G126" s="409"/>
      <c r="H126" s="409"/>
      <c r="L126" s="359" t="s">
        <v>78</v>
      </c>
      <c r="P126" s="357"/>
    </row>
    <row r="127" spans="1:16" ht="15" customHeight="1" x14ac:dyDescent="0.2">
      <c r="A127" s="511"/>
      <c r="C127" s="359" t="s">
        <v>79</v>
      </c>
      <c r="D127" s="409"/>
      <c r="E127" s="409"/>
      <c r="F127" s="409"/>
      <c r="G127" s="409"/>
      <c r="H127" s="409"/>
      <c r="P127" s="357"/>
    </row>
    <row r="128" spans="1:16" ht="15" customHeight="1" x14ac:dyDescent="0.2">
      <c r="A128" s="511"/>
      <c r="C128" s="411"/>
      <c r="D128" s="359" t="s">
        <v>80</v>
      </c>
      <c r="E128" s="409"/>
      <c r="F128" s="409"/>
      <c r="G128" s="409"/>
      <c r="H128" s="412" t="s">
        <v>81</v>
      </c>
      <c r="P128" s="357"/>
    </row>
    <row r="129" spans="1:16" ht="16.5" customHeight="1" thickBot="1" x14ac:dyDescent="0.25">
      <c r="A129" s="519"/>
      <c r="B129" s="130"/>
      <c r="C129" s="130"/>
      <c r="D129" s="130"/>
      <c r="E129" s="130"/>
      <c r="F129" s="130"/>
      <c r="G129" s="130"/>
      <c r="H129" s="130"/>
      <c r="I129" s="130"/>
      <c r="J129" s="130"/>
      <c r="K129" s="130"/>
      <c r="L129" s="130"/>
      <c r="M129" s="130"/>
      <c r="N129" s="130"/>
      <c r="O129" s="131"/>
      <c r="P129" s="413"/>
    </row>
    <row r="130" spans="1:16" ht="5.25" customHeight="1" thickTop="1" thickBot="1" x14ac:dyDescent="0.25">
      <c r="A130" s="518"/>
      <c r="B130" s="79"/>
      <c r="C130" s="79"/>
      <c r="D130" s="79"/>
      <c r="E130" s="79"/>
      <c r="F130" s="79"/>
      <c r="G130" s="80"/>
      <c r="H130" s="80"/>
      <c r="I130" s="80"/>
      <c r="J130" s="80"/>
      <c r="K130" s="80"/>
      <c r="L130" s="81"/>
      <c r="M130" s="81"/>
      <c r="N130" s="81"/>
      <c r="O130" s="81"/>
      <c r="P130" s="119"/>
    </row>
    <row r="131" spans="1:16" ht="15" customHeight="1" thickBot="1" x14ac:dyDescent="0.25">
      <c r="A131" s="57" t="s">
        <v>82</v>
      </c>
      <c r="B131" s="58"/>
      <c r="C131" s="58" t="s">
        <v>15</v>
      </c>
      <c r="D131" s="58"/>
      <c r="E131" s="58"/>
      <c r="F131" s="58"/>
      <c r="G131" s="59"/>
      <c r="H131" s="59"/>
      <c r="I131" s="59"/>
      <c r="J131" s="59"/>
      <c r="K131" s="59"/>
      <c r="L131" s="61">
        <f>SUM(G132,F138)</f>
        <v>244626553</v>
      </c>
      <c r="M131" s="62"/>
      <c r="N131" s="62"/>
      <c r="P131" s="56"/>
    </row>
    <row r="132" spans="1:16" ht="15" customHeight="1" x14ac:dyDescent="0.2">
      <c r="A132" s="64"/>
      <c r="B132" s="316"/>
      <c r="C132" s="316" t="s">
        <v>16</v>
      </c>
      <c r="D132" s="316"/>
      <c r="E132" s="316" t="s">
        <v>69</v>
      </c>
      <c r="F132" s="316"/>
      <c r="G132" s="319">
        <f>G105+387593</f>
        <v>63771163</v>
      </c>
      <c r="H132" s="328"/>
      <c r="I132" s="328"/>
      <c r="J132" s="328"/>
      <c r="K132" s="328"/>
      <c r="M132" s="330"/>
      <c r="N132" s="330"/>
      <c r="P132" s="56"/>
    </row>
    <row r="133" spans="1:16" ht="15" customHeight="1" x14ac:dyDescent="0.2">
      <c r="A133" s="64"/>
      <c r="B133" s="316"/>
      <c r="C133" s="316" t="s">
        <v>8</v>
      </c>
      <c r="D133" s="316"/>
      <c r="E133" s="316"/>
      <c r="F133" s="316"/>
      <c r="G133" s="328"/>
      <c r="H133" s="328"/>
      <c r="I133" s="328">
        <f>G132-G105</f>
        <v>387593</v>
      </c>
      <c r="J133" s="328"/>
      <c r="K133" s="339">
        <f>I133/G105</f>
        <v>6.1150389604119806E-3</v>
      </c>
      <c r="L133" s="340" t="s">
        <v>10</v>
      </c>
      <c r="M133" s="330">
        <f>G132/L131</f>
        <v>0.26068782075345681</v>
      </c>
      <c r="P133" s="56"/>
    </row>
    <row r="134" spans="1:16" ht="15" customHeight="1" thickBot="1" x14ac:dyDescent="0.25">
      <c r="A134" s="64"/>
      <c r="B134" s="316"/>
      <c r="C134" s="316"/>
      <c r="D134" s="316"/>
      <c r="E134" s="316"/>
      <c r="F134" s="316"/>
      <c r="G134" s="328"/>
      <c r="H134" s="328"/>
      <c r="I134" s="67"/>
      <c r="J134" s="67"/>
      <c r="K134" s="348"/>
      <c r="L134" s="349"/>
      <c r="P134" s="56"/>
    </row>
    <row r="135" spans="1:16" ht="15" customHeight="1" thickBot="1" x14ac:dyDescent="0.25">
      <c r="A135" s="511"/>
      <c r="C135" s="316" t="s">
        <v>1583</v>
      </c>
      <c r="D135" s="316"/>
      <c r="E135" s="318"/>
      <c r="F135" s="318"/>
      <c r="G135" s="107">
        <f>167561920-3366576-250000</f>
        <v>163945344</v>
      </c>
      <c r="K135" s="348"/>
      <c r="L135" s="349"/>
      <c r="N135" s="330"/>
      <c r="P135" s="56"/>
    </row>
    <row r="136" spans="1:16" ht="15" customHeight="1" x14ac:dyDescent="0.2">
      <c r="A136" s="511"/>
      <c r="C136" s="316" t="s">
        <v>1584</v>
      </c>
      <c r="D136" s="316"/>
      <c r="E136" s="318"/>
      <c r="F136" s="318"/>
      <c r="G136" s="107">
        <f>18071380-911334-250000</f>
        <v>16910046</v>
      </c>
      <c r="K136" s="348"/>
      <c r="L136" s="349"/>
      <c r="N136" s="330"/>
      <c r="P136" s="56"/>
    </row>
    <row r="137" spans="1:16" ht="15" customHeight="1" thickBot="1" x14ac:dyDescent="0.25">
      <c r="A137" s="511"/>
      <c r="C137" s="401" t="s">
        <v>1585</v>
      </c>
      <c r="D137" s="401"/>
      <c r="E137" s="402"/>
      <c r="F137" s="402"/>
      <c r="G137" s="128">
        <v>0</v>
      </c>
      <c r="K137" s="348"/>
      <c r="L137" s="349"/>
      <c r="M137" s="330"/>
      <c r="N137" s="330"/>
      <c r="P137" s="56"/>
    </row>
    <row r="138" spans="1:16" ht="15" customHeight="1" thickBot="1" x14ac:dyDescent="0.25">
      <c r="A138" s="511"/>
      <c r="C138" s="316"/>
      <c r="D138" s="876" t="s">
        <v>11</v>
      </c>
      <c r="E138" s="876"/>
      <c r="F138" s="93">
        <f>SUM(G135:G137)</f>
        <v>180855390</v>
      </c>
      <c r="G138" s="319"/>
      <c r="K138" s="348"/>
      <c r="L138" s="349"/>
      <c r="M138" s="330">
        <f>F138/L131</f>
        <v>0.73931217924654324</v>
      </c>
      <c r="N138" s="330"/>
      <c r="P138" s="56"/>
    </row>
    <row r="139" spans="1:16" ht="15" customHeight="1" x14ac:dyDescent="0.2">
      <c r="A139" s="511"/>
      <c r="B139" s="316"/>
      <c r="C139" s="316" t="s">
        <v>8</v>
      </c>
      <c r="D139" s="316"/>
      <c r="E139" s="316"/>
      <c r="F139" s="316"/>
      <c r="G139" s="328"/>
      <c r="H139" s="144" t="s">
        <v>83</v>
      </c>
      <c r="I139" s="404">
        <f>F138-F111</f>
        <v>-250000</v>
      </c>
      <c r="J139" s="328"/>
      <c r="K139" s="414">
        <f>I139/F111</f>
        <v>-1.3804117039255431E-3</v>
      </c>
      <c r="L139" s="340" t="s">
        <v>70</v>
      </c>
      <c r="O139" s="329">
        <f>SUM(G136:G137)</f>
        <v>16910046</v>
      </c>
      <c r="P139" s="71" t="s">
        <v>12</v>
      </c>
    </row>
    <row r="140" spans="1:16" ht="15" customHeight="1" thickBot="1" x14ac:dyDescent="0.25">
      <c r="A140" s="511"/>
      <c r="C140" s="322"/>
      <c r="D140" s="322"/>
      <c r="E140" s="322"/>
      <c r="F140" s="322"/>
      <c r="G140" s="351"/>
      <c r="H140" s="352"/>
      <c r="I140" s="336"/>
      <c r="J140" s="336"/>
      <c r="P140" s="56"/>
    </row>
    <row r="141" spans="1:16" ht="15" customHeight="1" thickBot="1" x14ac:dyDescent="0.25">
      <c r="A141" s="511"/>
      <c r="C141" s="335" t="s">
        <v>1565</v>
      </c>
      <c r="D141" s="335"/>
      <c r="E141" s="335"/>
      <c r="F141" s="335"/>
      <c r="G141" s="67"/>
      <c r="H141" s="316"/>
      <c r="J141" s="336"/>
      <c r="K141" s="877" t="s">
        <v>13</v>
      </c>
      <c r="L141" s="877"/>
      <c r="M141" s="877"/>
      <c r="N141" s="878"/>
      <c r="O141" s="137">
        <f>L131-L104</f>
        <v>137593</v>
      </c>
      <c r="P141" s="338">
        <f>(L131-L104)/L104</f>
        <v>5.6277796756139828E-4</v>
      </c>
    </row>
    <row r="142" spans="1:16" ht="15" customHeight="1" thickBot="1" x14ac:dyDescent="0.25">
      <c r="A142" s="511"/>
      <c r="B142" s="67"/>
      <c r="C142" s="67"/>
      <c r="D142" s="67"/>
      <c r="E142" s="67"/>
      <c r="F142" s="67"/>
      <c r="G142" s="67"/>
      <c r="H142" s="328"/>
      <c r="I142" s="328"/>
      <c r="J142" s="328"/>
      <c r="K142" s="328"/>
      <c r="L142" s="392"/>
      <c r="O142" s="353"/>
      <c r="P142" s="357"/>
    </row>
    <row r="143" spans="1:16" ht="15" customHeight="1" thickBot="1" x14ac:dyDescent="0.25">
      <c r="A143" s="511"/>
      <c r="B143" s="67"/>
      <c r="C143" s="67"/>
      <c r="D143" s="67"/>
      <c r="E143" s="67"/>
      <c r="F143" s="67"/>
      <c r="G143" s="67"/>
      <c r="H143" s="109"/>
      <c r="I143" s="129">
        <f>SUM(I133,I139)</f>
        <v>137593</v>
      </c>
      <c r="J143" s="110"/>
      <c r="K143" s="110"/>
      <c r="L143" s="394">
        <f>-O139</f>
        <v>-16910046</v>
      </c>
      <c r="M143" s="361" t="s">
        <v>27</v>
      </c>
      <c r="O143" s="353"/>
      <c r="P143" s="357"/>
    </row>
    <row r="144" spans="1:16" ht="15" customHeight="1" thickBot="1" x14ac:dyDescent="0.25">
      <c r="A144" s="511"/>
      <c r="B144" s="67"/>
      <c r="C144" s="67"/>
      <c r="D144" s="67"/>
      <c r="E144" s="67"/>
      <c r="F144" s="67"/>
      <c r="G144" s="67"/>
      <c r="H144" s="67"/>
      <c r="I144" s="67"/>
      <c r="J144" s="67"/>
      <c r="K144" s="67"/>
      <c r="L144" s="360"/>
      <c r="M144" s="361"/>
      <c r="O144" s="353"/>
      <c r="P144" s="357"/>
    </row>
    <row r="145" spans="1:16" ht="15" customHeight="1" thickBot="1" x14ac:dyDescent="0.25">
      <c r="A145" s="511"/>
      <c r="B145" s="67"/>
      <c r="C145" s="67"/>
      <c r="D145" s="67"/>
      <c r="E145" s="67"/>
      <c r="F145" s="67"/>
      <c r="G145" s="67"/>
      <c r="H145" s="72" t="s">
        <v>22</v>
      </c>
      <c r="I145" s="73"/>
      <c r="J145" s="73"/>
      <c r="K145" s="73"/>
      <c r="L145" s="82">
        <f>SUM(L131,L143)</f>
        <v>227716507</v>
      </c>
      <c r="M145" s="359" t="s">
        <v>84</v>
      </c>
      <c r="O145" s="353"/>
      <c r="P145" s="357"/>
    </row>
    <row r="146" spans="1:16" ht="15" customHeight="1" thickBot="1" x14ac:dyDescent="0.25">
      <c r="A146" s="511"/>
      <c r="B146" s="67"/>
      <c r="C146" s="67"/>
      <c r="D146" s="67"/>
      <c r="E146" s="67"/>
      <c r="F146" s="67"/>
      <c r="G146" s="67"/>
      <c r="H146" s="316"/>
      <c r="O146" s="353"/>
      <c r="P146" s="357"/>
    </row>
    <row r="147" spans="1:16" ht="15" customHeight="1" thickBot="1" x14ac:dyDescent="0.25">
      <c r="A147" s="511"/>
      <c r="B147" s="67"/>
      <c r="D147" s="367"/>
      <c r="E147" s="67"/>
      <c r="F147" s="67"/>
      <c r="G147" s="353"/>
      <c r="H147" s="353"/>
      <c r="I147" s="408" t="s">
        <v>72</v>
      </c>
      <c r="L147" s="400">
        <f>L131</f>
        <v>244626553</v>
      </c>
      <c r="M147" s="359" t="s">
        <v>32</v>
      </c>
      <c r="N147" s="353"/>
      <c r="O147" s="353"/>
      <c r="P147" s="357"/>
    </row>
    <row r="148" spans="1:16" ht="15" customHeight="1" x14ac:dyDescent="0.2">
      <c r="A148" s="511"/>
      <c r="P148" s="357"/>
    </row>
    <row r="149" spans="1:16" ht="15" customHeight="1" x14ac:dyDescent="0.2">
      <c r="A149" s="511"/>
      <c r="C149" s="397" t="s">
        <v>64</v>
      </c>
      <c r="P149" s="357"/>
    </row>
    <row r="150" spans="1:16" ht="15" customHeight="1" x14ac:dyDescent="0.2">
      <c r="A150" s="511"/>
      <c r="C150" s="359" t="s">
        <v>85</v>
      </c>
      <c r="D150" s="367"/>
      <c r="E150" s="67"/>
      <c r="F150" s="67"/>
      <c r="G150" s="67"/>
      <c r="H150" s="67"/>
      <c r="P150" s="357"/>
    </row>
    <row r="151" spans="1:16" ht="15" customHeight="1" x14ac:dyDescent="0.2">
      <c r="A151" s="511"/>
      <c r="C151" s="376" t="s">
        <v>86</v>
      </c>
      <c r="D151" s="376"/>
      <c r="E151" s="367">
        <v>349393</v>
      </c>
      <c r="F151" s="376"/>
      <c r="G151" s="376"/>
      <c r="H151" s="376"/>
      <c r="P151" s="357"/>
    </row>
    <row r="152" spans="1:16" ht="15" customHeight="1" thickBot="1" x14ac:dyDescent="0.25">
      <c r="A152" s="511"/>
      <c r="C152" s="98" t="s">
        <v>87</v>
      </c>
      <c r="D152" s="415"/>
      <c r="E152" s="416">
        <v>45000</v>
      </c>
      <c r="F152" s="409"/>
      <c r="G152" s="409"/>
      <c r="H152" s="409"/>
      <c r="P152" s="357"/>
    </row>
    <row r="153" spans="1:16" ht="15" customHeight="1" thickTop="1" x14ac:dyDescent="0.2">
      <c r="A153" s="511"/>
      <c r="C153" s="409" t="s">
        <v>88</v>
      </c>
      <c r="D153" s="409"/>
      <c r="E153" s="417">
        <f>SUM(E151:E152)</f>
        <v>394393</v>
      </c>
      <c r="F153" s="409"/>
      <c r="G153" s="409"/>
      <c r="H153" s="409"/>
      <c r="P153" s="357"/>
    </row>
    <row r="154" spans="1:16" ht="14.25" customHeight="1" x14ac:dyDescent="0.2">
      <c r="A154" s="511"/>
      <c r="C154" s="409"/>
      <c r="D154" s="409"/>
      <c r="E154" s="409"/>
      <c r="F154" s="409"/>
      <c r="G154" s="409"/>
      <c r="H154" s="409"/>
      <c r="P154" s="357"/>
    </row>
    <row r="155" spans="1:16" ht="14.25" customHeight="1" x14ac:dyDescent="0.2">
      <c r="A155" s="144" t="s">
        <v>83</v>
      </c>
      <c r="C155" s="359" t="s">
        <v>89</v>
      </c>
      <c r="D155" s="409"/>
      <c r="E155" s="409"/>
      <c r="F155" s="409"/>
      <c r="G155" s="409"/>
      <c r="H155" s="409"/>
      <c r="P155" s="357"/>
    </row>
    <row r="156" spans="1:16" ht="12" customHeight="1" x14ac:dyDescent="0.2">
      <c r="A156" s="511"/>
      <c r="C156" s="409"/>
      <c r="D156" s="409"/>
      <c r="E156" s="409"/>
      <c r="F156" s="409"/>
      <c r="G156" s="409"/>
      <c r="H156" s="409"/>
      <c r="P156" s="357"/>
    </row>
    <row r="157" spans="1:16" ht="5.25" customHeight="1" thickBot="1" x14ac:dyDescent="0.25">
      <c r="A157" s="518"/>
      <c r="B157" s="79"/>
      <c r="C157" s="79"/>
      <c r="D157" s="79"/>
      <c r="E157" s="79"/>
      <c r="F157" s="79"/>
      <c r="G157" s="80"/>
      <c r="H157" s="80"/>
      <c r="I157" s="80"/>
      <c r="J157" s="80"/>
      <c r="K157" s="80"/>
      <c r="L157" s="81"/>
      <c r="M157" s="81"/>
      <c r="N157" s="81"/>
      <c r="O157" s="81"/>
      <c r="P157" s="119"/>
    </row>
    <row r="158" spans="1:16" ht="15" customHeight="1" thickBot="1" x14ac:dyDescent="0.25">
      <c r="A158" s="57" t="s">
        <v>90</v>
      </c>
      <c r="B158" s="58"/>
      <c r="C158" s="58" t="s">
        <v>15</v>
      </c>
      <c r="D158" s="58"/>
      <c r="E158" s="58"/>
      <c r="F158" s="58"/>
      <c r="G158" s="59"/>
      <c r="H158" s="59"/>
      <c r="I158" s="59"/>
      <c r="J158" s="59"/>
      <c r="K158" s="59"/>
      <c r="L158" s="61">
        <f>SUM(G159,F166)</f>
        <v>247944797</v>
      </c>
      <c r="M158" s="62"/>
      <c r="N158" s="62"/>
      <c r="P158" s="56"/>
    </row>
    <row r="159" spans="1:16" ht="15" customHeight="1" x14ac:dyDescent="0.2">
      <c r="A159" s="64"/>
      <c r="B159" s="316"/>
      <c r="C159" s="316" t="s">
        <v>16</v>
      </c>
      <c r="D159" s="316"/>
      <c r="E159" s="316" t="s">
        <v>69</v>
      </c>
      <c r="F159" s="316"/>
      <c r="G159" s="319">
        <f>G132+1039419+680049</f>
        <v>65490631</v>
      </c>
      <c r="H159" s="328"/>
      <c r="I159" s="328"/>
      <c r="J159" s="328"/>
      <c r="K159" s="328"/>
      <c r="M159" s="330"/>
      <c r="N159" s="330"/>
      <c r="P159" s="56"/>
    </row>
    <row r="160" spans="1:16" ht="15" customHeight="1" x14ac:dyDescent="0.2">
      <c r="A160" s="64"/>
      <c r="B160" s="316"/>
      <c r="C160" s="316" t="s">
        <v>8</v>
      </c>
      <c r="D160" s="316"/>
      <c r="E160" s="316"/>
      <c r="F160" s="316"/>
      <c r="G160" s="328"/>
      <c r="H160" s="328"/>
      <c r="I160" s="319">
        <f>G159-G132</f>
        <v>1719468</v>
      </c>
      <c r="J160" s="328"/>
      <c r="K160" s="339">
        <f>I160/G132</f>
        <v>2.6963096156800526E-2</v>
      </c>
      <c r="L160" s="340" t="s">
        <v>10</v>
      </c>
      <c r="M160" s="330">
        <f>G159/L158</f>
        <v>0.26413391929333369</v>
      </c>
      <c r="P160" s="56"/>
    </row>
    <row r="161" spans="1:19" ht="15" customHeight="1" thickBot="1" x14ac:dyDescent="0.25">
      <c r="A161" s="64"/>
      <c r="B161" s="316"/>
      <c r="C161" s="316"/>
      <c r="D161" s="316"/>
      <c r="E161" s="316"/>
      <c r="F161" s="316"/>
      <c r="G161" s="328"/>
      <c r="H161" s="328"/>
      <c r="I161" s="67"/>
      <c r="J161" s="67"/>
      <c r="K161" s="348"/>
      <c r="L161" s="349"/>
      <c r="P161" s="56"/>
    </row>
    <row r="162" spans="1:19" ht="15" customHeight="1" x14ac:dyDescent="0.2">
      <c r="A162" s="511"/>
      <c r="C162" s="316" t="s">
        <v>1586</v>
      </c>
      <c r="D162" s="316"/>
      <c r="E162" s="318"/>
      <c r="F162" s="318"/>
      <c r="G162" s="107">
        <f>G135+250000</f>
        <v>164195344</v>
      </c>
      <c r="K162" s="348"/>
      <c r="L162" s="349"/>
      <c r="N162" s="330"/>
      <c r="P162" s="56"/>
    </row>
    <row r="163" spans="1:19" ht="15" customHeight="1" thickBot="1" x14ac:dyDescent="0.25">
      <c r="A163" s="511"/>
      <c r="C163" s="401" t="s">
        <v>1587</v>
      </c>
      <c r="D163" s="401"/>
      <c r="E163" s="402"/>
      <c r="F163" s="402"/>
      <c r="G163" s="128">
        <v>222810</v>
      </c>
      <c r="K163" s="348"/>
      <c r="L163" s="349"/>
      <c r="M163" s="330"/>
      <c r="N163" s="330"/>
      <c r="P163" s="56"/>
    </row>
    <row r="164" spans="1:19" ht="15" customHeight="1" x14ac:dyDescent="0.2">
      <c r="A164" s="511"/>
      <c r="C164" s="316" t="s">
        <v>1588</v>
      </c>
      <c r="D164" s="316"/>
      <c r="E164" s="318"/>
      <c r="F164" s="318"/>
      <c r="G164" s="107">
        <f>G136</f>
        <v>16910046</v>
      </c>
      <c r="K164" s="348"/>
      <c r="L164" s="349"/>
      <c r="N164" s="330"/>
      <c r="P164" s="56"/>
    </row>
    <row r="165" spans="1:19" ht="15" customHeight="1" thickBot="1" x14ac:dyDescent="0.25">
      <c r="A165" s="511"/>
      <c r="C165" s="401" t="s">
        <v>1589</v>
      </c>
      <c r="D165" s="401"/>
      <c r="E165" s="402"/>
      <c r="F165" s="402"/>
      <c r="G165" s="128">
        <v>1125966</v>
      </c>
      <c r="K165" s="348"/>
      <c r="L165" s="349"/>
      <c r="N165" s="330"/>
      <c r="P165" s="56"/>
    </row>
    <row r="166" spans="1:19" ht="15" customHeight="1" thickBot="1" x14ac:dyDescent="0.25">
      <c r="A166" s="511"/>
      <c r="C166" s="316"/>
      <c r="D166" s="876" t="s">
        <v>11</v>
      </c>
      <c r="E166" s="876"/>
      <c r="F166" s="93">
        <f>SUM(G162:G165)</f>
        <v>182454166</v>
      </c>
      <c r="G166" s="319"/>
      <c r="K166" s="348"/>
      <c r="L166" s="349"/>
      <c r="M166" s="330">
        <f>F166/L158</f>
        <v>0.73586608070666637</v>
      </c>
      <c r="N166" s="330"/>
      <c r="P166" s="56"/>
    </row>
    <row r="167" spans="1:19" ht="15" customHeight="1" x14ac:dyDescent="0.2">
      <c r="A167" s="511"/>
      <c r="B167" s="316"/>
      <c r="C167" s="316" t="s">
        <v>8</v>
      </c>
      <c r="D167" s="316"/>
      <c r="E167" s="316"/>
      <c r="F167" s="316"/>
      <c r="G167" s="328"/>
      <c r="H167" s="328"/>
      <c r="I167" s="404">
        <f>F166-F138</f>
        <v>1598776</v>
      </c>
      <c r="J167" s="328"/>
      <c r="K167" s="418">
        <f>I167/F138</f>
        <v>8.840079358431065E-3</v>
      </c>
      <c r="L167" s="340" t="s">
        <v>10</v>
      </c>
      <c r="O167" s="329">
        <f>SUM(G164:G165)</f>
        <v>18036012</v>
      </c>
      <c r="P167" s="71" t="s">
        <v>12</v>
      </c>
    </row>
    <row r="168" spans="1:19" ht="15" customHeight="1" thickBot="1" x14ac:dyDescent="0.25">
      <c r="A168" s="511"/>
      <c r="C168" s="322"/>
      <c r="D168" s="322"/>
      <c r="E168" s="322"/>
      <c r="F168" s="322"/>
      <c r="G168" s="351"/>
      <c r="H168" s="352"/>
      <c r="I168" s="336"/>
      <c r="J168" s="336"/>
      <c r="P168" s="56"/>
      <c r="S168" s="31"/>
    </row>
    <row r="169" spans="1:19" ht="15" customHeight="1" thickBot="1" x14ac:dyDescent="0.25">
      <c r="A169" s="511"/>
      <c r="C169" s="335" t="s">
        <v>1564</v>
      </c>
      <c r="D169" s="335"/>
      <c r="E169" s="335"/>
      <c r="F169" s="335"/>
      <c r="G169" s="67"/>
      <c r="H169" s="316"/>
      <c r="J169" s="336"/>
      <c r="K169" s="877" t="s">
        <v>13</v>
      </c>
      <c r="L169" s="877"/>
      <c r="M169" s="877"/>
      <c r="N169" s="878"/>
      <c r="O169" s="137">
        <f>L158-L131</f>
        <v>3318244</v>
      </c>
      <c r="P169" s="338">
        <f>O169/L131</f>
        <v>1.356452911307629E-2</v>
      </c>
    </row>
    <row r="170" spans="1:19" ht="15" customHeight="1" thickBot="1" x14ac:dyDescent="0.25">
      <c r="A170" s="511"/>
      <c r="B170" s="67"/>
      <c r="C170" s="67"/>
      <c r="D170" s="67"/>
      <c r="E170" s="67"/>
      <c r="F170" s="67"/>
      <c r="G170" s="67"/>
      <c r="H170" s="328"/>
      <c r="I170" s="328"/>
      <c r="J170" s="328"/>
      <c r="K170" s="328"/>
      <c r="L170" s="392"/>
      <c r="O170" s="353"/>
      <c r="P170" s="357"/>
    </row>
    <row r="171" spans="1:19" ht="15" customHeight="1" thickBot="1" x14ac:dyDescent="0.25">
      <c r="A171" s="511"/>
      <c r="B171" s="67"/>
      <c r="C171" s="67"/>
      <c r="D171" s="67"/>
      <c r="E171" s="67"/>
      <c r="F171" s="67"/>
      <c r="G171" s="67"/>
      <c r="H171" s="109"/>
      <c r="I171" s="129">
        <f>SUM(I160,I167)</f>
        <v>3318244</v>
      </c>
      <c r="J171" s="110"/>
      <c r="K171" s="110"/>
      <c r="L171" s="394">
        <f>-SUM(G164:G165)</f>
        <v>-18036012</v>
      </c>
      <c r="M171" s="361" t="s">
        <v>27</v>
      </c>
      <c r="O171" s="353"/>
      <c r="P171" s="357"/>
    </row>
    <row r="172" spans="1:19" ht="15" customHeight="1" thickBot="1" x14ac:dyDescent="0.25">
      <c r="A172" s="511"/>
      <c r="B172" s="67"/>
      <c r="C172" s="67"/>
      <c r="D172" s="67"/>
      <c r="E172" s="67"/>
      <c r="F172" s="67"/>
      <c r="G172" s="67"/>
      <c r="H172" s="67"/>
      <c r="I172" s="67"/>
      <c r="J172" s="67"/>
      <c r="K172" s="67"/>
      <c r="L172" s="360"/>
      <c r="M172" s="361"/>
      <c r="O172" s="353"/>
      <c r="P172" s="357"/>
      <c r="Q172" s="419"/>
    </row>
    <row r="173" spans="1:19" ht="15" customHeight="1" thickBot="1" x14ac:dyDescent="0.25">
      <c r="A173" s="511"/>
      <c r="B173" s="67"/>
      <c r="C173" s="67"/>
      <c r="D173" s="67"/>
      <c r="E173" s="67"/>
      <c r="F173" s="67"/>
      <c r="G173" s="67"/>
      <c r="H173" s="72" t="s">
        <v>22</v>
      </c>
      <c r="I173" s="73"/>
      <c r="J173" s="73"/>
      <c r="K173" s="73"/>
      <c r="L173" s="82">
        <f>SUM(L158,L171)</f>
        <v>229908785</v>
      </c>
      <c r="M173" s="359" t="s">
        <v>84</v>
      </c>
      <c r="O173" s="353"/>
      <c r="P173" s="357"/>
    </row>
    <row r="174" spans="1:19" ht="15" customHeight="1" thickBot="1" x14ac:dyDescent="0.25">
      <c r="A174" s="511"/>
      <c r="B174" s="67"/>
      <c r="C174" s="67"/>
      <c r="D174" s="67"/>
      <c r="E174" s="67"/>
      <c r="F174" s="67"/>
      <c r="G174" s="67"/>
      <c r="H174" s="316"/>
      <c r="O174" s="353"/>
      <c r="P174" s="357"/>
    </row>
    <row r="175" spans="1:19" ht="15" customHeight="1" thickBot="1" x14ac:dyDescent="0.25">
      <c r="A175" s="511"/>
      <c r="B175" s="67"/>
      <c r="D175" s="367"/>
      <c r="E175" s="67"/>
      <c r="F175" s="67"/>
      <c r="G175" s="353"/>
      <c r="H175" s="353"/>
      <c r="I175" s="408" t="s">
        <v>72</v>
      </c>
      <c r="L175" s="400">
        <f>L158</f>
        <v>247944797</v>
      </c>
      <c r="M175" s="359" t="s">
        <v>32</v>
      </c>
      <c r="N175" s="353"/>
      <c r="O175" s="353"/>
      <c r="P175" s="357"/>
    </row>
    <row r="176" spans="1:19" ht="15" customHeight="1" x14ac:dyDescent="0.2">
      <c r="A176" s="511"/>
      <c r="P176" s="357"/>
    </row>
    <row r="177" spans="1:16" ht="15" customHeight="1" x14ac:dyDescent="0.2">
      <c r="A177" s="511"/>
      <c r="C177" s="397" t="s">
        <v>64</v>
      </c>
      <c r="P177" s="357"/>
    </row>
    <row r="178" spans="1:16" ht="15" customHeight="1" x14ac:dyDescent="0.2">
      <c r="A178" s="511"/>
      <c r="C178" s="359" t="s">
        <v>91</v>
      </c>
      <c r="D178" s="367"/>
      <c r="E178" s="67"/>
      <c r="F178" s="67"/>
      <c r="G178" s="67"/>
      <c r="H178" s="67"/>
      <c r="P178" s="357"/>
    </row>
    <row r="179" spans="1:16" ht="15" customHeight="1" x14ac:dyDescent="0.2">
      <c r="A179" s="511"/>
      <c r="C179" s="376" t="s">
        <v>86</v>
      </c>
      <c r="D179" s="376"/>
      <c r="E179" s="367">
        <v>349393</v>
      </c>
      <c r="F179" s="376"/>
      <c r="G179" s="376"/>
      <c r="H179" s="376"/>
      <c r="P179" s="357"/>
    </row>
    <row r="180" spans="1:16" ht="15" customHeight="1" thickBot="1" x14ac:dyDescent="0.25">
      <c r="A180" s="511"/>
      <c r="C180" s="98" t="s">
        <v>87</v>
      </c>
      <c r="D180" s="415"/>
      <c r="E180" s="416">
        <v>45000</v>
      </c>
      <c r="F180" s="409"/>
      <c r="G180" s="409"/>
      <c r="H180" s="409"/>
      <c r="P180" s="357"/>
    </row>
    <row r="181" spans="1:16" ht="15" customHeight="1" thickTop="1" x14ac:dyDescent="0.2">
      <c r="A181" s="511"/>
      <c r="C181" s="409" t="s">
        <v>88</v>
      </c>
      <c r="D181" s="409"/>
      <c r="E181" s="417">
        <f>SUM(E179:E180)</f>
        <v>394393</v>
      </c>
      <c r="F181" s="409"/>
      <c r="G181" s="409"/>
      <c r="H181" s="409"/>
      <c r="P181" s="357"/>
    </row>
    <row r="182" spans="1:16" ht="14.25" customHeight="1" x14ac:dyDescent="0.2">
      <c r="A182" s="511"/>
      <c r="C182" s="409"/>
      <c r="D182" s="409"/>
      <c r="E182" s="409"/>
      <c r="F182" s="409"/>
      <c r="G182" s="409"/>
      <c r="H182" s="409"/>
      <c r="P182" s="357"/>
    </row>
    <row r="183" spans="1:16" ht="14.25" customHeight="1" x14ac:dyDescent="0.2">
      <c r="A183" s="511"/>
      <c r="C183" s="420" t="s">
        <v>1375</v>
      </c>
      <c r="D183" s="409"/>
      <c r="E183" s="409"/>
      <c r="F183" s="409"/>
      <c r="H183" s="409"/>
      <c r="P183" s="357"/>
    </row>
    <row r="184" spans="1:16" ht="14.25" customHeight="1" x14ac:dyDescent="0.2">
      <c r="A184" s="511"/>
      <c r="C184" s="420" t="s">
        <v>1376</v>
      </c>
      <c r="D184" s="409"/>
      <c r="E184" s="409"/>
      <c r="F184" s="409"/>
      <c r="H184" s="409"/>
      <c r="P184" s="357"/>
    </row>
    <row r="185" spans="1:16" ht="14.25" customHeight="1" x14ac:dyDescent="0.2">
      <c r="A185" s="511"/>
      <c r="C185" s="420" t="s">
        <v>1377</v>
      </c>
      <c r="D185" s="409"/>
      <c r="E185" s="409"/>
      <c r="F185" s="409"/>
      <c r="H185" s="409"/>
      <c r="P185" s="357"/>
    </row>
    <row r="186" spans="1:16" ht="14.25" customHeight="1" x14ac:dyDescent="0.2">
      <c r="A186" s="511"/>
      <c r="C186" s="421" t="s">
        <v>1378</v>
      </c>
      <c r="D186" s="409"/>
      <c r="E186" s="409"/>
      <c r="F186" s="409"/>
      <c r="G186" s="409"/>
      <c r="H186" s="409"/>
      <c r="P186" s="357"/>
    </row>
    <row r="187" spans="1:16" ht="12" customHeight="1" x14ac:dyDescent="0.2">
      <c r="A187" s="511"/>
      <c r="C187" s="366"/>
      <c r="D187" s="367"/>
      <c r="E187" s="359"/>
      <c r="F187" s="359"/>
      <c r="G187" s="353"/>
      <c r="H187" s="353"/>
      <c r="P187" s="357"/>
    </row>
    <row r="188" spans="1:16" ht="12" customHeight="1" thickBot="1" x14ac:dyDescent="0.25">
      <c r="A188" s="518"/>
      <c r="B188" s="79"/>
      <c r="C188" s="79"/>
      <c r="D188" s="79"/>
      <c r="E188" s="79"/>
      <c r="F188" s="79"/>
      <c r="G188" s="80"/>
      <c r="H188" s="80"/>
      <c r="I188" s="80"/>
      <c r="J188" s="80"/>
      <c r="K188" s="80"/>
      <c r="L188" s="81"/>
      <c r="M188" s="81"/>
      <c r="N188" s="81"/>
      <c r="O188" s="81"/>
      <c r="P188" s="119"/>
    </row>
    <row r="189" spans="1:16" ht="13.5" customHeight="1" thickBot="1" x14ac:dyDescent="0.25">
      <c r="A189" s="57" t="s">
        <v>1379</v>
      </c>
      <c r="B189" s="58"/>
      <c r="C189" s="58" t="s">
        <v>15</v>
      </c>
      <c r="D189" s="58"/>
      <c r="E189" s="58"/>
      <c r="F189" s="58"/>
      <c r="G189" s="59"/>
      <c r="H189" s="59"/>
      <c r="I189" s="59"/>
      <c r="J189" s="59"/>
      <c r="K189" s="59"/>
      <c r="L189" s="61">
        <f>SUM(G190,F197)</f>
        <v>251881473</v>
      </c>
      <c r="M189" s="62"/>
      <c r="N189" s="62"/>
      <c r="P189" s="56"/>
    </row>
    <row r="190" spans="1:16" ht="13.5" customHeight="1" x14ac:dyDescent="0.2">
      <c r="A190" s="64"/>
      <c r="B190" s="316"/>
      <c r="C190" s="316" t="s">
        <v>16</v>
      </c>
      <c r="D190" s="316"/>
      <c r="E190" s="316" t="s">
        <v>69</v>
      </c>
      <c r="F190" s="316"/>
      <c r="G190" s="319">
        <f>G159+1300000</f>
        <v>66790631</v>
      </c>
      <c r="H190" s="328"/>
      <c r="I190" s="328"/>
      <c r="J190" s="328"/>
      <c r="K190" s="328"/>
      <c r="M190" s="330"/>
      <c r="N190" s="330"/>
      <c r="P190" s="56"/>
    </row>
    <row r="191" spans="1:16" ht="13.5" customHeight="1" x14ac:dyDescent="0.2">
      <c r="A191" s="64"/>
      <c r="B191" s="316"/>
      <c r="C191" s="316" t="s">
        <v>8</v>
      </c>
      <c r="D191" s="316"/>
      <c r="E191" s="316"/>
      <c r="F191" s="316"/>
      <c r="G191" s="328"/>
      <c r="H191" s="328"/>
      <c r="I191" s="319">
        <f>G190-G159</f>
        <v>1300000</v>
      </c>
      <c r="J191" s="328"/>
      <c r="K191" s="339">
        <f>I191/G159</f>
        <v>1.9850167575878142E-2</v>
      </c>
      <c r="L191" s="340" t="s">
        <v>10</v>
      </c>
      <c r="M191" s="330">
        <f>G190/L189</f>
        <v>0.26516690649970909</v>
      </c>
      <c r="P191" s="56"/>
    </row>
    <row r="192" spans="1:16" ht="13.5" customHeight="1" thickBot="1" x14ac:dyDescent="0.25">
      <c r="A192" s="64"/>
      <c r="B192" s="316"/>
      <c r="C192" s="316"/>
      <c r="D192" s="316"/>
      <c r="E192" s="316"/>
      <c r="F192" s="316"/>
      <c r="G192" s="328"/>
      <c r="H192" s="328"/>
      <c r="I192" s="67"/>
      <c r="J192" s="67"/>
      <c r="K192" s="348"/>
      <c r="L192" s="349"/>
      <c r="P192" s="56"/>
    </row>
    <row r="193" spans="1:16" ht="13.5" customHeight="1" x14ac:dyDescent="0.2">
      <c r="A193" s="511"/>
      <c r="C193" s="316" t="s">
        <v>1590</v>
      </c>
      <c r="D193" s="316"/>
      <c r="E193" s="318"/>
      <c r="F193" s="318"/>
      <c r="G193" s="107">
        <f>G162</f>
        <v>164195344</v>
      </c>
      <c r="K193" s="348"/>
      <c r="L193" s="349"/>
      <c r="N193" s="330"/>
      <c r="P193" s="56"/>
    </row>
    <row r="194" spans="1:16" ht="13.5" customHeight="1" thickBot="1" x14ac:dyDescent="0.25">
      <c r="A194" s="511"/>
      <c r="C194" s="401" t="s">
        <v>1591</v>
      </c>
      <c r="D194" s="401"/>
      <c r="E194" s="402"/>
      <c r="F194" s="402"/>
      <c r="G194" s="128">
        <v>0</v>
      </c>
      <c r="K194" s="348"/>
      <c r="L194" s="349"/>
      <c r="M194" s="330"/>
      <c r="N194" s="330"/>
      <c r="P194" s="56"/>
    </row>
    <row r="195" spans="1:16" ht="13.5" customHeight="1" thickBot="1" x14ac:dyDescent="0.25">
      <c r="A195" s="511"/>
      <c r="C195" s="316" t="s">
        <v>1592</v>
      </c>
      <c r="D195" s="316"/>
      <c r="E195" s="318"/>
      <c r="F195" s="318"/>
      <c r="G195" s="107">
        <f>SUM(G164:G165)</f>
        <v>18036012</v>
      </c>
      <c r="K195" s="348"/>
      <c r="L195" s="349"/>
      <c r="N195" s="330"/>
      <c r="P195" s="56"/>
    </row>
    <row r="196" spans="1:16" ht="13.5" customHeight="1" thickBot="1" x14ac:dyDescent="0.25">
      <c r="A196" s="511"/>
      <c r="C196" s="401" t="s">
        <v>1593</v>
      </c>
      <c r="D196" s="401"/>
      <c r="E196" s="402"/>
      <c r="F196" s="402"/>
      <c r="G196" s="422">
        <v>2859486</v>
      </c>
      <c r="K196" s="348"/>
      <c r="L196" s="349"/>
      <c r="N196" s="330"/>
      <c r="P196" s="56"/>
    </row>
    <row r="197" spans="1:16" ht="13.5" customHeight="1" thickBot="1" x14ac:dyDescent="0.25">
      <c r="A197" s="511"/>
      <c r="C197" s="316"/>
      <c r="D197" s="876" t="s">
        <v>11</v>
      </c>
      <c r="E197" s="876"/>
      <c r="F197" s="93">
        <f>SUM(G193:G196)</f>
        <v>185090842</v>
      </c>
      <c r="G197" s="319"/>
      <c r="K197" s="348"/>
      <c r="L197" s="349"/>
      <c r="M197" s="330">
        <f>F197/L189</f>
        <v>0.73483309350029091</v>
      </c>
      <c r="N197" s="330"/>
      <c r="P197" s="56"/>
    </row>
    <row r="198" spans="1:16" ht="13.5" customHeight="1" x14ac:dyDescent="0.2">
      <c r="A198" s="511"/>
      <c r="B198" s="316"/>
      <c r="C198" s="316" t="s">
        <v>8</v>
      </c>
      <c r="D198" s="316"/>
      <c r="E198" s="316"/>
      <c r="F198" s="316"/>
      <c r="G198" s="328"/>
      <c r="H198" s="328"/>
      <c r="I198" s="404">
        <f>F197-F166</f>
        <v>2636676</v>
      </c>
      <c r="J198" s="328"/>
      <c r="K198" s="418">
        <f>I198/F166</f>
        <v>1.4451169067852361E-2</v>
      </c>
      <c r="L198" s="340" t="s">
        <v>10</v>
      </c>
      <c r="O198" s="329">
        <f>SUM(G195:G196)</f>
        <v>20895498</v>
      </c>
      <c r="P198" s="71" t="s">
        <v>12</v>
      </c>
    </row>
    <row r="199" spans="1:16" ht="13.5" customHeight="1" thickBot="1" x14ac:dyDescent="0.25">
      <c r="A199" s="511"/>
      <c r="C199" s="322"/>
      <c r="D199" s="322"/>
      <c r="E199" s="322"/>
      <c r="F199" s="322"/>
      <c r="G199" s="351"/>
      <c r="H199" s="352"/>
      <c r="I199" s="336"/>
      <c r="J199" s="336"/>
      <c r="P199" s="56"/>
    </row>
    <row r="200" spans="1:16" ht="13.5" customHeight="1" thickBot="1" x14ac:dyDescent="0.25">
      <c r="A200" s="511"/>
      <c r="C200" s="335" t="s">
        <v>1563</v>
      </c>
      <c r="D200" s="335"/>
      <c r="E200" s="335"/>
      <c r="F200" s="335"/>
      <c r="G200" s="67"/>
      <c r="H200" s="316"/>
      <c r="J200" s="336"/>
      <c r="K200" s="877" t="s">
        <v>13</v>
      </c>
      <c r="L200" s="877"/>
      <c r="M200" s="877"/>
      <c r="N200" s="878"/>
      <c r="O200" s="137">
        <f>I202</f>
        <v>3936676</v>
      </c>
      <c r="P200" s="338">
        <f>O200/L158</f>
        <v>1.5877227704036073E-2</v>
      </c>
    </row>
    <row r="201" spans="1:16" ht="13.5" customHeight="1" thickBot="1" x14ac:dyDescent="0.25">
      <c r="A201" s="511"/>
      <c r="B201" s="67"/>
      <c r="C201" s="67"/>
      <c r="D201" s="67"/>
      <c r="E201" s="67"/>
      <c r="F201" s="67"/>
      <c r="G201" s="67"/>
      <c r="H201" s="328"/>
      <c r="I201" s="328"/>
      <c r="J201" s="328"/>
      <c r="K201" s="328"/>
      <c r="L201" s="392"/>
      <c r="O201" s="353"/>
      <c r="P201" s="357"/>
    </row>
    <row r="202" spans="1:16" ht="13.5" customHeight="1" thickBot="1" x14ac:dyDescent="0.25">
      <c r="A202" s="511"/>
      <c r="B202" s="67"/>
      <c r="C202" s="67"/>
      <c r="D202" s="67"/>
      <c r="E202" s="67"/>
      <c r="F202" s="67"/>
      <c r="G202" s="67"/>
      <c r="H202" s="109"/>
      <c r="I202" s="129">
        <f>SUM(I191,I198)</f>
        <v>3936676</v>
      </c>
      <c r="J202" s="110"/>
      <c r="K202" s="110"/>
      <c r="L202" s="394">
        <f>-SUM(G195:G196)</f>
        <v>-20895498</v>
      </c>
      <c r="M202" s="361" t="s">
        <v>27</v>
      </c>
      <c r="O202" s="353"/>
      <c r="P202" s="357"/>
    </row>
    <row r="203" spans="1:16" ht="13.5" customHeight="1" thickBot="1" x14ac:dyDescent="0.25">
      <c r="A203" s="511"/>
      <c r="B203" s="67"/>
      <c r="C203" s="67"/>
      <c r="D203" s="67"/>
      <c r="E203" s="67"/>
      <c r="F203" s="67"/>
      <c r="G203" s="67"/>
      <c r="H203" s="67"/>
      <c r="I203" s="67"/>
      <c r="J203" s="67"/>
      <c r="K203" s="67"/>
      <c r="L203" s="360"/>
      <c r="M203" s="361"/>
      <c r="O203" s="353"/>
      <c r="P203" s="357"/>
    </row>
    <row r="204" spans="1:16" ht="16.5" customHeight="1" thickBot="1" x14ac:dyDescent="0.25">
      <c r="A204" s="511"/>
      <c r="B204" s="67"/>
      <c r="C204" s="67"/>
      <c r="D204" s="67"/>
      <c r="E204" s="67"/>
      <c r="F204" s="67"/>
      <c r="G204" s="67"/>
      <c r="H204" s="72" t="s">
        <v>22</v>
      </c>
      <c r="I204" s="73"/>
      <c r="J204" s="73"/>
      <c r="K204" s="73"/>
      <c r="L204" s="82">
        <f>SUM(L189,L202)</f>
        <v>230985975</v>
      </c>
      <c r="M204" s="359" t="s">
        <v>84</v>
      </c>
      <c r="O204" s="353"/>
      <c r="P204" s="357"/>
    </row>
    <row r="205" spans="1:16" ht="13.5" customHeight="1" thickBot="1" x14ac:dyDescent="0.25">
      <c r="A205" s="511"/>
      <c r="B205" s="67"/>
      <c r="C205" s="67"/>
      <c r="D205" s="67"/>
      <c r="E205" s="67"/>
      <c r="F205" s="67"/>
      <c r="G205" s="67"/>
      <c r="H205" s="316"/>
      <c r="O205" s="353"/>
      <c r="P205" s="357"/>
    </row>
    <row r="206" spans="1:16" ht="13.5" customHeight="1" thickBot="1" x14ac:dyDescent="0.25">
      <c r="A206" s="511"/>
      <c r="B206" s="67"/>
      <c r="D206" s="367"/>
      <c r="E206" s="67"/>
      <c r="F206" s="67"/>
      <c r="G206" s="353"/>
      <c r="H206" s="353"/>
      <c r="I206" s="408" t="s">
        <v>72</v>
      </c>
      <c r="L206" s="400">
        <f>L189</f>
        <v>251881473</v>
      </c>
      <c r="M206" s="359" t="s">
        <v>32</v>
      </c>
      <c r="N206" s="353"/>
      <c r="O206" s="353"/>
      <c r="P206" s="357"/>
    </row>
    <row r="207" spans="1:16" ht="13.5" customHeight="1" x14ac:dyDescent="0.2">
      <c r="A207" s="511"/>
      <c r="P207" s="357"/>
    </row>
    <row r="208" spans="1:16" ht="13.5" customHeight="1" x14ac:dyDescent="0.2">
      <c r="A208" s="511"/>
      <c r="C208" s="397" t="s">
        <v>64</v>
      </c>
      <c r="P208" s="357"/>
    </row>
    <row r="209" spans="1:16" ht="13.5" customHeight="1" x14ac:dyDescent="0.2">
      <c r="A209" s="511"/>
      <c r="C209" s="359" t="s">
        <v>91</v>
      </c>
      <c r="D209" s="367"/>
      <c r="E209" s="67"/>
      <c r="F209" s="67"/>
      <c r="G209" s="67"/>
      <c r="H209" s="67"/>
      <c r="P209" s="357"/>
    </row>
    <row r="210" spans="1:16" ht="13.5" customHeight="1" x14ac:dyDescent="0.2">
      <c r="A210" s="511"/>
      <c r="C210" s="376" t="s">
        <v>86</v>
      </c>
      <c r="D210" s="376"/>
      <c r="E210" s="367">
        <v>349393</v>
      </c>
      <c r="F210" s="376"/>
      <c r="G210" s="376"/>
      <c r="H210" s="376"/>
      <c r="P210" s="357"/>
    </row>
    <row r="211" spans="1:16" ht="13.5" customHeight="1" thickBot="1" x14ac:dyDescent="0.25">
      <c r="A211" s="511"/>
      <c r="C211" s="98" t="s">
        <v>87</v>
      </c>
      <c r="D211" s="415"/>
      <c r="E211" s="416">
        <v>45000</v>
      </c>
      <c r="F211" s="409"/>
      <c r="G211" s="409"/>
      <c r="H211" s="409"/>
      <c r="P211" s="357"/>
    </row>
    <row r="212" spans="1:16" ht="13.5" customHeight="1" thickTop="1" x14ac:dyDescent="0.2">
      <c r="A212" s="511"/>
      <c r="C212" s="409" t="s">
        <v>88</v>
      </c>
      <c r="D212" s="409"/>
      <c r="E212" s="417">
        <f>SUM(E210:E211)</f>
        <v>394393</v>
      </c>
      <c r="F212" s="409"/>
      <c r="G212" s="409"/>
      <c r="H212" s="409"/>
      <c r="P212" s="357"/>
    </row>
    <row r="213" spans="1:16" ht="13.5" customHeight="1" x14ac:dyDescent="0.2">
      <c r="A213" s="511"/>
      <c r="C213" s="409"/>
      <c r="D213" s="409"/>
      <c r="E213" s="409"/>
      <c r="F213" s="409"/>
      <c r="G213" s="409"/>
      <c r="H213" s="409"/>
      <c r="P213" s="357"/>
    </row>
    <row r="214" spans="1:16" ht="12" customHeight="1" thickBot="1" x14ac:dyDescent="0.25">
      <c r="A214" s="518"/>
      <c r="B214" s="79"/>
      <c r="C214" s="79"/>
      <c r="D214" s="79"/>
      <c r="E214" s="79"/>
      <c r="F214" s="79"/>
      <c r="G214" s="80"/>
      <c r="H214" s="80"/>
      <c r="I214" s="80"/>
      <c r="J214" s="80"/>
      <c r="K214" s="80"/>
      <c r="L214" s="81"/>
      <c r="M214" s="81"/>
      <c r="N214" s="81"/>
      <c r="O214" s="81"/>
      <c r="P214" s="119"/>
    </row>
    <row r="215" spans="1:16" ht="12" customHeight="1" thickBot="1" x14ac:dyDescent="0.25">
      <c r="A215" s="57" t="s">
        <v>1475</v>
      </c>
      <c r="B215" s="58"/>
      <c r="C215" s="58" t="s">
        <v>15</v>
      </c>
      <c r="D215" s="58"/>
      <c r="E215" s="58"/>
      <c r="F215" s="58"/>
      <c r="G215" s="59"/>
      <c r="H215" s="59"/>
      <c r="I215" s="59"/>
      <c r="J215" s="59"/>
      <c r="K215" s="59"/>
      <c r="L215" s="61">
        <f>SUM(G216,F223)</f>
        <v>256455009</v>
      </c>
      <c r="M215" s="62"/>
      <c r="N215" s="62"/>
      <c r="P215" s="56"/>
    </row>
    <row r="216" spans="1:16" ht="12" customHeight="1" x14ac:dyDescent="0.2">
      <c r="A216" s="64"/>
      <c r="B216" s="316"/>
      <c r="C216" s="316" t="s">
        <v>16</v>
      </c>
      <c r="D216" s="316"/>
      <c r="E216" s="316" t="s">
        <v>69</v>
      </c>
      <c r="F216" s="316"/>
      <c r="G216" s="319">
        <f>G190+2250000</f>
        <v>69040631</v>
      </c>
      <c r="H216" s="328"/>
      <c r="I216" s="328"/>
      <c r="J216" s="328"/>
      <c r="K216" s="328"/>
      <c r="M216" s="330"/>
      <c r="N216" s="330"/>
      <c r="P216" s="56"/>
    </row>
    <row r="217" spans="1:16" ht="12" customHeight="1" x14ac:dyDescent="0.2">
      <c r="A217" s="64"/>
      <c r="B217" s="316"/>
      <c r="C217" s="316" t="s">
        <v>8</v>
      </c>
      <c r="D217" s="316"/>
      <c r="E217" s="316"/>
      <c r="F217" s="316"/>
      <c r="G217" s="328"/>
      <c r="H217" s="328"/>
      <c r="I217" s="319">
        <f>G216-G190</f>
        <v>2250000</v>
      </c>
      <c r="J217" s="328"/>
      <c r="K217" s="339">
        <f>I217/G190</f>
        <v>3.3687359534004105E-2</v>
      </c>
      <c r="L217" s="340" t="s">
        <v>10</v>
      </c>
      <c r="M217" s="330">
        <f>G216/L215</f>
        <v>0.2692114740484558</v>
      </c>
      <c r="P217" s="56"/>
    </row>
    <row r="218" spans="1:16" ht="12" customHeight="1" thickBot="1" x14ac:dyDescent="0.25">
      <c r="A218" s="64"/>
      <c r="B218" s="316"/>
      <c r="C218" s="316"/>
      <c r="D218" s="316"/>
      <c r="E218" s="316"/>
      <c r="F218" s="316"/>
      <c r="G218" s="328"/>
      <c r="H218" s="328"/>
      <c r="I218" s="67"/>
      <c r="J218" s="67"/>
      <c r="K218" s="348"/>
      <c r="L218" s="349"/>
      <c r="P218" s="56"/>
    </row>
    <row r="219" spans="1:16" ht="12" customHeight="1" x14ac:dyDescent="0.2">
      <c r="A219" s="511"/>
      <c r="C219" s="316" t="s">
        <v>1594</v>
      </c>
      <c r="D219" s="316"/>
      <c r="E219" s="318"/>
      <c r="F219" s="318"/>
      <c r="G219" s="107">
        <f>G193</f>
        <v>164195344</v>
      </c>
      <c r="K219" s="348"/>
      <c r="L219" s="349"/>
      <c r="N219" s="330"/>
      <c r="P219" s="56"/>
    </row>
    <row r="220" spans="1:16" ht="12" customHeight="1" thickBot="1" x14ac:dyDescent="0.25">
      <c r="A220" s="511"/>
      <c r="C220" s="401" t="s">
        <v>1595</v>
      </c>
      <c r="D220" s="401"/>
      <c r="E220" s="402"/>
      <c r="F220" s="402"/>
      <c r="G220" s="128">
        <v>0</v>
      </c>
      <c r="K220" s="348"/>
      <c r="L220" s="349"/>
      <c r="M220" s="330"/>
      <c r="N220" s="330"/>
      <c r="P220" s="56"/>
    </row>
    <row r="221" spans="1:16" ht="12" customHeight="1" thickBot="1" x14ac:dyDescent="0.25">
      <c r="A221" s="511"/>
      <c r="C221" s="316" t="s">
        <v>1596</v>
      </c>
      <c r="D221" s="316"/>
      <c r="E221" s="318"/>
      <c r="F221" s="318"/>
      <c r="G221" s="107">
        <f>SUM(G195:G196)</f>
        <v>20895498</v>
      </c>
      <c r="K221" s="348"/>
      <c r="L221" s="349"/>
      <c r="N221" s="330"/>
      <c r="P221" s="56"/>
    </row>
    <row r="222" spans="1:16" ht="12" customHeight="1" thickBot="1" x14ac:dyDescent="0.25">
      <c r="A222" s="511"/>
      <c r="C222" s="401" t="s">
        <v>1597</v>
      </c>
      <c r="D222" s="401"/>
      <c r="E222" s="402"/>
      <c r="F222" s="402"/>
      <c r="G222" s="422">
        <v>2323536</v>
      </c>
      <c r="K222" s="348"/>
      <c r="L222" s="349"/>
      <c r="N222" s="330"/>
      <c r="P222" s="56"/>
    </row>
    <row r="223" spans="1:16" ht="12" customHeight="1" thickBot="1" x14ac:dyDescent="0.25">
      <c r="A223" s="511"/>
      <c r="C223" s="316"/>
      <c r="D223" s="876" t="s">
        <v>11</v>
      </c>
      <c r="E223" s="876"/>
      <c r="F223" s="93">
        <f>SUM(G219:G222)</f>
        <v>187414378</v>
      </c>
      <c r="G223" s="319"/>
      <c r="K223" s="348"/>
      <c r="L223" s="349"/>
      <c r="M223" s="330">
        <f>F223/L215</f>
        <v>0.7307885259515442</v>
      </c>
      <c r="N223" s="330"/>
      <c r="P223" s="56"/>
    </row>
    <row r="224" spans="1:16" ht="12" customHeight="1" x14ac:dyDescent="0.2">
      <c r="A224" s="511"/>
      <c r="B224" s="316"/>
      <c r="C224" s="316" t="s">
        <v>8</v>
      </c>
      <c r="D224" s="316"/>
      <c r="E224" s="316"/>
      <c r="F224" s="316"/>
      <c r="G224" s="328"/>
      <c r="H224" s="328"/>
      <c r="I224" s="404">
        <f>F223-F197</f>
        <v>2323536</v>
      </c>
      <c r="J224" s="328"/>
      <c r="K224" s="418">
        <f>I224/F197</f>
        <v>1.2553489815557704E-2</v>
      </c>
      <c r="L224" s="340" t="s">
        <v>10</v>
      </c>
      <c r="O224" s="505">
        <f>SUM(G221:G222)</f>
        <v>23219034</v>
      </c>
      <c r="P224" s="466" t="s">
        <v>12</v>
      </c>
    </row>
    <row r="225" spans="1:16" ht="12" customHeight="1" thickBot="1" x14ac:dyDescent="0.25">
      <c r="A225" s="511"/>
      <c r="C225" s="322"/>
      <c r="D225" s="322"/>
      <c r="E225" s="322"/>
      <c r="F225" s="322"/>
      <c r="G225" s="351"/>
      <c r="H225" s="352"/>
      <c r="I225" s="336"/>
      <c r="J225" s="336"/>
      <c r="P225" s="56"/>
    </row>
    <row r="226" spans="1:16" ht="12" customHeight="1" thickBot="1" x14ac:dyDescent="0.25">
      <c r="A226" s="511"/>
      <c r="C226" s="335" t="s">
        <v>1562</v>
      </c>
      <c r="D226" s="335"/>
      <c r="E226" s="335"/>
      <c r="F226" s="335"/>
      <c r="G226" s="67"/>
      <c r="H226" s="316"/>
      <c r="J226" s="336"/>
      <c r="K226" s="877" t="s">
        <v>13</v>
      </c>
      <c r="L226" s="877"/>
      <c r="M226" s="877"/>
      <c r="N226" s="878"/>
      <c r="O226" s="137">
        <f>I228</f>
        <v>4573536</v>
      </c>
      <c r="P226" s="338">
        <f>O226/L189</f>
        <v>1.8157492671166012E-2</v>
      </c>
    </row>
    <row r="227" spans="1:16" ht="12" customHeight="1" thickBot="1" x14ac:dyDescent="0.25">
      <c r="A227" s="511"/>
      <c r="B227" s="67"/>
      <c r="C227" s="67"/>
      <c r="D227" s="67"/>
      <c r="E227" s="67"/>
      <c r="F227" s="67"/>
      <c r="G227" s="67"/>
      <c r="H227" s="328"/>
      <c r="I227" s="328"/>
      <c r="J227" s="328"/>
      <c r="K227" s="328"/>
      <c r="L227" s="392"/>
      <c r="O227" s="353"/>
      <c r="P227" s="357"/>
    </row>
    <row r="228" spans="1:16" ht="12" customHeight="1" thickBot="1" x14ac:dyDescent="0.25">
      <c r="A228" s="511"/>
      <c r="B228" s="67"/>
      <c r="C228" s="67"/>
      <c r="D228" s="67"/>
      <c r="E228" s="67"/>
      <c r="F228" s="67"/>
      <c r="G228" s="67"/>
      <c r="H228" s="109"/>
      <c r="I228" s="129">
        <f>SUM(I217,I224)</f>
        <v>4573536</v>
      </c>
      <c r="J228" s="110"/>
      <c r="K228" s="110"/>
      <c r="L228" s="394">
        <f>-SUM(G221:G222)</f>
        <v>-23219034</v>
      </c>
      <c r="M228" s="361" t="s">
        <v>27</v>
      </c>
      <c r="O228" s="353"/>
      <c r="P228" s="357"/>
    </row>
    <row r="229" spans="1:16" ht="12" customHeight="1" thickBot="1" x14ac:dyDescent="0.25">
      <c r="A229" s="511"/>
      <c r="B229" s="67"/>
      <c r="C229" s="67"/>
      <c r="D229" s="67"/>
      <c r="E229" s="67"/>
      <c r="F229" s="67"/>
      <c r="G229" s="67"/>
      <c r="H229" s="67"/>
      <c r="I229" s="67"/>
      <c r="J229" s="67"/>
      <c r="K229" s="67"/>
      <c r="L229" s="360"/>
      <c r="M229" s="361"/>
      <c r="O229" s="353"/>
      <c r="P229" s="357"/>
    </row>
    <row r="230" spans="1:16" ht="12" customHeight="1" thickBot="1" x14ac:dyDescent="0.25">
      <c r="A230" s="511"/>
      <c r="B230" s="67"/>
      <c r="C230" s="67"/>
      <c r="D230" s="67"/>
      <c r="E230" s="67"/>
      <c r="F230" s="67"/>
      <c r="G230" s="67"/>
      <c r="H230" s="72" t="s">
        <v>22</v>
      </c>
      <c r="I230" s="73"/>
      <c r="J230" s="73"/>
      <c r="K230" s="73"/>
      <c r="L230" s="82">
        <f>SUM(L215,L228)</f>
        <v>233235975</v>
      </c>
      <c r="M230" s="359" t="s">
        <v>84</v>
      </c>
      <c r="O230" s="353"/>
      <c r="P230" s="357"/>
    </row>
    <row r="231" spans="1:16" ht="12" customHeight="1" thickBot="1" x14ac:dyDescent="0.25">
      <c r="A231" s="511"/>
      <c r="B231" s="67"/>
      <c r="C231" s="67"/>
      <c r="D231" s="67"/>
      <c r="E231" s="67"/>
      <c r="F231" s="67"/>
      <c r="G231" s="67"/>
      <c r="H231" s="316"/>
      <c r="O231" s="353"/>
      <c r="P231" s="357"/>
    </row>
    <row r="232" spans="1:16" ht="12" customHeight="1" thickBot="1" x14ac:dyDescent="0.25">
      <c r="A232" s="511"/>
      <c r="B232" s="67"/>
      <c r="D232" s="367"/>
      <c r="E232" s="67"/>
      <c r="F232" s="67"/>
      <c r="G232" s="353"/>
      <c r="H232" s="353"/>
      <c r="I232" s="408" t="s">
        <v>72</v>
      </c>
      <c r="L232" s="400">
        <f>L215</f>
        <v>256455009</v>
      </c>
      <c r="M232" s="359" t="s">
        <v>32</v>
      </c>
      <c r="N232" s="353"/>
      <c r="O232" s="353"/>
      <c r="P232" s="357"/>
    </row>
    <row r="233" spans="1:16" ht="12" customHeight="1" x14ac:dyDescent="0.2">
      <c r="A233" s="511"/>
      <c r="P233" s="357"/>
    </row>
    <row r="234" spans="1:16" ht="12" customHeight="1" x14ac:dyDescent="0.2">
      <c r="A234" s="511"/>
      <c r="C234" s="397" t="s">
        <v>64</v>
      </c>
      <c r="P234" s="357"/>
    </row>
    <row r="235" spans="1:16" ht="12" customHeight="1" x14ac:dyDescent="0.2">
      <c r="A235" s="511"/>
      <c r="C235" s="359" t="s">
        <v>91</v>
      </c>
      <c r="D235" s="367"/>
      <c r="E235" s="67"/>
      <c r="F235" s="67"/>
      <c r="G235" s="67"/>
      <c r="H235" s="67"/>
      <c r="P235" s="357"/>
    </row>
    <row r="236" spans="1:16" ht="12" customHeight="1" x14ac:dyDescent="0.2">
      <c r="A236" s="511"/>
      <c r="C236" s="376" t="s">
        <v>86</v>
      </c>
      <c r="D236" s="376"/>
      <c r="E236" s="367">
        <v>349393</v>
      </c>
      <c r="F236" s="376"/>
      <c r="G236" s="376"/>
      <c r="H236" s="376"/>
      <c r="P236" s="357"/>
    </row>
    <row r="237" spans="1:16" ht="12" customHeight="1" thickBot="1" x14ac:dyDescent="0.25">
      <c r="A237" s="511"/>
      <c r="C237" s="98" t="s">
        <v>87</v>
      </c>
      <c r="D237" s="415"/>
      <c r="E237" s="416">
        <v>45000</v>
      </c>
      <c r="F237" s="409"/>
      <c r="G237" s="409"/>
      <c r="H237" s="409"/>
      <c r="P237" s="357"/>
    </row>
    <row r="238" spans="1:16" ht="12" customHeight="1" thickTop="1" x14ac:dyDescent="0.2">
      <c r="A238" s="511"/>
      <c r="C238" s="409" t="s">
        <v>88</v>
      </c>
      <c r="D238" s="409"/>
      <c r="E238" s="417">
        <f>SUM(E236:E237)</f>
        <v>394393</v>
      </c>
      <c r="F238" s="409"/>
      <c r="G238" s="409"/>
      <c r="H238" s="409"/>
      <c r="P238" s="357"/>
    </row>
    <row r="239" spans="1:16" ht="12" customHeight="1" thickBot="1" x14ac:dyDescent="0.25">
      <c r="A239" s="520"/>
      <c r="B239" s="78"/>
      <c r="C239" s="506"/>
      <c r="D239" s="506"/>
      <c r="E239" s="506"/>
      <c r="F239" s="506"/>
      <c r="G239" s="506"/>
      <c r="H239" s="506"/>
      <c r="I239" s="78"/>
      <c r="J239" s="78"/>
      <c r="K239" s="78"/>
      <c r="L239" s="78"/>
      <c r="M239" s="78"/>
      <c r="N239" s="78"/>
      <c r="O239" s="369"/>
      <c r="P239" s="507"/>
    </row>
    <row r="240" spans="1:16" ht="12" customHeight="1" thickBot="1" x14ac:dyDescent="0.25">
      <c r="A240" s="518"/>
      <c r="B240" s="79"/>
      <c r="C240" s="79"/>
      <c r="D240" s="79"/>
      <c r="E240" s="79"/>
      <c r="F240" s="79"/>
      <c r="G240" s="80"/>
      <c r="H240" s="80"/>
      <c r="I240" s="80"/>
      <c r="J240" s="80"/>
      <c r="K240" s="80"/>
      <c r="L240" s="81"/>
      <c r="M240" s="81"/>
      <c r="N240" s="81"/>
      <c r="O240" s="81"/>
      <c r="P240" s="119"/>
    </row>
    <row r="241" spans="1:16" ht="12" customHeight="1" thickBot="1" x14ac:dyDescent="0.25">
      <c r="A241" s="57" t="s">
        <v>1559</v>
      </c>
      <c r="B241" s="58"/>
      <c r="C241" s="58" t="s">
        <v>15</v>
      </c>
      <c r="D241" s="58"/>
      <c r="E241" s="58"/>
      <c r="F241" s="58"/>
      <c r="G241" s="59"/>
      <c r="H241" s="59"/>
      <c r="I241" s="59"/>
      <c r="J241" s="59"/>
      <c r="K241" s="59"/>
      <c r="L241" s="61">
        <f>SUM(G242,F249)</f>
        <v>259985072</v>
      </c>
      <c r="M241" s="62"/>
      <c r="N241" s="62"/>
      <c r="P241" s="56"/>
    </row>
    <row r="242" spans="1:16" ht="12" customHeight="1" x14ac:dyDescent="0.2">
      <c r="A242" s="64"/>
      <c r="B242" s="316"/>
      <c r="C242" s="316" t="s">
        <v>16</v>
      </c>
      <c r="D242" s="316"/>
      <c r="E242" s="316" t="s">
        <v>69</v>
      </c>
      <c r="F242" s="316"/>
      <c r="G242" s="319">
        <v>71040631</v>
      </c>
      <c r="H242" s="328"/>
      <c r="I242" s="328"/>
      <c r="J242" s="328"/>
      <c r="K242" s="328"/>
      <c r="M242" s="330"/>
      <c r="N242" s="330"/>
      <c r="P242" s="56"/>
    </row>
    <row r="243" spans="1:16" ht="12" customHeight="1" x14ac:dyDescent="0.2">
      <c r="A243" s="64"/>
      <c r="B243" s="316"/>
      <c r="C243" s="316" t="s">
        <v>8</v>
      </c>
      <c r="D243" s="316"/>
      <c r="E243" s="316"/>
      <c r="F243" s="316"/>
      <c r="G243" s="328"/>
      <c r="H243" s="328"/>
      <c r="I243" s="319">
        <f>G242-G216</f>
        <v>2000000</v>
      </c>
      <c r="J243" s="328"/>
      <c r="K243" s="339">
        <f>I243/G216</f>
        <v>2.8968449028225134E-2</v>
      </c>
      <c r="L243" s="340" t="s">
        <v>10</v>
      </c>
      <c r="M243" s="330">
        <f>G242/L241</f>
        <v>0.27324888484366516</v>
      </c>
      <c r="P243" s="56"/>
    </row>
    <row r="244" spans="1:16" ht="12" customHeight="1" thickBot="1" x14ac:dyDescent="0.25">
      <c r="A244" s="64"/>
      <c r="B244" s="316"/>
      <c r="C244" s="316"/>
      <c r="D244" s="316"/>
      <c r="E244" s="316"/>
      <c r="F244" s="316"/>
      <c r="G244" s="328"/>
      <c r="H244" s="328"/>
      <c r="I244" s="67"/>
      <c r="J244" s="67"/>
      <c r="K244" s="348"/>
      <c r="L244" s="349"/>
      <c r="P244" s="56"/>
    </row>
    <row r="245" spans="1:16" ht="12" customHeight="1" x14ac:dyDescent="0.2">
      <c r="A245" s="511"/>
      <c r="C245" s="316" t="s">
        <v>1599</v>
      </c>
      <c r="D245" s="316"/>
      <c r="E245" s="318"/>
      <c r="F245" s="318"/>
      <c r="G245" s="107">
        <f>G219</f>
        <v>164195344</v>
      </c>
      <c r="K245" s="348"/>
      <c r="L245" s="349"/>
      <c r="N245" s="330"/>
      <c r="P245" s="56"/>
    </row>
    <row r="246" spans="1:16" ht="12" customHeight="1" thickBot="1" x14ac:dyDescent="0.25">
      <c r="A246" s="511"/>
      <c r="C246" s="401" t="s">
        <v>1598</v>
      </c>
      <c r="D246" s="401"/>
      <c r="E246" s="402"/>
      <c r="F246" s="402"/>
      <c r="G246" s="128">
        <v>0</v>
      </c>
      <c r="K246" s="348"/>
      <c r="L246" s="349"/>
      <c r="M246" s="330"/>
      <c r="N246" s="330"/>
      <c r="P246" s="56"/>
    </row>
    <row r="247" spans="1:16" ht="12" customHeight="1" thickBot="1" x14ac:dyDescent="0.25">
      <c r="A247" s="511"/>
      <c r="C247" s="316" t="s">
        <v>1600</v>
      </c>
      <c r="D247" s="316"/>
      <c r="E247" s="318"/>
      <c r="F247" s="318"/>
      <c r="G247" s="107">
        <f>O224</f>
        <v>23219034</v>
      </c>
      <c r="K247" s="348"/>
      <c r="L247" s="349"/>
      <c r="N247" s="330"/>
      <c r="P247" s="56"/>
    </row>
    <row r="248" spans="1:16" ht="12" customHeight="1" thickBot="1" x14ac:dyDescent="0.25">
      <c r="A248" s="511"/>
      <c r="C248" s="401" t="s">
        <v>1601</v>
      </c>
      <c r="D248" s="401"/>
      <c r="E248" s="402"/>
      <c r="F248" s="402"/>
      <c r="G248" s="422">
        <v>1530063</v>
      </c>
      <c r="K248" s="348"/>
      <c r="L248" s="349"/>
      <c r="N248" s="330"/>
      <c r="P248" s="56"/>
    </row>
    <row r="249" spans="1:16" ht="12" customHeight="1" thickBot="1" x14ac:dyDescent="0.25">
      <c r="A249" s="511"/>
      <c r="C249" s="316"/>
      <c r="D249" s="876" t="s">
        <v>11</v>
      </c>
      <c r="E249" s="876"/>
      <c r="F249" s="93">
        <f>SUM(G245:G248)</f>
        <v>188944441</v>
      </c>
      <c r="G249" s="319"/>
      <c r="K249" s="348"/>
      <c r="L249" s="349"/>
      <c r="M249" s="330">
        <f>F249/L241</f>
        <v>0.72675111515633484</v>
      </c>
      <c r="N249" s="330"/>
      <c r="P249" s="56"/>
    </row>
    <row r="250" spans="1:16" ht="12" customHeight="1" x14ac:dyDescent="0.2">
      <c r="A250" s="511"/>
      <c r="B250" s="316"/>
      <c r="C250" s="316" t="s">
        <v>8</v>
      </c>
      <c r="D250" s="316"/>
      <c r="E250" s="316"/>
      <c r="F250" s="316"/>
      <c r="G250" s="328"/>
      <c r="H250" s="328"/>
      <c r="I250" s="404">
        <f>F249-F223</f>
        <v>1530063</v>
      </c>
      <c r="J250" s="328"/>
      <c r="K250" s="418">
        <f>I250/F223</f>
        <v>8.1640641253255385E-3</v>
      </c>
      <c r="L250" s="340" t="s">
        <v>10</v>
      </c>
      <c r="O250" s="505">
        <f>SUM(G247:G248)</f>
        <v>24749097</v>
      </c>
      <c r="P250" s="466" t="s">
        <v>12</v>
      </c>
    </row>
    <row r="251" spans="1:16" ht="12" customHeight="1" thickBot="1" x14ac:dyDescent="0.25">
      <c r="A251" s="511"/>
      <c r="C251" s="322"/>
      <c r="D251" s="322"/>
      <c r="E251" s="322"/>
      <c r="F251" s="322"/>
      <c r="G251" s="351"/>
      <c r="H251" s="352"/>
      <c r="I251" s="336"/>
      <c r="J251" s="336"/>
      <c r="P251" s="56"/>
    </row>
    <row r="252" spans="1:16" ht="12" customHeight="1" thickBot="1" x14ac:dyDescent="0.25">
      <c r="A252" s="511"/>
      <c r="C252" s="335" t="s">
        <v>1602</v>
      </c>
      <c r="D252" s="335"/>
      <c r="E252" s="335"/>
      <c r="F252" s="335"/>
      <c r="G252" s="67"/>
      <c r="H252" s="316"/>
      <c r="J252" s="336"/>
      <c r="K252" s="877" t="s">
        <v>13</v>
      </c>
      <c r="L252" s="877"/>
      <c r="M252" s="877"/>
      <c r="N252" s="878"/>
      <c r="O252" s="137">
        <f>I254</f>
        <v>3530063</v>
      </c>
      <c r="P252" s="338">
        <f>O252/L215</f>
        <v>1.376484325170658E-2</v>
      </c>
    </row>
    <row r="253" spans="1:16" ht="12" customHeight="1" thickBot="1" x14ac:dyDescent="0.25">
      <c r="A253" s="511"/>
      <c r="B253" s="67"/>
      <c r="C253" s="67"/>
      <c r="D253" s="67"/>
      <c r="E253" s="67"/>
      <c r="F253" s="67"/>
      <c r="G253" s="67"/>
      <c r="H253" s="328"/>
      <c r="I253" s="328"/>
      <c r="J253" s="328"/>
      <c r="K253" s="328"/>
      <c r="L253" s="392"/>
      <c r="O253" s="353"/>
      <c r="P253" s="357"/>
    </row>
    <row r="254" spans="1:16" ht="12" customHeight="1" thickBot="1" x14ac:dyDescent="0.25">
      <c r="A254" s="511"/>
      <c r="B254" s="67"/>
      <c r="C254" s="67"/>
      <c r="D254" s="67"/>
      <c r="E254" s="67"/>
      <c r="F254" s="67"/>
      <c r="G254" s="67"/>
      <c r="H254" s="109"/>
      <c r="I254" s="129">
        <f>SUM(I243,I250)</f>
        <v>3530063</v>
      </c>
      <c r="J254" s="110"/>
      <c r="K254" s="110"/>
      <c r="L254" s="394">
        <f>-SUM(G247:G248)</f>
        <v>-24749097</v>
      </c>
      <c r="M254" s="361" t="s">
        <v>27</v>
      </c>
      <c r="O254" s="353"/>
      <c r="P254" s="357"/>
    </row>
    <row r="255" spans="1:16" ht="12" customHeight="1" thickBot="1" x14ac:dyDescent="0.25">
      <c r="A255" s="511"/>
      <c r="B255" s="67"/>
      <c r="C255" s="67"/>
      <c r="D255" s="67"/>
      <c r="E255" s="67"/>
      <c r="F255" s="67"/>
      <c r="G255" s="67"/>
      <c r="H255" s="67"/>
      <c r="I255" s="67"/>
      <c r="J255" s="67"/>
      <c r="K255" s="67"/>
      <c r="L255" s="360"/>
      <c r="M255" s="361"/>
      <c r="O255" s="353"/>
      <c r="P255" s="357"/>
    </row>
    <row r="256" spans="1:16" ht="12" customHeight="1" thickBot="1" x14ac:dyDescent="0.25">
      <c r="A256" s="511"/>
      <c r="B256" s="67"/>
      <c r="C256" s="67"/>
      <c r="D256" s="67"/>
      <c r="E256" s="67"/>
      <c r="F256" s="67"/>
      <c r="G256" s="67"/>
      <c r="H256" s="72" t="s">
        <v>22</v>
      </c>
      <c r="I256" s="73"/>
      <c r="J256" s="73"/>
      <c r="K256" s="73"/>
      <c r="L256" s="82">
        <f>SUM(L241,L254)</f>
        <v>235235975</v>
      </c>
      <c r="M256" s="359" t="s">
        <v>84</v>
      </c>
      <c r="O256" s="353"/>
      <c r="P256" s="357"/>
    </row>
    <row r="257" spans="1:16" ht="12" customHeight="1" thickBot="1" x14ac:dyDescent="0.25">
      <c r="A257" s="511"/>
      <c r="B257" s="67"/>
      <c r="C257" s="67"/>
      <c r="D257" s="67"/>
      <c r="E257" s="67"/>
      <c r="F257" s="67"/>
      <c r="G257" s="67"/>
      <c r="H257" s="316"/>
      <c r="O257" s="353"/>
      <c r="P257" s="357"/>
    </row>
    <row r="258" spans="1:16" ht="12" customHeight="1" thickBot="1" x14ac:dyDescent="0.25">
      <c r="A258" s="511"/>
      <c r="B258" s="67"/>
      <c r="D258" s="367"/>
      <c r="E258" s="67"/>
      <c r="F258" s="67"/>
      <c r="G258" s="353"/>
      <c r="H258" s="353"/>
      <c r="I258" s="408" t="s">
        <v>72</v>
      </c>
      <c r="L258" s="400">
        <f>L241</f>
        <v>259985072</v>
      </c>
      <c r="M258" s="359" t="s">
        <v>32</v>
      </c>
      <c r="N258" s="353"/>
      <c r="O258" s="353"/>
      <c r="P258" s="357"/>
    </row>
    <row r="259" spans="1:16" ht="12" customHeight="1" x14ac:dyDescent="0.2">
      <c r="A259" s="511"/>
      <c r="P259" s="357"/>
    </row>
    <row r="260" spans="1:16" ht="12" customHeight="1" x14ac:dyDescent="0.2">
      <c r="A260" s="511"/>
      <c r="C260" s="397" t="s">
        <v>64</v>
      </c>
      <c r="P260" s="357"/>
    </row>
    <row r="261" spans="1:16" ht="12" customHeight="1" x14ac:dyDescent="0.2">
      <c r="A261" s="511"/>
      <c r="C261" s="359" t="s">
        <v>91</v>
      </c>
      <c r="D261" s="367"/>
      <c r="E261" s="67"/>
      <c r="F261" s="67"/>
      <c r="G261" s="67"/>
      <c r="H261" s="67"/>
      <c r="P261" s="357"/>
    </row>
    <row r="262" spans="1:16" ht="12" customHeight="1" x14ac:dyDescent="0.2">
      <c r="A262" s="511"/>
      <c r="C262" s="376" t="s">
        <v>86</v>
      </c>
      <c r="D262" s="376"/>
      <c r="E262" s="367">
        <v>349393</v>
      </c>
      <c r="F262" s="376"/>
      <c r="G262" s="376"/>
      <c r="H262" s="376"/>
      <c r="P262" s="357"/>
    </row>
    <row r="263" spans="1:16" ht="12" customHeight="1" thickBot="1" x14ac:dyDescent="0.25">
      <c r="A263" s="511"/>
      <c r="C263" s="98" t="s">
        <v>87</v>
      </c>
      <c r="D263" s="415"/>
      <c r="E263" s="416">
        <v>45000</v>
      </c>
      <c r="F263" s="409"/>
      <c r="G263" s="409"/>
      <c r="H263" s="409"/>
      <c r="P263" s="357"/>
    </row>
    <row r="264" spans="1:16" ht="12" customHeight="1" thickTop="1" x14ac:dyDescent="0.2">
      <c r="A264" s="511"/>
      <c r="C264" s="409" t="s">
        <v>88</v>
      </c>
      <c r="D264" s="409"/>
      <c r="E264" s="417">
        <f>SUM(E262:E263)</f>
        <v>394393</v>
      </c>
      <c r="F264" s="409"/>
      <c r="G264" s="409"/>
      <c r="H264" s="409"/>
      <c r="P264" s="357"/>
    </row>
    <row r="265" spans="1:16" ht="12" customHeight="1" thickBot="1" x14ac:dyDescent="0.25">
      <c r="A265" s="520"/>
      <c r="B265" s="78"/>
      <c r="C265" s="506"/>
      <c r="D265" s="506"/>
      <c r="E265" s="506"/>
      <c r="F265" s="506"/>
      <c r="G265" s="506"/>
      <c r="H265" s="506"/>
      <c r="I265" s="78"/>
      <c r="J265" s="78"/>
      <c r="K265" s="78"/>
      <c r="L265" s="78"/>
      <c r="M265" s="78"/>
      <c r="N265" s="78"/>
      <c r="O265" s="369"/>
      <c r="P265" s="507"/>
    </row>
    <row r="266" spans="1:16" ht="12" customHeight="1" thickBot="1" x14ac:dyDescent="0.25">
      <c r="A266" s="518"/>
      <c r="B266" s="79"/>
      <c r="C266" s="79"/>
      <c r="D266" s="79"/>
      <c r="E266" s="79"/>
      <c r="F266" s="79"/>
      <c r="G266" s="80"/>
      <c r="H266" s="80"/>
      <c r="I266" s="80"/>
      <c r="J266" s="80"/>
      <c r="K266" s="80"/>
      <c r="L266" s="81"/>
      <c r="M266" s="81"/>
      <c r="N266" s="81"/>
      <c r="O266" s="81"/>
      <c r="P266" s="119"/>
    </row>
    <row r="267" spans="1:16" ht="12" customHeight="1" thickBot="1" x14ac:dyDescent="0.25">
      <c r="A267" s="562" t="s">
        <v>1688</v>
      </c>
      <c r="B267" s="563"/>
      <c r="C267" s="58" t="s">
        <v>15</v>
      </c>
      <c r="D267" s="58"/>
      <c r="E267" s="58"/>
      <c r="F267" s="58"/>
      <c r="G267" s="576"/>
      <c r="H267" s="576"/>
      <c r="I267" s="576"/>
      <c r="J267" s="576"/>
      <c r="K267" s="576"/>
      <c r="L267" s="61">
        <f>SUM(G268,F275)</f>
        <v>262000506</v>
      </c>
      <c r="M267" s="62"/>
      <c r="N267" s="62"/>
      <c r="O267" s="577">
        <f>L267-SUM(G273:G274)</f>
        <v>237235975</v>
      </c>
      <c r="P267" s="578" t="s">
        <v>1689</v>
      </c>
    </row>
    <row r="268" spans="1:16" ht="12" customHeight="1" x14ac:dyDescent="0.2">
      <c r="A268" s="564"/>
      <c r="B268" s="565"/>
      <c r="C268" s="315" t="s">
        <v>16</v>
      </c>
      <c r="D268" s="315"/>
      <c r="E268" s="315" t="s">
        <v>69</v>
      </c>
      <c r="F268" s="315"/>
      <c r="G268" s="317">
        <f>G242+2000000</f>
        <v>73040631</v>
      </c>
      <c r="H268" s="579"/>
      <c r="I268" s="579"/>
      <c r="J268" s="579"/>
      <c r="K268" s="579"/>
      <c r="L268" s="521"/>
      <c r="M268" s="580"/>
      <c r="N268" s="580"/>
      <c r="O268" s="581"/>
      <c r="P268" s="56"/>
    </row>
    <row r="269" spans="1:16" ht="12" customHeight="1" x14ac:dyDescent="0.2">
      <c r="A269" s="564"/>
      <c r="B269" s="565"/>
      <c r="C269" s="315" t="s">
        <v>8</v>
      </c>
      <c r="D269" s="315"/>
      <c r="E269" s="315"/>
      <c r="F269" s="315"/>
      <c r="G269" s="579"/>
      <c r="H269" s="579"/>
      <c r="I269" s="317">
        <f>G268-G242</f>
        <v>2000000</v>
      </c>
      <c r="J269" s="579"/>
      <c r="K269" s="582">
        <f>I269/G268</f>
        <v>2.7382019741861212E-2</v>
      </c>
      <c r="L269" s="583" t="s">
        <v>10</v>
      </c>
      <c r="M269" s="580">
        <f>G268/L267</f>
        <v>0.27878049594301163</v>
      </c>
      <c r="N269" s="521"/>
      <c r="O269" s="581"/>
      <c r="P269" s="56"/>
    </row>
    <row r="270" spans="1:16" ht="12" customHeight="1" thickBot="1" x14ac:dyDescent="0.25">
      <c r="A270" s="564"/>
      <c r="B270" s="565"/>
      <c r="C270" s="315"/>
      <c r="D270" s="315"/>
      <c r="E270" s="315"/>
      <c r="F270" s="315"/>
      <c r="G270" s="579"/>
      <c r="H270" s="579"/>
      <c r="I270" s="584"/>
      <c r="J270" s="584"/>
      <c r="K270" s="585"/>
      <c r="L270" s="349"/>
      <c r="M270" s="521"/>
      <c r="N270" s="521"/>
      <c r="O270" s="581"/>
      <c r="P270" s="56"/>
    </row>
    <row r="271" spans="1:16" ht="12" customHeight="1" x14ac:dyDescent="0.2">
      <c r="A271" s="569"/>
      <c r="B271" s="566"/>
      <c r="C271" s="315" t="s">
        <v>1690</v>
      </c>
      <c r="D271" s="315"/>
      <c r="E271" s="315"/>
      <c r="F271" s="315"/>
      <c r="G271" s="586">
        <f>G245</f>
        <v>164195344</v>
      </c>
      <c r="H271" s="521"/>
      <c r="I271" s="521"/>
      <c r="J271" s="521"/>
      <c r="K271" s="585"/>
      <c r="L271" s="349"/>
      <c r="M271" s="521"/>
      <c r="N271" s="580"/>
      <c r="O271" s="581"/>
      <c r="P271" s="56"/>
    </row>
    <row r="272" spans="1:16" ht="12" customHeight="1" thickBot="1" x14ac:dyDescent="0.25">
      <c r="A272" s="569"/>
      <c r="B272" s="566"/>
      <c r="C272" s="587" t="s">
        <v>1691</v>
      </c>
      <c r="D272" s="587"/>
      <c r="E272" s="587"/>
      <c r="F272" s="587"/>
      <c r="G272" s="588">
        <v>0</v>
      </c>
      <c r="H272" s="521"/>
      <c r="I272" s="521"/>
      <c r="J272" s="521"/>
      <c r="K272" s="585"/>
      <c r="L272" s="349"/>
      <c r="M272" s="580"/>
      <c r="N272" s="580"/>
      <c r="O272" s="581"/>
      <c r="P272" s="56"/>
    </row>
    <row r="273" spans="1:16" ht="12" customHeight="1" thickBot="1" x14ac:dyDescent="0.25">
      <c r="A273" s="569"/>
      <c r="B273" s="566"/>
      <c r="C273" s="315" t="s">
        <v>1692</v>
      </c>
      <c r="D273" s="315"/>
      <c r="E273" s="315"/>
      <c r="F273" s="315"/>
      <c r="G273" s="586">
        <f>SUM(G247:G248)</f>
        <v>24749097</v>
      </c>
      <c r="H273" s="521"/>
      <c r="I273" s="521"/>
      <c r="J273" s="521"/>
      <c r="K273" s="585"/>
      <c r="L273" s="349"/>
      <c r="M273" s="521"/>
      <c r="N273" s="580"/>
      <c r="O273" s="581"/>
      <c r="P273" s="56"/>
    </row>
    <row r="274" spans="1:16" ht="12" customHeight="1" thickBot="1" x14ac:dyDescent="0.3">
      <c r="A274" s="569"/>
      <c r="B274" s="566"/>
      <c r="C274" s="587" t="s">
        <v>1693</v>
      </c>
      <c r="D274" s="587"/>
      <c r="E274" s="587"/>
      <c r="F274" s="587"/>
      <c r="G274" s="589">
        <v>15434</v>
      </c>
      <c r="H274" s="315"/>
      <c r="I274" s="521"/>
      <c r="J274" s="521"/>
      <c r="K274" s="585"/>
      <c r="L274" s="349"/>
      <c r="M274" s="521"/>
      <c r="N274" s="580"/>
      <c r="O274" s="581"/>
      <c r="P274" s="56"/>
    </row>
    <row r="275" spans="1:16" ht="13.15" customHeight="1" thickBot="1" x14ac:dyDescent="0.25">
      <c r="A275" s="569"/>
      <c r="B275" s="566"/>
      <c r="C275" s="315"/>
      <c r="D275" s="879" t="s">
        <v>11</v>
      </c>
      <c r="E275" s="879"/>
      <c r="F275" s="61">
        <f>SUM(G271:G274)</f>
        <v>188959875</v>
      </c>
      <c r="G275" s="317"/>
      <c r="H275" s="521"/>
      <c r="I275" s="521"/>
      <c r="J275" s="521"/>
      <c r="K275" s="585"/>
      <c r="L275" s="349"/>
      <c r="M275" s="580">
        <f>F275/L267</f>
        <v>0.72121950405698831</v>
      </c>
      <c r="N275" s="580"/>
      <c r="O275" s="581"/>
      <c r="P275" s="56"/>
    </row>
    <row r="276" spans="1:16" ht="12" customHeight="1" x14ac:dyDescent="0.2">
      <c r="A276" s="569"/>
      <c r="B276" s="565"/>
      <c r="C276" s="315" t="s">
        <v>8</v>
      </c>
      <c r="D276" s="315"/>
      <c r="E276" s="315"/>
      <c r="F276" s="315"/>
      <c r="G276" s="579"/>
      <c r="H276" s="579"/>
      <c r="I276" s="590">
        <f>F275-F249</f>
        <v>15434</v>
      </c>
      <c r="J276" s="579"/>
      <c r="K276" s="591">
        <f>I276/F249</f>
        <v>8.1685388140104111E-5</v>
      </c>
      <c r="L276" s="583" t="s">
        <v>10</v>
      </c>
      <c r="M276" s="521"/>
      <c r="N276" s="521"/>
      <c r="O276" s="592">
        <f>SUM(G273:G274)</f>
        <v>24764531</v>
      </c>
      <c r="P276" s="593" t="s">
        <v>1694</v>
      </c>
    </row>
    <row r="277" spans="1:16" ht="12" customHeight="1" thickBot="1" x14ac:dyDescent="0.25">
      <c r="A277" s="569"/>
      <c r="B277" s="566"/>
      <c r="C277" s="322"/>
      <c r="D277" s="322"/>
      <c r="E277" s="322"/>
      <c r="F277" s="322"/>
      <c r="G277" s="322"/>
      <c r="H277" s="594"/>
      <c r="I277" s="595"/>
      <c r="J277" s="595"/>
      <c r="K277" s="521"/>
      <c r="L277" s="521"/>
      <c r="M277" s="521"/>
      <c r="N277" s="521"/>
      <c r="O277" s="581"/>
      <c r="P277" s="56"/>
    </row>
    <row r="278" spans="1:16" ht="12" customHeight="1" thickBot="1" x14ac:dyDescent="0.25">
      <c r="A278" s="569"/>
      <c r="B278" s="566"/>
      <c r="C278" s="596" t="s">
        <v>1695</v>
      </c>
      <c r="D278" s="596"/>
      <c r="E278" s="596"/>
      <c r="F278" s="596"/>
      <c r="G278" s="584"/>
      <c r="H278" s="315"/>
      <c r="I278" s="521"/>
      <c r="J278" s="595"/>
      <c r="K278" s="880" t="s">
        <v>13</v>
      </c>
      <c r="L278" s="880"/>
      <c r="M278" s="880"/>
      <c r="N278" s="881"/>
      <c r="O278" s="597">
        <f>I280</f>
        <v>2015434</v>
      </c>
      <c r="P278" s="598">
        <f>O278/L267</f>
        <v>7.6924813267345371E-3</v>
      </c>
    </row>
    <row r="279" spans="1:16" ht="12" customHeight="1" thickBot="1" x14ac:dyDescent="0.25">
      <c r="A279" s="569"/>
      <c r="B279" s="568"/>
      <c r="C279" s="584"/>
      <c r="D279" s="584"/>
      <c r="E279" s="584"/>
      <c r="F279" s="584"/>
      <c r="G279" s="584"/>
      <c r="H279" s="579"/>
      <c r="I279" s="579"/>
      <c r="J279" s="579"/>
      <c r="K279" s="579"/>
      <c r="L279" s="599"/>
      <c r="M279" s="521"/>
      <c r="N279" s="521"/>
      <c r="O279" s="600"/>
      <c r="P279" s="601"/>
    </row>
    <row r="280" spans="1:16" ht="12" customHeight="1" thickBot="1" x14ac:dyDescent="0.25">
      <c r="A280" s="569"/>
      <c r="B280" s="568"/>
      <c r="C280" s="584"/>
      <c r="D280" s="584"/>
      <c r="E280" s="584"/>
      <c r="F280" s="584"/>
      <c r="G280" s="584"/>
      <c r="H280" s="602"/>
      <c r="I280" s="603">
        <f>SUM(I269,I276)</f>
        <v>2015434</v>
      </c>
      <c r="J280" s="602"/>
      <c r="K280" s="602"/>
      <c r="L280" s="604">
        <f>-SUM(G273:G274)</f>
        <v>-24764531</v>
      </c>
      <c r="M280" s="605" t="s">
        <v>27</v>
      </c>
      <c r="N280" s="521"/>
      <c r="O280" s="600"/>
      <c r="P280" s="601"/>
    </row>
    <row r="281" spans="1:16" ht="12" customHeight="1" thickBot="1" x14ac:dyDescent="0.25">
      <c r="A281" s="569"/>
      <c r="B281" s="568"/>
      <c r="C281" s="584"/>
      <c r="D281" s="584"/>
      <c r="E281" s="584"/>
      <c r="F281" s="584"/>
      <c r="G281" s="584"/>
      <c r="H281" s="584"/>
      <c r="I281" s="584"/>
      <c r="J281" s="584"/>
      <c r="K281" s="584"/>
      <c r="L281" s="604"/>
      <c r="M281" s="605"/>
      <c r="N281" s="521"/>
      <c r="O281" s="600"/>
      <c r="P281" s="601"/>
    </row>
    <row r="282" spans="1:16" ht="12" customHeight="1" thickBot="1" x14ac:dyDescent="0.25">
      <c r="A282" s="569"/>
      <c r="B282" s="568"/>
      <c r="C282" s="584"/>
      <c r="D282" s="584"/>
      <c r="E282" s="584"/>
      <c r="F282" s="584"/>
      <c r="G282" s="606" t="s">
        <v>22</v>
      </c>
      <c r="H282" s="606"/>
      <c r="I282" s="606"/>
      <c r="J282" s="606"/>
      <c r="K282" s="607"/>
      <c r="L282" s="608">
        <f>SUM(L267,L280)</f>
        <v>237235975</v>
      </c>
      <c r="M282" s="517" t="s">
        <v>84</v>
      </c>
      <c r="N282" s="521"/>
      <c r="O282" s="600"/>
      <c r="P282" s="601"/>
    </row>
    <row r="283" spans="1:16" ht="12" customHeight="1" thickBot="1" x14ac:dyDescent="0.25">
      <c r="A283" s="569"/>
      <c r="B283" s="568"/>
      <c r="C283" s="584"/>
      <c r="D283" s="584"/>
      <c r="E283" s="584"/>
      <c r="F283" s="584"/>
      <c r="G283" s="584"/>
      <c r="H283" s="315"/>
      <c r="I283" s="521"/>
      <c r="J283" s="521"/>
      <c r="K283" s="521"/>
      <c r="L283" s="521"/>
      <c r="M283" s="521"/>
      <c r="N283" s="521"/>
      <c r="O283" s="600"/>
      <c r="P283" s="601"/>
    </row>
    <row r="284" spans="1:16" ht="12" customHeight="1" thickBot="1" x14ac:dyDescent="0.25">
      <c r="A284" s="569"/>
      <c r="B284" s="568"/>
      <c r="C284" s="521"/>
      <c r="D284" s="609"/>
      <c r="E284" s="584"/>
      <c r="F284" s="584"/>
      <c r="G284" s="600"/>
      <c r="H284" s="600"/>
      <c r="I284" s="610" t="s">
        <v>72</v>
      </c>
      <c r="J284" s="521"/>
      <c r="K284" s="521"/>
      <c r="L284" s="611">
        <f>L267</f>
        <v>262000506</v>
      </c>
      <c r="M284" s="517" t="s">
        <v>32</v>
      </c>
      <c r="N284" s="600"/>
      <c r="O284" s="600"/>
      <c r="P284" s="601"/>
    </row>
    <row r="285" spans="1:16" ht="12" customHeight="1" x14ac:dyDescent="0.2">
      <c r="A285" s="569"/>
      <c r="B285" s="566"/>
      <c r="C285" s="521"/>
      <c r="D285" s="521"/>
      <c r="E285" s="521"/>
      <c r="F285" s="521"/>
      <c r="G285" s="521"/>
      <c r="H285" s="521"/>
      <c r="I285" s="521"/>
      <c r="J285" s="521"/>
      <c r="K285" s="521"/>
      <c r="L285" s="521"/>
      <c r="M285" s="521"/>
      <c r="N285" s="521"/>
      <c r="O285" s="581"/>
      <c r="P285" s="601"/>
    </row>
    <row r="286" spans="1:16" ht="12" customHeight="1" x14ac:dyDescent="0.2">
      <c r="A286" s="569"/>
      <c r="B286" s="566"/>
      <c r="C286" s="516" t="s">
        <v>64</v>
      </c>
      <c r="D286" s="521"/>
      <c r="E286" s="521"/>
      <c r="F286" s="521"/>
      <c r="G286" s="521"/>
      <c r="H286" s="521"/>
      <c r="I286" s="521"/>
      <c r="J286" s="521"/>
      <c r="K286" s="521"/>
      <c r="L286" s="521"/>
      <c r="M286" s="521"/>
      <c r="N286" s="521"/>
      <c r="O286" s="581"/>
      <c r="P286" s="601"/>
    </row>
    <row r="287" spans="1:16" ht="12" customHeight="1" x14ac:dyDescent="0.2">
      <c r="A287" s="569"/>
      <c r="B287" s="566"/>
      <c r="C287" s="517" t="s">
        <v>91</v>
      </c>
      <c r="D287" s="609"/>
      <c r="E287" s="584"/>
      <c r="F287" s="584"/>
      <c r="G287" s="584"/>
      <c r="H287" s="584"/>
      <c r="I287" s="521"/>
      <c r="J287" s="521"/>
      <c r="K287" s="521"/>
      <c r="L287" s="521"/>
      <c r="M287" s="521"/>
      <c r="N287" s="521"/>
      <c r="O287" s="581"/>
      <c r="P287" s="601"/>
    </row>
    <row r="288" spans="1:16" ht="12" customHeight="1" x14ac:dyDescent="0.2">
      <c r="A288" s="569"/>
      <c r="B288" s="566"/>
      <c r="C288" s="612" t="s">
        <v>86</v>
      </c>
      <c r="D288" s="612"/>
      <c r="E288" s="609">
        <v>349393</v>
      </c>
      <c r="F288" s="612"/>
      <c r="G288" s="612"/>
      <c r="H288" s="612"/>
      <c r="I288" s="521"/>
      <c r="J288" s="521"/>
      <c r="K288" s="521"/>
      <c r="L288" s="521"/>
      <c r="M288" s="521"/>
      <c r="N288" s="521"/>
      <c r="O288" s="581"/>
      <c r="P288" s="601"/>
    </row>
    <row r="289" spans="1:16" ht="12" customHeight="1" thickBot="1" x14ac:dyDescent="0.25">
      <c r="A289" s="569"/>
      <c r="B289" s="566"/>
      <c r="C289" s="97" t="s">
        <v>87</v>
      </c>
      <c r="D289" s="613"/>
      <c r="E289" s="614">
        <v>45000</v>
      </c>
      <c r="F289" s="615"/>
      <c r="G289" s="615"/>
      <c r="H289" s="615"/>
      <c r="I289" s="521"/>
      <c r="J289" s="521"/>
      <c r="K289" s="521"/>
      <c r="L289" s="521"/>
      <c r="M289" s="521"/>
      <c r="N289" s="521"/>
      <c r="O289" s="581"/>
      <c r="P289" s="601"/>
    </row>
    <row r="290" spans="1:16" ht="12" customHeight="1" thickTop="1" x14ac:dyDescent="0.2">
      <c r="A290" s="569"/>
      <c r="B290" s="566"/>
      <c r="C290" s="615" t="s">
        <v>88</v>
      </c>
      <c r="D290" s="615"/>
      <c r="E290" s="616">
        <f>SUM(E288:E289)</f>
        <v>394393</v>
      </c>
      <c r="F290" s="615"/>
      <c r="G290" s="615"/>
      <c r="H290" s="615"/>
      <c r="I290" s="521"/>
      <c r="J290" s="521"/>
      <c r="K290" s="521"/>
      <c r="L290" s="521"/>
      <c r="M290" s="521"/>
      <c r="N290" s="521"/>
      <c r="O290" s="581"/>
      <c r="P290" s="601"/>
    </row>
    <row r="291" spans="1:16" ht="12" customHeight="1" x14ac:dyDescent="0.2">
      <c r="A291" s="569"/>
      <c r="B291" s="566"/>
      <c r="C291" s="571"/>
      <c r="D291" s="571"/>
      <c r="E291" s="571"/>
      <c r="F291" s="571"/>
      <c r="G291" s="571"/>
      <c r="H291" s="571"/>
      <c r="I291" s="566"/>
      <c r="J291" s="566"/>
      <c r="K291" s="566"/>
      <c r="L291" s="566"/>
      <c r="M291" s="566"/>
      <c r="N291" s="566"/>
      <c r="O291" s="567"/>
      <c r="P291" s="570"/>
    </row>
    <row r="292" spans="1:16" ht="12" customHeight="1" x14ac:dyDescent="0.2">
      <c r="A292" s="569"/>
      <c r="B292" s="566"/>
      <c r="C292" s="566"/>
      <c r="D292" s="566"/>
      <c r="E292" s="566"/>
      <c r="F292" s="566"/>
      <c r="G292" s="566"/>
      <c r="H292" s="566"/>
      <c r="I292" s="566"/>
      <c r="J292" s="566"/>
      <c r="K292" s="566"/>
      <c r="L292" s="566"/>
      <c r="M292" s="566"/>
      <c r="N292" s="566"/>
      <c r="O292" s="567"/>
      <c r="P292" s="570"/>
    </row>
    <row r="293" spans="1:16" ht="12" customHeight="1" thickBot="1" x14ac:dyDescent="0.25">
      <c r="A293" s="572"/>
      <c r="B293" s="573"/>
      <c r="C293" s="573"/>
      <c r="D293" s="573"/>
      <c r="E293" s="573"/>
      <c r="F293" s="573"/>
      <c r="G293" s="573"/>
      <c r="H293" s="573"/>
      <c r="I293" s="573"/>
      <c r="J293" s="573"/>
      <c r="K293" s="573"/>
      <c r="L293" s="573"/>
      <c r="M293" s="573"/>
      <c r="N293" s="573"/>
      <c r="O293" s="574"/>
      <c r="P293" s="575"/>
    </row>
    <row r="294" spans="1:16" ht="12" customHeight="1" thickTop="1" thickBot="1" x14ac:dyDescent="0.25">
      <c r="A294" s="692"/>
      <c r="B294" s="79"/>
      <c r="C294" s="79"/>
      <c r="D294" s="79"/>
      <c r="E294" s="79"/>
      <c r="F294" s="79"/>
      <c r="G294" s="80"/>
      <c r="H294" s="80"/>
      <c r="I294" s="80"/>
      <c r="J294" s="80"/>
      <c r="K294" s="80"/>
      <c r="L294" s="81"/>
      <c r="M294" s="81"/>
      <c r="N294" s="81"/>
      <c r="O294" s="81"/>
      <c r="P294" s="119"/>
    </row>
    <row r="295" spans="1:16" ht="26.65" customHeight="1" thickBot="1" x14ac:dyDescent="0.25">
      <c r="A295" s="650" t="s">
        <v>1895</v>
      </c>
      <c r="B295" s="563"/>
      <c r="C295" s="563" t="s">
        <v>15</v>
      </c>
      <c r="D295" s="563"/>
      <c r="E295" s="563"/>
      <c r="F295" s="563"/>
      <c r="G295" s="651"/>
      <c r="H295" s="651"/>
      <c r="I295" s="651"/>
      <c r="J295" s="651"/>
      <c r="K295" s="651"/>
      <c r="L295" s="652">
        <f>SUM(G296,F303)</f>
        <v>267765069</v>
      </c>
      <c r="M295" s="653"/>
      <c r="N295" s="653"/>
      <c r="O295" s="654">
        <f>L295-SUM(G301:G302)</f>
        <v>239735975</v>
      </c>
      <c r="P295" s="655" t="s">
        <v>1689</v>
      </c>
    </row>
    <row r="296" spans="1:16" ht="12" customHeight="1" x14ac:dyDescent="0.2">
      <c r="A296" s="564"/>
      <c r="B296" s="565"/>
      <c r="C296" s="565" t="s">
        <v>16</v>
      </c>
      <c r="D296" s="565"/>
      <c r="E296" s="565" t="s">
        <v>69</v>
      </c>
      <c r="F296" s="565"/>
      <c r="G296" s="656">
        <f>G268+2500000</f>
        <v>75540631</v>
      </c>
      <c r="H296" s="657"/>
      <c r="I296" s="657"/>
      <c r="J296" s="657"/>
      <c r="K296" s="657"/>
      <c r="L296" s="566"/>
      <c r="M296" s="658"/>
      <c r="N296" s="658"/>
      <c r="O296" s="567"/>
      <c r="P296" s="659"/>
    </row>
    <row r="297" spans="1:16" ht="12" customHeight="1" x14ac:dyDescent="0.2">
      <c r="A297" s="564"/>
      <c r="B297" s="565"/>
      <c r="C297" s="565" t="s">
        <v>8</v>
      </c>
      <c r="D297" s="565"/>
      <c r="E297" s="565"/>
      <c r="F297" s="565"/>
      <c r="G297" s="657"/>
      <c r="H297" s="657"/>
      <c r="I297" s="656">
        <f>G296-G268</f>
        <v>2500000</v>
      </c>
      <c r="J297" s="657"/>
      <c r="K297" s="660">
        <f>I297/G296</f>
        <v>3.3094772533737507E-2</v>
      </c>
      <c r="L297" s="661" t="s">
        <v>10</v>
      </c>
      <c r="M297" s="658">
        <f>G296/L295</f>
        <v>0.2821153307341967</v>
      </c>
      <c r="N297" s="566"/>
      <c r="O297" s="567"/>
      <c r="P297" s="659"/>
    </row>
    <row r="298" spans="1:16" ht="12" customHeight="1" thickBot="1" x14ac:dyDescent="0.25">
      <c r="A298" s="564"/>
      <c r="B298" s="565"/>
      <c r="C298" s="565"/>
      <c r="D298" s="565"/>
      <c r="E298" s="565"/>
      <c r="F298" s="565"/>
      <c r="G298" s="657"/>
      <c r="H298" s="657"/>
      <c r="I298" s="568"/>
      <c r="J298" s="568"/>
      <c r="K298" s="662"/>
      <c r="L298" s="663"/>
      <c r="M298" s="566"/>
      <c r="N298" s="566"/>
      <c r="O298" s="567"/>
      <c r="P298" s="659"/>
    </row>
    <row r="299" spans="1:16" ht="12" customHeight="1" x14ac:dyDescent="0.2">
      <c r="A299" s="569"/>
      <c r="B299" s="566"/>
      <c r="C299" s="565" t="s">
        <v>1896</v>
      </c>
      <c r="D299" s="565"/>
      <c r="E299" s="565"/>
      <c r="F299" s="565"/>
      <c r="G299" s="586">
        <f>G271</f>
        <v>164195344</v>
      </c>
      <c r="H299" s="566"/>
      <c r="I299" s="566"/>
      <c r="J299" s="566"/>
      <c r="K299" s="662"/>
      <c r="L299" s="663"/>
      <c r="M299" s="566"/>
      <c r="N299" s="658"/>
      <c r="O299" s="567"/>
      <c r="P299" s="659"/>
    </row>
    <row r="300" spans="1:16" ht="12" customHeight="1" thickBot="1" x14ac:dyDescent="0.25">
      <c r="A300" s="569"/>
      <c r="B300" s="566"/>
      <c r="C300" s="664" t="s">
        <v>1897</v>
      </c>
      <c r="D300" s="664"/>
      <c r="E300" s="664"/>
      <c r="F300" s="664"/>
      <c r="G300" s="693">
        <v>0</v>
      </c>
      <c r="H300" s="566"/>
      <c r="I300" s="566"/>
      <c r="J300" s="566"/>
      <c r="K300" s="662"/>
      <c r="L300" s="663"/>
      <c r="M300" s="658"/>
      <c r="N300" s="658"/>
      <c r="O300" s="567"/>
      <c r="P300" s="659"/>
    </row>
    <row r="301" spans="1:16" ht="14.1" customHeight="1" thickBot="1" x14ac:dyDescent="0.25">
      <c r="A301" s="569"/>
      <c r="B301" s="566"/>
      <c r="C301" s="565" t="s">
        <v>1898</v>
      </c>
      <c r="D301" s="565"/>
      <c r="E301" s="565"/>
      <c r="F301" s="565"/>
      <c r="G301" s="586">
        <f>SUM(G273:G274)</f>
        <v>24764531</v>
      </c>
      <c r="H301" s="566"/>
      <c r="I301" s="566"/>
      <c r="J301" s="566"/>
      <c r="K301" s="662"/>
      <c r="L301" s="663"/>
      <c r="M301" s="566"/>
      <c r="N301" s="658"/>
      <c r="O301" s="567"/>
      <c r="P301" s="659"/>
    </row>
    <row r="302" spans="1:16" ht="15" customHeight="1" thickBot="1" x14ac:dyDescent="0.3">
      <c r="A302" s="569"/>
      <c r="B302" s="566"/>
      <c r="C302" s="664" t="s">
        <v>1899</v>
      </c>
      <c r="D302" s="664"/>
      <c r="E302" s="664"/>
      <c r="F302" s="664"/>
      <c r="G302" s="694">
        <v>3264563</v>
      </c>
      <c r="H302" s="565"/>
      <c r="I302" s="566"/>
      <c r="J302" s="566"/>
      <c r="K302" s="662"/>
      <c r="L302" s="663"/>
      <c r="M302" s="566"/>
      <c r="N302" s="658"/>
      <c r="O302" s="567"/>
      <c r="P302" s="659"/>
    </row>
    <row r="303" spans="1:16" ht="14.1" customHeight="1" thickBot="1" x14ac:dyDescent="0.25">
      <c r="A303" s="569"/>
      <c r="B303" s="566"/>
      <c r="C303" s="565"/>
      <c r="D303" s="872" t="s">
        <v>11</v>
      </c>
      <c r="E303" s="872"/>
      <c r="F303" s="652">
        <f>SUM(G299:G302)</f>
        <v>192224438</v>
      </c>
      <c r="G303" s="656"/>
      <c r="H303" s="566"/>
      <c r="I303" s="566"/>
      <c r="J303" s="566"/>
      <c r="K303" s="662"/>
      <c r="L303" s="663"/>
      <c r="M303" s="658">
        <f>F303/L295</f>
        <v>0.7178846692658033</v>
      </c>
      <c r="N303" s="658"/>
      <c r="O303" s="567"/>
      <c r="P303" s="659"/>
    </row>
    <row r="304" spans="1:16" ht="16.5" customHeight="1" x14ac:dyDescent="0.2">
      <c r="A304" s="569"/>
      <c r="B304" s="565"/>
      <c r="C304" s="565" t="s">
        <v>8</v>
      </c>
      <c r="D304" s="565"/>
      <c r="E304" s="565"/>
      <c r="F304" s="565"/>
      <c r="G304" s="657"/>
      <c r="H304" s="657"/>
      <c r="I304" s="665">
        <f>F303-F275</f>
        <v>3264563</v>
      </c>
      <c r="J304" s="657"/>
      <c r="K304" s="666">
        <f>I304/F275</f>
        <v>1.7276487931630988E-2</v>
      </c>
      <c r="L304" s="661" t="s">
        <v>10</v>
      </c>
      <c r="M304" s="566"/>
      <c r="N304" s="566"/>
      <c r="O304" s="667">
        <f>SUM(G301:G302)</f>
        <v>28029094</v>
      </c>
      <c r="P304" s="668" t="s">
        <v>1694</v>
      </c>
    </row>
    <row r="305" spans="1:16" ht="12" customHeight="1" thickBot="1" x14ac:dyDescent="0.25">
      <c r="A305" s="569"/>
      <c r="B305" s="566"/>
      <c r="C305" s="321"/>
      <c r="D305" s="321"/>
      <c r="E305" s="321"/>
      <c r="F305" s="321"/>
      <c r="G305" s="321"/>
      <c r="H305" s="669"/>
      <c r="I305" s="670"/>
      <c r="J305" s="670"/>
      <c r="K305" s="566"/>
      <c r="L305" s="566"/>
      <c r="M305" s="566"/>
      <c r="N305" s="566"/>
      <c r="O305" s="567"/>
      <c r="P305" s="659"/>
    </row>
    <row r="306" spans="1:16" ht="15" customHeight="1" thickBot="1" x14ac:dyDescent="0.25">
      <c r="A306" s="569"/>
      <c r="B306" s="566"/>
      <c r="C306" s="671" t="s">
        <v>1900</v>
      </c>
      <c r="D306" s="671"/>
      <c r="E306" s="671"/>
      <c r="F306" s="671"/>
      <c r="G306" s="568"/>
      <c r="H306" s="565"/>
      <c r="I306" s="566"/>
      <c r="J306" s="670"/>
      <c r="K306" s="873" t="s">
        <v>13</v>
      </c>
      <c r="L306" s="873"/>
      <c r="M306" s="873"/>
      <c r="N306" s="874"/>
      <c r="O306" s="672">
        <f>I308</f>
        <v>5764563</v>
      </c>
      <c r="P306" s="673">
        <f>O306/L267</f>
        <v>2.20021063623442E-2</v>
      </c>
    </row>
    <row r="307" spans="1:16" ht="12" customHeight="1" thickBot="1" x14ac:dyDescent="0.25">
      <c r="A307" s="569"/>
      <c r="B307" s="568"/>
      <c r="C307" s="568"/>
      <c r="D307" s="568"/>
      <c r="E307" s="568"/>
      <c r="F307" s="568"/>
      <c r="G307" s="568"/>
      <c r="H307" s="657"/>
      <c r="I307" s="657"/>
      <c r="J307" s="657"/>
      <c r="K307" s="657"/>
      <c r="L307" s="674"/>
      <c r="M307" s="566"/>
      <c r="N307" s="566"/>
      <c r="O307" s="675"/>
      <c r="P307" s="570"/>
    </row>
    <row r="308" spans="1:16" ht="12" customHeight="1" thickBot="1" x14ac:dyDescent="0.25">
      <c r="A308" s="569"/>
      <c r="B308" s="568"/>
      <c r="C308" s="568"/>
      <c r="D308" s="568"/>
      <c r="E308" s="568"/>
      <c r="F308" s="568"/>
      <c r="G308" s="568"/>
      <c r="H308" s="676"/>
      <c r="I308" s="677">
        <f>SUM(I297,I304)</f>
        <v>5764563</v>
      </c>
      <c r="J308" s="676"/>
      <c r="K308" s="676"/>
      <c r="L308" s="678">
        <f>-SUM(G301:G302)</f>
        <v>-28029094</v>
      </c>
      <c r="M308" s="679" t="s">
        <v>27</v>
      </c>
      <c r="N308" s="566"/>
      <c r="O308" s="675"/>
      <c r="P308" s="570"/>
    </row>
    <row r="309" spans="1:16" ht="12" customHeight="1" thickBot="1" x14ac:dyDescent="0.25">
      <c r="A309" s="569"/>
      <c r="B309" s="568"/>
      <c r="C309" s="568"/>
      <c r="D309" s="568"/>
      <c r="E309" s="568"/>
      <c r="F309" s="568"/>
      <c r="G309" s="568"/>
      <c r="H309" s="568"/>
      <c r="I309" s="568"/>
      <c r="J309" s="568"/>
      <c r="K309" s="568"/>
      <c r="L309" s="678"/>
      <c r="M309" s="679"/>
      <c r="N309" s="566"/>
      <c r="O309" s="675"/>
      <c r="P309" s="570"/>
    </row>
    <row r="310" spans="1:16" ht="12" customHeight="1" thickBot="1" x14ac:dyDescent="0.25">
      <c r="A310" s="569"/>
      <c r="B310" s="568"/>
      <c r="C310" s="568"/>
      <c r="D310" s="568"/>
      <c r="E310" s="568"/>
      <c r="F310" s="568"/>
      <c r="G310" s="680" t="s">
        <v>22</v>
      </c>
      <c r="H310" s="680"/>
      <c r="I310" s="680"/>
      <c r="J310" s="680"/>
      <c r="K310" s="681"/>
      <c r="L310" s="682">
        <f>SUM(L295,L308)</f>
        <v>239735975</v>
      </c>
      <c r="M310" s="683" t="s">
        <v>84</v>
      </c>
      <c r="N310" s="566"/>
      <c r="O310" s="675"/>
      <c r="P310" s="570"/>
    </row>
    <row r="311" spans="1:16" ht="12" customHeight="1" thickBot="1" x14ac:dyDescent="0.25">
      <c r="A311" s="569"/>
      <c r="B311" s="568"/>
      <c r="C311" s="568"/>
      <c r="D311" s="568"/>
      <c r="E311" s="568"/>
      <c r="F311" s="568"/>
      <c r="G311" s="568"/>
      <c r="H311" s="565"/>
      <c r="I311" s="566"/>
      <c r="J311" s="566"/>
      <c r="K311" s="566"/>
      <c r="L311" s="566"/>
      <c r="M311" s="566"/>
      <c r="N311" s="566"/>
      <c r="O311" s="675"/>
      <c r="P311" s="570"/>
    </row>
    <row r="312" spans="1:16" ht="12" customHeight="1" thickBot="1" x14ac:dyDescent="0.25">
      <c r="A312" s="569"/>
      <c r="B312" s="568"/>
      <c r="C312" s="566"/>
      <c r="D312" s="684"/>
      <c r="E312" s="568"/>
      <c r="F312" s="568"/>
      <c r="G312" s="675"/>
      <c r="H312" s="675"/>
      <c r="I312" s="671" t="s">
        <v>72</v>
      </c>
      <c r="J312" s="566"/>
      <c r="K312" s="566"/>
      <c r="L312" s="685">
        <f>L295</f>
        <v>267765069</v>
      </c>
      <c r="M312" s="683" t="s">
        <v>32</v>
      </c>
      <c r="N312" s="675"/>
      <c r="O312" s="675"/>
      <c r="P312" s="570"/>
    </row>
    <row r="313" spans="1:16" ht="12" customHeight="1" x14ac:dyDescent="0.2">
      <c r="A313" s="569"/>
      <c r="B313" s="566"/>
      <c r="C313" s="566"/>
      <c r="D313" s="566"/>
      <c r="E313" s="566"/>
      <c r="F313" s="566"/>
      <c r="G313" s="566"/>
      <c r="H313" s="566"/>
      <c r="I313" s="566"/>
      <c r="J313" s="566"/>
      <c r="K313" s="566"/>
      <c r="L313" s="566"/>
      <c r="M313" s="566"/>
      <c r="N313" s="566"/>
      <c r="O313" s="567"/>
      <c r="P313" s="570"/>
    </row>
    <row r="314" spans="1:16" ht="12" customHeight="1" x14ac:dyDescent="0.2">
      <c r="A314" s="569"/>
      <c r="B314" s="566"/>
      <c r="C314" s="686" t="s">
        <v>64</v>
      </c>
      <c r="D314" s="566"/>
      <c r="E314" s="566"/>
      <c r="F314" s="566"/>
      <c r="G314" s="566"/>
      <c r="H314" s="566"/>
      <c r="I314" s="566"/>
      <c r="J314" s="566"/>
      <c r="K314" s="566"/>
      <c r="L314" s="566"/>
      <c r="M314" s="566"/>
      <c r="N314" s="566"/>
      <c r="O314" s="567"/>
      <c r="P314" s="570"/>
    </row>
    <row r="315" spans="1:16" ht="12" customHeight="1" x14ac:dyDescent="0.2">
      <c r="A315" s="569"/>
      <c r="B315" s="566"/>
      <c r="C315" s="683" t="s">
        <v>91</v>
      </c>
      <c r="D315" s="684"/>
      <c r="E315" s="568"/>
      <c r="F315" s="568"/>
      <c r="G315" s="568"/>
      <c r="H315" s="568"/>
      <c r="I315" s="566"/>
      <c r="J315" s="566"/>
      <c r="K315" s="566"/>
      <c r="L315" s="566"/>
      <c r="M315" s="566"/>
      <c r="N315" s="566"/>
      <c r="O315" s="567"/>
      <c r="P315" s="570"/>
    </row>
    <row r="316" spans="1:16" ht="12" customHeight="1" x14ac:dyDescent="0.2">
      <c r="A316" s="569"/>
      <c r="B316" s="566"/>
      <c r="C316" s="687" t="s">
        <v>86</v>
      </c>
      <c r="D316" s="687"/>
      <c r="E316" s="684">
        <v>349393</v>
      </c>
      <c r="F316" s="687"/>
      <c r="G316" s="687"/>
      <c r="H316" s="687"/>
      <c r="I316" s="566"/>
      <c r="J316" s="566"/>
      <c r="K316" s="566"/>
      <c r="L316" s="566"/>
      <c r="M316" s="566"/>
      <c r="N316" s="566"/>
      <c r="O316" s="567"/>
      <c r="P316" s="570"/>
    </row>
    <row r="317" spans="1:16" ht="12" customHeight="1" thickBot="1" x14ac:dyDescent="0.25">
      <c r="A317" s="569"/>
      <c r="B317" s="566"/>
      <c r="C317" s="688" t="s">
        <v>87</v>
      </c>
      <c r="D317" s="689"/>
      <c r="E317" s="690">
        <v>45000</v>
      </c>
      <c r="F317" s="571"/>
      <c r="G317" s="571"/>
      <c r="H317" s="571"/>
      <c r="I317" s="566"/>
      <c r="J317" s="566"/>
      <c r="K317" s="566"/>
      <c r="L317" s="566"/>
      <c r="M317" s="566"/>
      <c r="N317" s="566"/>
      <c r="O317" s="567"/>
      <c r="P317" s="570"/>
    </row>
    <row r="318" spans="1:16" ht="12" customHeight="1" thickTop="1" x14ac:dyDescent="0.2">
      <c r="A318" s="569"/>
      <c r="B318" s="566"/>
      <c r="C318" s="571" t="s">
        <v>88</v>
      </c>
      <c r="D318" s="571"/>
      <c r="E318" s="691">
        <f>SUM(E316:E317)</f>
        <v>394393</v>
      </c>
      <c r="F318" s="571"/>
      <c r="G318" s="571"/>
      <c r="H318" s="571"/>
      <c r="I318" s="566"/>
      <c r="J318" s="566"/>
      <c r="K318" s="566"/>
      <c r="L318" s="566"/>
      <c r="M318" s="566"/>
      <c r="N318" s="566"/>
      <c r="O318" s="567"/>
      <c r="P318" s="570"/>
    </row>
    <row r="319" spans="1:16" ht="12" customHeight="1" x14ac:dyDescent="0.2">
      <c r="A319" s="569"/>
      <c r="B319" s="566"/>
      <c r="C319" s="571"/>
      <c r="D319" s="571"/>
      <c r="E319" s="571"/>
      <c r="F319" s="571"/>
      <c r="G319" s="571"/>
      <c r="H319" s="571"/>
      <c r="I319" s="566"/>
      <c r="J319" s="566"/>
      <c r="K319" s="566"/>
      <c r="L319" s="566"/>
      <c r="M319" s="566"/>
      <c r="N319" s="566"/>
      <c r="O319" s="567"/>
      <c r="P319" s="570"/>
    </row>
    <row r="320" spans="1:16" ht="12" customHeight="1" x14ac:dyDescent="0.2">
      <c r="A320" s="569"/>
      <c r="B320" s="566"/>
      <c r="C320" s="566"/>
      <c r="D320" s="566"/>
      <c r="E320" s="566"/>
      <c r="F320" s="566"/>
      <c r="G320" s="566"/>
      <c r="H320" s="566"/>
      <c r="I320" s="566"/>
      <c r="J320" s="566"/>
      <c r="K320" s="566"/>
      <c r="L320" s="566"/>
      <c r="M320" s="566"/>
      <c r="N320" s="566"/>
      <c r="O320" s="567"/>
      <c r="P320" s="570"/>
    </row>
    <row r="321" spans="1:16" ht="12" customHeight="1" thickBot="1" x14ac:dyDescent="0.25">
      <c r="A321" s="572"/>
      <c r="B321" s="573"/>
      <c r="C321" s="573"/>
      <c r="D321" s="573"/>
      <c r="E321" s="573"/>
      <c r="F321" s="573"/>
      <c r="G321" s="573"/>
      <c r="H321" s="573"/>
      <c r="I321" s="573"/>
      <c r="J321" s="573"/>
      <c r="K321" s="573"/>
      <c r="L321" s="573"/>
      <c r="M321" s="573"/>
      <c r="N321" s="573"/>
      <c r="O321" s="574"/>
      <c r="P321" s="575"/>
    </row>
    <row r="322" spans="1:16" ht="12" customHeight="1" thickTop="1" thickBot="1" x14ac:dyDescent="0.25">
      <c r="A322" s="692"/>
      <c r="B322" s="79"/>
      <c r="C322" s="79"/>
      <c r="D322" s="79"/>
      <c r="E322" s="79"/>
      <c r="F322" s="79"/>
      <c r="G322" s="80"/>
      <c r="H322" s="80"/>
      <c r="I322" s="80"/>
      <c r="J322" s="80"/>
      <c r="K322" s="80"/>
      <c r="L322" s="81"/>
      <c r="M322" s="81"/>
      <c r="N322" s="81"/>
      <c r="O322" s="81"/>
      <c r="P322" s="119"/>
    </row>
    <row r="323" spans="1:16" ht="12" customHeight="1" thickBot="1" x14ac:dyDescent="0.25">
      <c r="A323" s="650" t="s">
        <v>2177</v>
      </c>
      <c r="B323" s="563"/>
      <c r="C323" s="563" t="s">
        <v>15</v>
      </c>
      <c r="D323" s="563"/>
      <c r="E323" s="563"/>
      <c r="F323" s="563"/>
      <c r="G323" s="651"/>
      <c r="H323" s="651"/>
      <c r="I323" s="651"/>
      <c r="J323" s="651"/>
      <c r="K323" s="651"/>
      <c r="L323" s="652">
        <f>SUM(G324,F331)</f>
        <v>280018773</v>
      </c>
      <c r="M323" s="653"/>
      <c r="N323" s="653"/>
      <c r="O323" s="654">
        <f>L323-SUM(G329:G330)</f>
        <v>242735975</v>
      </c>
      <c r="P323" s="655" t="s">
        <v>1689</v>
      </c>
    </row>
    <row r="324" spans="1:16" ht="12" customHeight="1" x14ac:dyDescent="0.2">
      <c r="A324" s="564"/>
      <c r="B324" s="565"/>
      <c r="C324" s="565" t="s">
        <v>16</v>
      </c>
      <c r="D324" s="565"/>
      <c r="E324" s="565" t="s">
        <v>69</v>
      </c>
      <c r="F324" s="565"/>
      <c r="G324" s="656">
        <f>G296+3000000</f>
        <v>78540631</v>
      </c>
      <c r="H324" s="657"/>
      <c r="I324" s="657"/>
      <c r="J324" s="657"/>
      <c r="K324" s="657"/>
      <c r="L324" s="566"/>
      <c r="M324" s="658"/>
      <c r="N324" s="658"/>
      <c r="O324" s="567"/>
      <c r="P324" s="659"/>
    </row>
    <row r="325" spans="1:16" ht="12" customHeight="1" x14ac:dyDescent="0.2">
      <c r="A325" s="564"/>
      <c r="B325" s="565"/>
      <c r="C325" s="565" t="s">
        <v>8</v>
      </c>
      <c r="D325" s="565"/>
      <c r="E325" s="565"/>
      <c r="F325" s="565"/>
      <c r="G325" s="657"/>
      <c r="H325" s="657"/>
      <c r="I325" s="656">
        <f>G324-G296</f>
        <v>3000000</v>
      </c>
      <c r="J325" s="657"/>
      <c r="K325" s="660">
        <f>I325/G324</f>
        <v>3.8196790142926151E-2</v>
      </c>
      <c r="L325" s="661" t="s">
        <v>10</v>
      </c>
      <c r="M325" s="658">
        <f>G324/L323</f>
        <v>0.28048344815795617</v>
      </c>
      <c r="N325" s="566"/>
      <c r="O325" s="567"/>
      <c r="P325" s="659"/>
    </row>
    <row r="326" spans="1:16" ht="12" customHeight="1" thickBot="1" x14ac:dyDescent="0.25">
      <c r="A326" s="564"/>
      <c r="B326" s="565"/>
      <c r="C326" s="565"/>
      <c r="D326" s="565"/>
      <c r="E326" s="565"/>
      <c r="F326" s="565"/>
      <c r="G326" s="657"/>
      <c r="H326" s="657"/>
      <c r="I326" s="568"/>
      <c r="J326" s="568"/>
      <c r="K326" s="662"/>
      <c r="L326" s="663"/>
      <c r="M326" s="566"/>
      <c r="N326" s="566"/>
      <c r="O326" s="567"/>
      <c r="P326" s="659"/>
    </row>
    <row r="327" spans="1:16" ht="12" customHeight="1" x14ac:dyDescent="0.2">
      <c r="A327" s="569"/>
      <c r="B327" s="566"/>
      <c r="C327" s="565" t="s">
        <v>2178</v>
      </c>
      <c r="D327" s="565"/>
      <c r="E327" s="565"/>
      <c r="F327" s="565"/>
      <c r="G327" s="586">
        <f>G299</f>
        <v>164195344</v>
      </c>
      <c r="H327" s="566"/>
      <c r="I327" s="566"/>
      <c r="J327" s="566"/>
      <c r="K327" s="662"/>
      <c r="L327" s="663"/>
      <c r="M327" s="566"/>
      <c r="N327" s="658"/>
      <c r="O327" s="567"/>
      <c r="P327" s="659"/>
    </row>
    <row r="328" spans="1:16" ht="12" customHeight="1" thickBot="1" x14ac:dyDescent="0.25">
      <c r="A328" s="569"/>
      <c r="B328" s="566"/>
      <c r="C328" s="664" t="s">
        <v>2179</v>
      </c>
      <c r="D328" s="664"/>
      <c r="E328" s="664"/>
      <c r="F328" s="664"/>
      <c r="G328" s="693">
        <v>0</v>
      </c>
      <c r="H328" s="566"/>
      <c r="I328" s="566"/>
      <c r="J328" s="566"/>
      <c r="K328" s="662"/>
      <c r="L328" s="663"/>
      <c r="M328" s="658"/>
      <c r="N328" s="658"/>
      <c r="O328" s="567"/>
      <c r="P328" s="659"/>
    </row>
    <row r="329" spans="1:16" ht="12" customHeight="1" thickBot="1" x14ac:dyDescent="0.25">
      <c r="A329" s="569"/>
      <c r="B329" s="566"/>
      <c r="C329" s="565" t="s">
        <v>2180</v>
      </c>
      <c r="D329" s="565"/>
      <c r="E329" s="565"/>
      <c r="F329" s="565"/>
      <c r="G329" s="586">
        <f>O304</f>
        <v>28029094</v>
      </c>
      <c r="H329" s="566"/>
      <c r="I329" s="566"/>
      <c r="J329" s="566"/>
      <c r="K329" s="662"/>
      <c r="L329" s="663"/>
      <c r="M329" s="566"/>
      <c r="N329" s="658"/>
      <c r="O329" s="567"/>
      <c r="P329" s="659"/>
    </row>
    <row r="330" spans="1:16" ht="12" customHeight="1" thickBot="1" x14ac:dyDescent="0.3">
      <c r="A330" s="569"/>
      <c r="B330" s="566"/>
      <c r="C330" s="664" t="s">
        <v>2181</v>
      </c>
      <c r="D330" s="664"/>
      <c r="E330" s="664"/>
      <c r="F330" s="664"/>
      <c r="G330" s="694">
        <v>9253704</v>
      </c>
      <c r="H330" s="565"/>
      <c r="I330" s="566"/>
      <c r="J330" s="566"/>
      <c r="K330" s="662"/>
      <c r="L330" s="663"/>
      <c r="M330" s="566"/>
      <c r="N330" s="658"/>
      <c r="O330" s="567"/>
      <c r="P330" s="659"/>
    </row>
    <row r="331" spans="1:16" ht="12" customHeight="1" thickBot="1" x14ac:dyDescent="0.25">
      <c r="A331" s="569"/>
      <c r="B331" s="566"/>
      <c r="C331" s="565"/>
      <c r="D331" s="872" t="s">
        <v>11</v>
      </c>
      <c r="E331" s="872"/>
      <c r="F331" s="652">
        <f>SUM(G327:G330)</f>
        <v>201478142</v>
      </c>
      <c r="G331" s="656"/>
      <c r="H331" s="566"/>
      <c r="I331" s="566"/>
      <c r="J331" s="566"/>
      <c r="K331" s="662"/>
      <c r="L331" s="663"/>
      <c r="M331" s="658">
        <f>F331/L323</f>
        <v>0.71951655184204377</v>
      </c>
      <c r="N331" s="658"/>
      <c r="O331" s="567"/>
      <c r="P331" s="659"/>
    </row>
    <row r="332" spans="1:16" ht="12" customHeight="1" x14ac:dyDescent="0.2">
      <c r="A332" s="569"/>
      <c r="B332" s="565"/>
      <c r="C332" s="565" t="s">
        <v>8</v>
      </c>
      <c r="D332" s="565"/>
      <c r="E332" s="565"/>
      <c r="F332" s="565"/>
      <c r="G332" s="657"/>
      <c r="H332" s="657"/>
      <c r="I332" s="665">
        <f>F331-F303</f>
        <v>9253704</v>
      </c>
      <c r="J332" s="657"/>
      <c r="K332" s="666">
        <f>I332/F303</f>
        <v>4.8140101728376496E-2</v>
      </c>
      <c r="L332" s="661" t="s">
        <v>10</v>
      </c>
      <c r="M332" s="566"/>
      <c r="N332" s="566"/>
      <c r="O332" s="667">
        <f>SUM(G329:G330)</f>
        <v>37282798</v>
      </c>
      <c r="P332" s="668" t="s">
        <v>1694</v>
      </c>
    </row>
    <row r="333" spans="1:16" ht="12" customHeight="1" thickBot="1" x14ac:dyDescent="0.25">
      <c r="A333" s="569"/>
      <c r="B333" s="566"/>
      <c r="C333" s="321"/>
      <c r="D333" s="321"/>
      <c r="E333" s="321"/>
      <c r="F333" s="321"/>
      <c r="G333" s="321"/>
      <c r="H333" s="669"/>
      <c r="I333" s="670"/>
      <c r="J333" s="670"/>
      <c r="K333" s="566"/>
      <c r="L333" s="566"/>
      <c r="M333" s="566"/>
      <c r="N333" s="566"/>
      <c r="O333" s="567"/>
      <c r="P333" s="659"/>
    </row>
    <row r="334" spans="1:16" ht="12" customHeight="1" thickBot="1" x14ac:dyDescent="0.25">
      <c r="A334" s="569"/>
      <c r="B334" s="566"/>
      <c r="C334" s="671" t="s">
        <v>1900</v>
      </c>
      <c r="D334" s="671"/>
      <c r="E334" s="671"/>
      <c r="F334" s="671"/>
      <c r="G334" s="568"/>
      <c r="H334" s="565"/>
      <c r="I334" s="566"/>
      <c r="J334" s="670"/>
      <c r="K334" s="873" t="s">
        <v>13</v>
      </c>
      <c r="L334" s="873"/>
      <c r="M334" s="873"/>
      <c r="N334" s="874"/>
      <c r="O334" s="672">
        <f>I336</f>
        <v>12253704</v>
      </c>
      <c r="P334" s="673">
        <f>O334/L295</f>
        <v>4.5762892246411724E-2</v>
      </c>
    </row>
    <row r="335" spans="1:16" ht="12" customHeight="1" thickBot="1" x14ac:dyDescent="0.25">
      <c r="A335" s="569"/>
      <c r="B335" s="568"/>
      <c r="C335" s="568"/>
      <c r="D335" s="568"/>
      <c r="E335" s="568"/>
      <c r="F335" s="568"/>
      <c r="G335" s="568"/>
      <c r="H335" s="657"/>
      <c r="I335" s="657"/>
      <c r="J335" s="657"/>
      <c r="K335" s="657"/>
      <c r="L335" s="674"/>
      <c r="M335" s="566"/>
      <c r="N335" s="566"/>
      <c r="O335" s="675"/>
      <c r="P335" s="570"/>
    </row>
    <row r="336" spans="1:16" ht="12" customHeight="1" thickBot="1" x14ac:dyDescent="0.25">
      <c r="A336" s="569"/>
      <c r="B336" s="568"/>
      <c r="C336" s="568"/>
      <c r="D336" s="568"/>
      <c r="E336" s="568"/>
      <c r="F336" s="568"/>
      <c r="G336" s="568"/>
      <c r="H336" s="676"/>
      <c r="I336" s="677">
        <f>SUM(I325,I332)</f>
        <v>12253704</v>
      </c>
      <c r="J336" s="676"/>
      <c r="K336" s="676"/>
      <c r="L336" s="678">
        <f>-SUM(G329:G330)</f>
        <v>-37282798</v>
      </c>
      <c r="M336" s="679" t="s">
        <v>27</v>
      </c>
      <c r="N336" s="566"/>
      <c r="O336" s="675"/>
      <c r="P336" s="570"/>
    </row>
    <row r="337" spans="1:16" ht="12" customHeight="1" thickBot="1" x14ac:dyDescent="0.25">
      <c r="A337" s="569"/>
      <c r="B337" s="568"/>
      <c r="C337" s="568"/>
      <c r="D337" s="568"/>
      <c r="E337" s="568"/>
      <c r="F337" s="568"/>
      <c r="G337" s="568"/>
      <c r="H337" s="568"/>
      <c r="I337" s="568"/>
      <c r="J337" s="568"/>
      <c r="K337" s="568"/>
      <c r="L337" s="678"/>
      <c r="M337" s="679"/>
      <c r="N337" s="566"/>
      <c r="O337" s="675"/>
      <c r="P337" s="570"/>
    </row>
    <row r="338" spans="1:16" ht="12" customHeight="1" thickBot="1" x14ac:dyDescent="0.25">
      <c r="A338" s="569"/>
      <c r="B338" s="568"/>
      <c r="C338" s="568"/>
      <c r="D338" s="568"/>
      <c r="E338" s="568"/>
      <c r="F338" s="568"/>
      <c r="G338" s="680" t="s">
        <v>22</v>
      </c>
      <c r="H338" s="680"/>
      <c r="I338" s="680"/>
      <c r="J338" s="680"/>
      <c r="K338" s="681"/>
      <c r="L338" s="682">
        <f>SUM(L323,L336)</f>
        <v>242735975</v>
      </c>
      <c r="M338" s="683" t="s">
        <v>84</v>
      </c>
      <c r="N338" s="566"/>
      <c r="O338" s="675"/>
      <c r="P338" s="570"/>
    </row>
    <row r="339" spans="1:16" ht="12" customHeight="1" thickBot="1" x14ac:dyDescent="0.25">
      <c r="A339" s="569"/>
      <c r="B339" s="568"/>
      <c r="C339" s="568"/>
      <c r="D339" s="568"/>
      <c r="E339" s="568"/>
      <c r="F339" s="568"/>
      <c r="G339" s="568"/>
      <c r="H339" s="565"/>
      <c r="I339" s="566"/>
      <c r="J339" s="566"/>
      <c r="K339" s="566"/>
      <c r="L339" s="566"/>
      <c r="M339" s="566"/>
      <c r="N339" s="566"/>
      <c r="O339" s="675"/>
      <c r="P339" s="570"/>
    </row>
    <row r="340" spans="1:16" ht="12" customHeight="1" thickBot="1" x14ac:dyDescent="0.25">
      <c r="A340" s="569"/>
      <c r="B340" s="568"/>
      <c r="C340" s="566"/>
      <c r="D340" s="684"/>
      <c r="E340" s="568"/>
      <c r="F340" s="568"/>
      <c r="G340" s="675"/>
      <c r="H340" s="675"/>
      <c r="I340" s="671" t="s">
        <v>72</v>
      </c>
      <c r="J340" s="566"/>
      <c r="K340" s="566"/>
      <c r="L340" s="685">
        <f>L323</f>
        <v>280018773</v>
      </c>
      <c r="M340" s="683" t="s">
        <v>32</v>
      </c>
      <c r="N340" s="675"/>
      <c r="O340" s="675"/>
      <c r="P340" s="570"/>
    </row>
    <row r="341" spans="1:16" ht="12" customHeight="1" x14ac:dyDescent="0.2">
      <c r="A341" s="569"/>
      <c r="B341" s="566"/>
      <c r="C341" s="566"/>
      <c r="D341" s="566"/>
      <c r="E341" s="566"/>
      <c r="F341" s="566"/>
      <c r="G341" s="566"/>
      <c r="H341" s="566"/>
      <c r="I341" s="566"/>
      <c r="J341" s="566"/>
      <c r="K341" s="566"/>
      <c r="L341" s="566"/>
      <c r="M341" s="566"/>
      <c r="N341" s="566"/>
      <c r="O341" s="567"/>
      <c r="P341" s="570"/>
    </row>
    <row r="342" spans="1:16" ht="12" customHeight="1" x14ac:dyDescent="0.2">
      <c r="A342" s="569"/>
      <c r="B342" s="566"/>
      <c r="C342" s="686" t="s">
        <v>64</v>
      </c>
      <c r="D342" s="566"/>
      <c r="E342" s="566"/>
      <c r="F342" s="566"/>
      <c r="G342" s="566"/>
      <c r="H342" s="566"/>
      <c r="I342" s="566"/>
      <c r="J342" s="566"/>
      <c r="K342" s="566"/>
      <c r="L342" s="566"/>
      <c r="M342" s="566"/>
      <c r="N342" s="566"/>
      <c r="O342" s="567"/>
      <c r="P342" s="570"/>
    </row>
    <row r="343" spans="1:16" ht="12" customHeight="1" x14ac:dyDescent="0.2">
      <c r="A343" s="569"/>
      <c r="B343" s="566"/>
      <c r="C343" s="683" t="s">
        <v>91</v>
      </c>
      <c r="D343" s="684"/>
      <c r="E343" s="568"/>
      <c r="F343" s="568"/>
      <c r="G343" s="568"/>
      <c r="H343" s="568"/>
      <c r="I343" s="566"/>
      <c r="J343" s="566"/>
      <c r="K343" s="566"/>
      <c r="L343" s="566"/>
      <c r="M343" s="566"/>
      <c r="N343" s="566"/>
      <c r="O343" s="567"/>
      <c r="P343" s="570"/>
    </row>
    <row r="344" spans="1:16" ht="12" customHeight="1" x14ac:dyDescent="0.2">
      <c r="A344" s="569"/>
      <c r="B344" s="566"/>
      <c r="C344" s="687" t="s">
        <v>86</v>
      </c>
      <c r="D344" s="687"/>
      <c r="E344" s="684">
        <v>349393</v>
      </c>
      <c r="F344" s="687"/>
      <c r="G344" s="687"/>
      <c r="H344" s="687"/>
      <c r="I344" s="566"/>
      <c r="J344" s="566"/>
      <c r="K344" s="566"/>
      <c r="L344" s="566"/>
      <c r="M344" s="566"/>
      <c r="N344" s="566"/>
      <c r="O344" s="567"/>
      <c r="P344" s="570"/>
    </row>
    <row r="345" spans="1:16" ht="12" customHeight="1" thickBot="1" x14ac:dyDescent="0.25">
      <c r="A345" s="569"/>
      <c r="B345" s="566"/>
      <c r="C345" s="688" t="s">
        <v>87</v>
      </c>
      <c r="D345" s="689"/>
      <c r="E345" s="690">
        <v>45000</v>
      </c>
      <c r="F345" s="571"/>
      <c r="G345" s="571"/>
      <c r="H345" s="571"/>
      <c r="I345" s="566"/>
      <c r="J345" s="566"/>
      <c r="K345" s="566"/>
      <c r="L345" s="566"/>
      <c r="M345" s="566"/>
      <c r="N345" s="566"/>
      <c r="O345" s="567"/>
      <c r="P345" s="570"/>
    </row>
    <row r="346" spans="1:16" ht="12" customHeight="1" thickTop="1" x14ac:dyDescent="0.2">
      <c r="A346" s="569"/>
      <c r="B346" s="566"/>
      <c r="C346" s="571" t="s">
        <v>88</v>
      </c>
      <c r="D346" s="571"/>
      <c r="E346" s="691">
        <f>SUM(E344:E345)</f>
        <v>394393</v>
      </c>
      <c r="F346" s="571"/>
      <c r="G346" s="571"/>
      <c r="H346" s="571"/>
      <c r="I346" s="566"/>
      <c r="J346" s="566"/>
      <c r="K346" s="566"/>
      <c r="L346" s="566"/>
      <c r="M346" s="566"/>
      <c r="N346" s="566"/>
      <c r="O346" s="567"/>
      <c r="P346" s="570"/>
    </row>
    <row r="347" spans="1:16" ht="12" customHeight="1" x14ac:dyDescent="0.2">
      <c r="A347" s="569"/>
      <c r="B347" s="566"/>
      <c r="C347" s="571"/>
      <c r="D347" s="571"/>
      <c r="E347" s="691"/>
      <c r="F347" s="571"/>
      <c r="G347" s="571"/>
      <c r="H347" s="571"/>
      <c r="I347" s="566"/>
      <c r="J347" s="566"/>
      <c r="K347" s="566"/>
      <c r="L347" s="566"/>
      <c r="M347" s="566"/>
      <c r="N347" s="566"/>
      <c r="O347" s="567"/>
      <c r="P347" s="570"/>
    </row>
    <row r="348" spans="1:16" ht="12" customHeight="1" x14ac:dyDescent="0.2">
      <c r="A348" s="569"/>
      <c r="B348" s="566"/>
      <c r="C348" s="571"/>
      <c r="D348" s="571"/>
      <c r="E348" s="571"/>
      <c r="F348" s="571"/>
      <c r="G348" s="571"/>
      <c r="H348" s="571"/>
      <c r="I348" s="566"/>
      <c r="J348" s="566"/>
      <c r="K348" s="566"/>
      <c r="L348" s="566"/>
      <c r="M348" s="566"/>
      <c r="N348" s="566"/>
      <c r="O348" s="567"/>
      <c r="P348" s="570"/>
    </row>
    <row r="349" spans="1:16" ht="12" customHeight="1" thickBot="1" x14ac:dyDescent="0.25">
      <c r="A349" s="747"/>
      <c r="B349" s="748"/>
      <c r="C349" s="748"/>
      <c r="D349" s="748"/>
      <c r="E349" s="748"/>
      <c r="F349" s="748"/>
      <c r="G349" s="748"/>
      <c r="H349" s="748"/>
      <c r="I349" s="748"/>
      <c r="J349" s="748"/>
      <c r="K349" s="748"/>
      <c r="L349" s="748"/>
      <c r="M349" s="748"/>
      <c r="N349" s="748"/>
      <c r="O349" s="749"/>
      <c r="P349" s="750"/>
    </row>
  </sheetData>
  <sheetProtection algorithmName="SHA-512" hashValue="zD7RKPTA/GQTzoDFcvUGMm3YFo9x37Y/0cEj0ykqtzGZXlACOOvBoWJ3BuJ+IxY7N/69K9XR6DQDCloAGa9zhQ==" saltValue="qfTSsCejyEPhUcZ1unngzQ==" spinCount="100000" sheet="1" objects="1" scenarios="1" selectLockedCells="1" sort="0" autoFilter="0" selectUnlockedCells="1"/>
  <mergeCells count="32">
    <mergeCell ref="D91:E91"/>
    <mergeCell ref="D31:E31"/>
    <mergeCell ref="K34:N34"/>
    <mergeCell ref="D51:E51"/>
    <mergeCell ref="K54:N54"/>
    <mergeCell ref="M74:N74"/>
    <mergeCell ref="A1:P1"/>
    <mergeCell ref="A2:P2"/>
    <mergeCell ref="A3:O3"/>
    <mergeCell ref="D19:E19"/>
    <mergeCell ref="K21:N21"/>
    <mergeCell ref="K141:N141"/>
    <mergeCell ref="A100:G100"/>
    <mergeCell ref="D111:E111"/>
    <mergeCell ref="K114:N114"/>
    <mergeCell ref="K94:N94"/>
    <mergeCell ref="D331:E331"/>
    <mergeCell ref="K334:N334"/>
    <mergeCell ref="C122:H122"/>
    <mergeCell ref="D138:E138"/>
    <mergeCell ref="D303:E303"/>
    <mergeCell ref="K306:N306"/>
    <mergeCell ref="D166:E166"/>
    <mergeCell ref="K169:N169"/>
    <mergeCell ref="D197:E197"/>
    <mergeCell ref="K200:N200"/>
    <mergeCell ref="D275:E275"/>
    <mergeCell ref="K278:N278"/>
    <mergeCell ref="D249:E249"/>
    <mergeCell ref="K252:N252"/>
    <mergeCell ref="D223:E223"/>
    <mergeCell ref="K226:N226"/>
  </mergeCells>
  <pageMargins left="0.3" right="0.3" top="0.4" bottom="0.4" header="0.5" footer="0.5"/>
  <pageSetup scale="92" orientation="landscape" r:id="rId1"/>
  <headerFooter alignWithMargins="0">
    <oddFooter>&amp;C&amp;P&amp;R&amp;D]</oddFooter>
  </headerFooter>
  <rowBreaks count="5" manualBreakCount="5">
    <brk id="43" max="15" man="1"/>
    <brk id="68" max="15" man="1"/>
    <brk id="102" max="15" man="1"/>
    <brk id="129" max="15" man="1"/>
    <brk id="156"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Q130"/>
  <sheetViews>
    <sheetView showGridLines="0" topLeftCell="A115" zoomScale="110" zoomScaleNormal="110" workbookViewId="0">
      <selection activeCell="F251" sqref="F251"/>
    </sheetView>
  </sheetViews>
  <sheetFormatPr defaultRowHeight="15" x14ac:dyDescent="0.25"/>
  <cols>
    <col min="1" max="1" width="7.7109375" style="43" customWidth="1"/>
    <col min="2" max="2" width="23.28515625" style="16" customWidth="1"/>
    <col min="3" max="4" width="12" style="453" customWidth="1"/>
    <col min="5" max="5" width="13.42578125" style="453" customWidth="1"/>
    <col min="6" max="6" width="12" style="453" customWidth="1"/>
    <col min="7" max="7" width="11.5703125" style="453" customWidth="1"/>
    <col min="8" max="8" width="14.5703125" style="453" customWidth="1"/>
    <col min="9" max="9" width="12.7109375" style="453" customWidth="1"/>
    <col min="10" max="10" width="13.28515625" style="14" customWidth="1"/>
    <col min="11" max="11" width="12.85546875" style="14" customWidth="1"/>
    <col min="12" max="12" width="12.7109375" customWidth="1"/>
    <col min="13" max="13" width="10.5703125" bestFit="1" customWidth="1"/>
    <col min="16" max="16" width="13.5703125" customWidth="1"/>
  </cols>
  <sheetData>
    <row r="1" spans="1:11" s="2" customFormat="1" ht="18.75" x14ac:dyDescent="0.3">
      <c r="A1" s="36" t="s">
        <v>0</v>
      </c>
      <c r="B1" s="16"/>
      <c r="C1" s="37"/>
      <c r="D1" s="37"/>
      <c r="E1" s="37"/>
      <c r="F1" s="37"/>
      <c r="G1" s="37"/>
      <c r="H1" s="37"/>
      <c r="I1" s="37"/>
      <c r="J1" s="37"/>
      <c r="K1" s="37"/>
    </row>
    <row r="2" spans="1:11" s="2" customFormat="1" ht="19.5" thickBot="1" x14ac:dyDescent="0.35">
      <c r="A2" s="36" t="s">
        <v>92</v>
      </c>
      <c r="B2" s="16"/>
      <c r="C2" s="37"/>
      <c r="D2" s="37"/>
      <c r="E2" s="37"/>
      <c r="F2" s="37"/>
      <c r="G2" s="37"/>
      <c r="H2" s="37"/>
      <c r="I2" s="37"/>
      <c r="J2" s="37"/>
      <c r="K2" s="37"/>
    </row>
    <row r="3" spans="1:11" ht="15.75" thickBot="1" x14ac:dyDescent="0.3">
      <c r="A3" s="13"/>
      <c r="C3" s="452" t="s">
        <v>93</v>
      </c>
      <c r="D3" s="38" t="s">
        <v>2182</v>
      </c>
      <c r="E3" s="39">
        <v>2024</v>
      </c>
    </row>
    <row r="4" spans="1:11" ht="20.25" customHeight="1" x14ac:dyDescent="0.25">
      <c r="A4" s="13"/>
    </row>
    <row r="5" spans="1:11" s="2" customFormat="1" ht="18.75" x14ac:dyDescent="0.3">
      <c r="A5" s="40" t="s">
        <v>2183</v>
      </c>
      <c r="B5" s="41"/>
      <c r="C5" s="42"/>
      <c r="D5" s="42"/>
      <c r="E5" s="42"/>
      <c r="F5" s="42"/>
      <c r="G5" s="42"/>
      <c r="H5" s="42"/>
      <c r="I5" s="42"/>
      <c r="J5" s="14"/>
      <c r="K5" s="14"/>
    </row>
    <row r="6" spans="1:11" ht="10.5" customHeight="1" x14ac:dyDescent="0.25"/>
    <row r="7" spans="1:11" s="52" customFormat="1" ht="39.75" customHeight="1" x14ac:dyDescent="0.25">
      <c r="A7" s="192" t="s">
        <v>94</v>
      </c>
      <c r="B7" s="193" t="s">
        <v>95</v>
      </c>
      <c r="C7" s="194" t="s">
        <v>1901</v>
      </c>
      <c r="D7" s="194" t="s">
        <v>96</v>
      </c>
      <c r="E7" s="195" t="s">
        <v>97</v>
      </c>
      <c r="F7" s="194" t="s">
        <v>98</v>
      </c>
      <c r="G7" s="194" t="s">
        <v>99</v>
      </c>
      <c r="H7" s="194" t="s">
        <v>100</v>
      </c>
      <c r="I7" s="194" t="s">
        <v>101</v>
      </c>
    </row>
    <row r="8" spans="1:11" x14ac:dyDescent="0.25">
      <c r="A8" s="19">
        <v>800</v>
      </c>
      <c r="B8" s="16" t="s">
        <v>102</v>
      </c>
      <c r="C8" s="454">
        <f>'3 OPBUD_Detail'!I3</f>
        <v>12735524.620000005</v>
      </c>
      <c r="D8" s="455">
        <f>'3 OPBUD_Detail'!G3</f>
        <v>78</v>
      </c>
      <c r="E8" s="306">
        <f>'3 OPBUD_Detail'!K3</f>
        <v>0</v>
      </c>
      <c r="F8" s="306">
        <f>'3 OPBUD_Detail'!L3</f>
        <v>3551349.4500000007</v>
      </c>
      <c r="G8" s="306">
        <f>'3 OPBUD_Detail'!M3</f>
        <v>3551349.4500000007</v>
      </c>
      <c r="H8" s="306">
        <f>'3 OPBUD_Detail'!N3</f>
        <v>12735524.620000005</v>
      </c>
      <c r="I8" s="456">
        <f>Table4[[#This Row],[FY24 Adopted Budget]]-H8</f>
        <v>0</v>
      </c>
      <c r="J8"/>
      <c r="K8"/>
    </row>
    <row r="9" spans="1:11" x14ac:dyDescent="0.25">
      <c r="A9" s="19">
        <v>801</v>
      </c>
      <c r="B9" s="16" t="s">
        <v>103</v>
      </c>
      <c r="C9" s="454">
        <f>'3 OPBUD_Detail'!I4</f>
        <v>34700951.350000009</v>
      </c>
      <c r="D9" s="455">
        <f>'3 OPBUD_Detail'!G4</f>
        <v>335</v>
      </c>
      <c r="E9" s="306">
        <f>'3 OPBUD_Detail'!K4</f>
        <v>0</v>
      </c>
      <c r="F9" s="306">
        <f>'3 OPBUD_Detail'!L4</f>
        <v>6572671.8600000022</v>
      </c>
      <c r="G9" s="306">
        <f>'3 OPBUD_Detail'!M4</f>
        <v>6572671.8600000022</v>
      </c>
      <c r="H9" s="306">
        <f>'3 OPBUD_Detail'!N4</f>
        <v>35122598.610000007</v>
      </c>
      <c r="I9" s="456">
        <f>Table4[[#This Row],[FY24 Adopted Budget]]-H9</f>
        <v>-421647.25999999791</v>
      </c>
      <c r="J9"/>
      <c r="K9"/>
    </row>
    <row r="10" spans="1:11" x14ac:dyDescent="0.25">
      <c r="A10" s="19">
        <v>802</v>
      </c>
      <c r="B10" s="16" t="s">
        <v>104</v>
      </c>
      <c r="C10" s="454">
        <f>'3 OPBUD_Detail'!I5</f>
        <v>3483798</v>
      </c>
      <c r="D10" s="455">
        <f>'3 OPBUD_Detail'!G5</f>
        <v>0</v>
      </c>
      <c r="E10" s="306">
        <f>'3 OPBUD_Detail'!K5</f>
        <v>0</v>
      </c>
      <c r="F10" s="306">
        <f>'3 OPBUD_Detail'!L5</f>
        <v>123203.73</v>
      </c>
      <c r="G10" s="306">
        <f>'3 OPBUD_Detail'!M5</f>
        <v>1483798</v>
      </c>
      <c r="H10" s="306">
        <f>'3 OPBUD_Detail'!N5</f>
        <v>8861285</v>
      </c>
      <c r="I10" s="456">
        <f>Table4[[#This Row],[FY24 Adopted Budget]]-H10</f>
        <v>-5377487</v>
      </c>
      <c r="J10"/>
      <c r="K10"/>
    </row>
    <row r="11" spans="1:11" x14ac:dyDescent="0.25">
      <c r="A11" s="19">
        <v>803</v>
      </c>
      <c r="B11" s="16" t="s">
        <v>105</v>
      </c>
      <c r="C11" s="454">
        <f>'3 OPBUD_Detail'!I6</f>
        <v>277335.91000000003</v>
      </c>
      <c r="D11" s="455">
        <f>'3 OPBUD_Detail'!G6</f>
        <v>3</v>
      </c>
      <c r="E11" s="306">
        <f>'3 OPBUD_Detail'!K6</f>
        <v>0</v>
      </c>
      <c r="F11" s="306">
        <f>'3 OPBUD_Detail'!L6</f>
        <v>76609.650000000009</v>
      </c>
      <c r="G11" s="306">
        <f>'3 OPBUD_Detail'!M6</f>
        <v>76609.650000000009</v>
      </c>
      <c r="H11" s="306">
        <f>'3 OPBUD_Detail'!N6</f>
        <v>277335.91000000003</v>
      </c>
      <c r="I11" s="456">
        <f>Table4[[#This Row],[FY24 Adopted Budget]]-H11</f>
        <v>0</v>
      </c>
      <c r="J11"/>
      <c r="K11"/>
    </row>
    <row r="12" spans="1:11" x14ac:dyDescent="0.25">
      <c r="A12" s="19">
        <v>804</v>
      </c>
      <c r="B12" s="16" t="s">
        <v>106</v>
      </c>
      <c r="C12" s="454">
        <f>'3 OPBUD_Detail'!I7</f>
        <v>5245143.8100000005</v>
      </c>
      <c r="D12" s="455">
        <f>'3 OPBUD_Detail'!G7</f>
        <v>68</v>
      </c>
      <c r="E12" s="306">
        <f>'3 OPBUD_Detail'!K7</f>
        <v>0</v>
      </c>
      <c r="F12" s="306">
        <f>'3 OPBUD_Detail'!L7</f>
        <v>1582760.6999999997</v>
      </c>
      <c r="G12" s="306">
        <f>'3 OPBUD_Detail'!M7</f>
        <v>1582760.6999999997</v>
      </c>
      <c r="H12" s="306">
        <f>'3 OPBUD_Detail'!N7</f>
        <v>5245143.8100000005</v>
      </c>
      <c r="I12" s="456">
        <f>Table4[[#This Row],[FY24 Adopted Budget]]-H12</f>
        <v>0</v>
      </c>
      <c r="J12"/>
      <c r="K12"/>
    </row>
    <row r="13" spans="1:11" x14ac:dyDescent="0.25">
      <c r="A13" s="19">
        <v>805</v>
      </c>
      <c r="B13" s="16" t="s">
        <v>107</v>
      </c>
      <c r="C13" s="454">
        <f>'3 OPBUD_Detail'!I8</f>
        <v>111487.31</v>
      </c>
      <c r="D13" s="455">
        <f>'3 OPBUD_Detail'!G8</f>
        <v>0</v>
      </c>
      <c r="E13" s="306">
        <f>'3 OPBUD_Detail'!K8</f>
        <v>0</v>
      </c>
      <c r="F13" s="306">
        <f>'3 OPBUD_Detail'!L8</f>
        <v>8555.6200000000008</v>
      </c>
      <c r="G13" s="306">
        <f>'3 OPBUD_Detail'!M8</f>
        <v>41667.57</v>
      </c>
      <c r="H13" s="306">
        <f>'3 OPBUD_Detail'!N8</f>
        <v>111487.31</v>
      </c>
      <c r="I13" s="456">
        <f>Table4[[#This Row],[FY24 Adopted Budget]]-H13</f>
        <v>0</v>
      </c>
      <c r="J13"/>
      <c r="K13"/>
    </row>
    <row r="14" spans="1:11" x14ac:dyDescent="0.25">
      <c r="A14" s="19">
        <v>806</v>
      </c>
      <c r="B14" s="16" t="s">
        <v>108</v>
      </c>
      <c r="C14" s="454">
        <f>'3 OPBUD_Detail'!I9</f>
        <v>688391.47</v>
      </c>
      <c r="D14" s="455">
        <f>'3 OPBUD_Detail'!G9</f>
        <v>0</v>
      </c>
      <c r="E14" s="306">
        <f>'3 OPBUD_Detail'!K9</f>
        <v>496.79</v>
      </c>
      <c r="F14" s="306">
        <f>'3 OPBUD_Detail'!L9</f>
        <v>159588.29999999999</v>
      </c>
      <c r="G14" s="306">
        <f>'3 OPBUD_Detail'!M9</f>
        <v>235268.01999999996</v>
      </c>
      <c r="H14" s="306">
        <f>'3 OPBUD_Detail'!N9</f>
        <v>688391.47</v>
      </c>
      <c r="I14" s="456">
        <f>Table4[[#This Row],[FY24 Adopted Budget]]-H14</f>
        <v>0</v>
      </c>
      <c r="J14"/>
      <c r="K14"/>
    </row>
    <row r="15" spans="1:11" x14ac:dyDescent="0.25">
      <c r="A15" s="19">
        <v>807</v>
      </c>
      <c r="B15" s="16" t="s">
        <v>109</v>
      </c>
      <c r="C15" s="454">
        <f>'3 OPBUD_Detail'!I10</f>
        <v>0</v>
      </c>
      <c r="D15" s="455">
        <f>'3 OPBUD_Detail'!G10</f>
        <v>0</v>
      </c>
      <c r="E15" s="306">
        <f>'3 OPBUD_Detail'!K10</f>
        <v>0</v>
      </c>
      <c r="F15" s="306">
        <f>'3 OPBUD_Detail'!L10</f>
        <v>0</v>
      </c>
      <c r="G15" s="306">
        <f>'3 OPBUD_Detail'!M10</f>
        <v>0</v>
      </c>
      <c r="H15" s="306">
        <f>'3 OPBUD_Detail'!N10</f>
        <v>0</v>
      </c>
      <c r="I15" s="456">
        <f>Table4[[#This Row],[FY24 Adopted Budget]]-H15</f>
        <v>0</v>
      </c>
      <c r="J15"/>
      <c r="K15"/>
    </row>
    <row r="16" spans="1:11" x14ac:dyDescent="0.25">
      <c r="A16" s="19">
        <v>808</v>
      </c>
      <c r="B16" s="16" t="s">
        <v>110</v>
      </c>
      <c r="C16" s="454">
        <f>'3 OPBUD_Detail'!I11</f>
        <v>0</v>
      </c>
      <c r="D16" s="455">
        <f>'3 OPBUD_Detail'!G11</f>
        <v>0</v>
      </c>
      <c r="E16" s="306">
        <f>'3 OPBUD_Detail'!K11</f>
        <v>0</v>
      </c>
      <c r="F16" s="306">
        <f>'3 OPBUD_Detail'!L11</f>
        <v>0</v>
      </c>
      <c r="G16" s="306">
        <f>'3 OPBUD_Detail'!M11</f>
        <v>0</v>
      </c>
      <c r="H16" s="306">
        <f>'3 OPBUD_Detail'!N11</f>
        <v>0</v>
      </c>
      <c r="I16" s="456">
        <f>Table4[[#This Row],[FY24 Adopted Budget]]-H16</f>
        <v>0</v>
      </c>
      <c r="J16"/>
      <c r="K16"/>
    </row>
    <row r="17" spans="1:11" x14ac:dyDescent="0.25">
      <c r="A17" s="19">
        <v>809</v>
      </c>
      <c r="B17" s="16" t="s">
        <v>111</v>
      </c>
      <c r="C17" s="454">
        <f>'3 OPBUD_Detail'!I12</f>
        <v>6179782.1200000029</v>
      </c>
      <c r="D17" s="455">
        <f>'3 OPBUD_Detail'!G12</f>
        <v>62</v>
      </c>
      <c r="E17" s="306">
        <f>'3 OPBUD_Detail'!K12</f>
        <v>0</v>
      </c>
      <c r="F17" s="306">
        <f>'3 OPBUD_Detail'!L12</f>
        <v>1266864.7100000007</v>
      </c>
      <c r="G17" s="306">
        <f>'3 OPBUD_Detail'!M12</f>
        <v>1266864.7100000007</v>
      </c>
      <c r="H17" s="306">
        <f>'3 OPBUD_Detail'!N12</f>
        <v>6179782.1200000029</v>
      </c>
      <c r="I17" s="456">
        <f>Table4[[#This Row],[FY24 Adopted Budget]]-H17</f>
        <v>0</v>
      </c>
      <c r="J17"/>
      <c r="K17"/>
    </row>
    <row r="18" spans="1:11" x14ac:dyDescent="0.25">
      <c r="A18" s="19">
        <v>810</v>
      </c>
      <c r="B18" s="16" t="s">
        <v>112</v>
      </c>
      <c r="C18" s="454">
        <f>'3 OPBUD_Detail'!I13</f>
        <v>7666421.2799999975</v>
      </c>
      <c r="D18" s="455">
        <f>'3 OPBUD_Detail'!G13</f>
        <v>72</v>
      </c>
      <c r="E18" s="306">
        <f>'3 OPBUD_Detail'!K13</f>
        <v>0</v>
      </c>
      <c r="F18" s="306">
        <f>'3 OPBUD_Detail'!L13</f>
        <v>1594700.1199999994</v>
      </c>
      <c r="G18" s="306">
        <f>'3 OPBUD_Detail'!M13</f>
        <v>1594700.1199999994</v>
      </c>
      <c r="H18" s="306">
        <f>'3 OPBUD_Detail'!N13</f>
        <v>7666421.2799999975</v>
      </c>
      <c r="I18" s="456">
        <f>Table4[[#This Row],[FY24 Adopted Budget]]-H18</f>
        <v>0</v>
      </c>
      <c r="J18"/>
      <c r="K18"/>
    </row>
    <row r="19" spans="1:11" x14ac:dyDescent="0.25">
      <c r="A19" s="19">
        <v>811</v>
      </c>
      <c r="B19" s="16" t="s">
        <v>113</v>
      </c>
      <c r="C19" s="454">
        <f>'3 OPBUD_Detail'!I14</f>
        <v>11120</v>
      </c>
      <c r="D19" s="455">
        <f>'3 OPBUD_Detail'!G14</f>
        <v>0</v>
      </c>
      <c r="E19" s="306">
        <f>'3 OPBUD_Detail'!K14</f>
        <v>0</v>
      </c>
      <c r="F19" s="306">
        <f>'3 OPBUD_Detail'!L14</f>
        <v>0</v>
      </c>
      <c r="G19" s="306">
        <f>'3 OPBUD_Detail'!M14</f>
        <v>0</v>
      </c>
      <c r="H19" s="306">
        <f>'3 OPBUD_Detail'!N14</f>
        <v>11120</v>
      </c>
      <c r="I19" s="456">
        <f>Table4[[#This Row],[FY24 Adopted Budget]]-H19</f>
        <v>0</v>
      </c>
      <c r="J19"/>
      <c r="K19"/>
    </row>
    <row r="20" spans="1:11" x14ac:dyDescent="0.25">
      <c r="A20" s="19">
        <v>812</v>
      </c>
      <c r="B20" s="16" t="s">
        <v>114</v>
      </c>
      <c r="C20" s="454">
        <f>'3 OPBUD_Detail'!I15</f>
        <v>1612776.5</v>
      </c>
      <c r="D20" s="455">
        <f>'3 OPBUD_Detail'!G15</f>
        <v>16</v>
      </c>
      <c r="E20" s="306">
        <f>'3 OPBUD_Detail'!K15</f>
        <v>0</v>
      </c>
      <c r="F20" s="306">
        <f>'3 OPBUD_Detail'!L15</f>
        <v>311027.80000000005</v>
      </c>
      <c r="G20" s="306">
        <f>'3 OPBUD_Detail'!M15</f>
        <v>311027.80000000005</v>
      </c>
      <c r="H20" s="306">
        <f>'3 OPBUD_Detail'!N15</f>
        <v>1612776.5</v>
      </c>
      <c r="I20" s="456">
        <f>Table4[[#This Row],[FY24 Adopted Budget]]-H20</f>
        <v>0</v>
      </c>
      <c r="J20"/>
      <c r="K20"/>
    </row>
    <row r="21" spans="1:11" x14ac:dyDescent="0.25">
      <c r="A21" s="19">
        <v>813</v>
      </c>
      <c r="B21" s="16" t="s">
        <v>115</v>
      </c>
      <c r="C21" s="454">
        <f>'3 OPBUD_Detail'!I16</f>
        <v>3921563.13</v>
      </c>
      <c r="D21" s="455">
        <f>'3 OPBUD_Detail'!G16</f>
        <v>40</v>
      </c>
      <c r="E21" s="306">
        <f>'3 OPBUD_Detail'!K16</f>
        <v>0</v>
      </c>
      <c r="F21" s="306">
        <f>'3 OPBUD_Detail'!L16</f>
        <v>783226.33000000007</v>
      </c>
      <c r="G21" s="306">
        <f>'3 OPBUD_Detail'!M16</f>
        <v>783226.33000000007</v>
      </c>
      <c r="H21" s="306">
        <f>'3 OPBUD_Detail'!N16</f>
        <v>3921563.13</v>
      </c>
      <c r="I21" s="456">
        <f>Table4[[#This Row],[FY24 Adopted Budget]]-H21</f>
        <v>0</v>
      </c>
      <c r="J21"/>
      <c r="K21"/>
    </row>
    <row r="22" spans="1:11" x14ac:dyDescent="0.25">
      <c r="A22" s="19">
        <v>814</v>
      </c>
      <c r="B22" s="16" t="s">
        <v>116</v>
      </c>
      <c r="C22" s="454">
        <f>'3 OPBUD_Detail'!I17</f>
        <v>2044977.24</v>
      </c>
      <c r="D22" s="455">
        <f>'3 OPBUD_Detail'!G17</f>
        <v>23</v>
      </c>
      <c r="E22" s="306">
        <f>'3 OPBUD_Detail'!K17</f>
        <v>0</v>
      </c>
      <c r="F22" s="306">
        <f>'3 OPBUD_Detail'!L17</f>
        <v>437208.14000000007</v>
      </c>
      <c r="G22" s="306">
        <f>'3 OPBUD_Detail'!M17</f>
        <v>437208.14000000007</v>
      </c>
      <c r="H22" s="306">
        <f>'3 OPBUD_Detail'!N17</f>
        <v>2044977.24</v>
      </c>
      <c r="I22" s="456">
        <f>Table4[[#This Row],[FY24 Adopted Budget]]-H22</f>
        <v>0</v>
      </c>
      <c r="J22"/>
      <c r="K22"/>
    </row>
    <row r="23" spans="1:11" x14ac:dyDescent="0.25">
      <c r="A23" s="19">
        <v>815</v>
      </c>
      <c r="B23" s="16" t="s">
        <v>117</v>
      </c>
      <c r="C23" s="454">
        <f>'3 OPBUD_Detail'!I18</f>
        <v>7727147.7599999998</v>
      </c>
      <c r="D23" s="455">
        <f>'3 OPBUD_Detail'!G18</f>
        <v>78</v>
      </c>
      <c r="E23" s="306">
        <f>'3 OPBUD_Detail'!K18</f>
        <v>0</v>
      </c>
      <c r="F23" s="306">
        <f>'3 OPBUD_Detail'!L18</f>
        <v>1555409.4500000002</v>
      </c>
      <c r="G23" s="306">
        <f>'3 OPBUD_Detail'!M18</f>
        <v>1555409.4500000002</v>
      </c>
      <c r="H23" s="306">
        <f>'3 OPBUD_Detail'!N18</f>
        <v>7727147.7599999998</v>
      </c>
      <c r="I23" s="456">
        <f>Table4[[#This Row],[FY24 Adopted Budget]]-H23</f>
        <v>0</v>
      </c>
      <c r="J23"/>
      <c r="K23"/>
    </row>
    <row r="24" spans="1:11" x14ac:dyDescent="0.25">
      <c r="A24" s="19">
        <v>816</v>
      </c>
      <c r="B24" s="16" t="s">
        <v>118</v>
      </c>
      <c r="C24" s="454">
        <f>'3 OPBUD_Detail'!I19</f>
        <v>7010307.7599999998</v>
      </c>
      <c r="D24" s="455">
        <f>'3 OPBUD_Detail'!G19</f>
        <v>68.7</v>
      </c>
      <c r="E24" s="306">
        <f>'3 OPBUD_Detail'!K19</f>
        <v>0</v>
      </c>
      <c r="F24" s="306">
        <f>'3 OPBUD_Detail'!L19</f>
        <v>1459128.4800000002</v>
      </c>
      <c r="G24" s="306">
        <f>'3 OPBUD_Detail'!M19</f>
        <v>1459128.4800000002</v>
      </c>
      <c r="H24" s="306">
        <f>'3 OPBUD_Detail'!N19</f>
        <v>7010307.7599999998</v>
      </c>
      <c r="I24" s="456">
        <f>Table4[[#This Row],[FY24 Adopted Budget]]-H24</f>
        <v>0</v>
      </c>
      <c r="J24"/>
      <c r="K24"/>
    </row>
    <row r="25" spans="1:11" x14ac:dyDescent="0.25">
      <c r="A25" s="19">
        <v>817</v>
      </c>
      <c r="B25" s="16" t="s">
        <v>119</v>
      </c>
      <c r="C25" s="454">
        <f>'3 OPBUD_Detail'!I20</f>
        <v>4524275.2300000004</v>
      </c>
      <c r="D25" s="455">
        <f>'3 OPBUD_Detail'!G20</f>
        <v>46</v>
      </c>
      <c r="E25" s="306">
        <f>'3 OPBUD_Detail'!K20</f>
        <v>0</v>
      </c>
      <c r="F25" s="306">
        <f>'3 OPBUD_Detail'!L20</f>
        <v>929762.01</v>
      </c>
      <c r="G25" s="306">
        <f>'3 OPBUD_Detail'!M20</f>
        <v>929762.01</v>
      </c>
      <c r="H25" s="306">
        <f>'3 OPBUD_Detail'!N20</f>
        <v>4524275.2300000004</v>
      </c>
      <c r="I25" s="456">
        <f>Table4[[#This Row],[FY24 Adopted Budget]]-H25</f>
        <v>0</v>
      </c>
      <c r="J25"/>
      <c r="K25"/>
    </row>
    <row r="26" spans="1:11" x14ac:dyDescent="0.25">
      <c r="A26" s="19">
        <v>818</v>
      </c>
      <c r="B26" s="16" t="s">
        <v>120</v>
      </c>
      <c r="C26" s="454">
        <f>'3 OPBUD_Detail'!I21</f>
        <v>6149426.2700000005</v>
      </c>
      <c r="D26" s="455">
        <f>'3 OPBUD_Detail'!G21</f>
        <v>66</v>
      </c>
      <c r="E26" s="306">
        <f>'3 OPBUD_Detail'!K21</f>
        <v>0</v>
      </c>
      <c r="F26" s="306">
        <f>'3 OPBUD_Detail'!L21</f>
        <v>1231091.5900000005</v>
      </c>
      <c r="G26" s="306">
        <f>'3 OPBUD_Detail'!M21</f>
        <v>1231091.5900000005</v>
      </c>
      <c r="H26" s="306">
        <f>'3 OPBUD_Detail'!N21</f>
        <v>6149426.2700000005</v>
      </c>
      <c r="I26" s="456">
        <f>Table4[[#This Row],[FY24 Adopted Budget]]-H26</f>
        <v>0</v>
      </c>
      <c r="J26"/>
      <c r="K26"/>
    </row>
    <row r="27" spans="1:11" x14ac:dyDescent="0.25">
      <c r="A27" s="19">
        <v>819</v>
      </c>
      <c r="B27" s="16" t="s">
        <v>121</v>
      </c>
      <c r="C27" s="454">
        <f>'3 OPBUD_Detail'!I22</f>
        <v>5035440.18</v>
      </c>
      <c r="D27" s="455">
        <f>'3 OPBUD_Detail'!G22</f>
        <v>48</v>
      </c>
      <c r="E27" s="306">
        <f>'3 OPBUD_Detail'!K22</f>
        <v>0</v>
      </c>
      <c r="F27" s="306">
        <f>'3 OPBUD_Detail'!L22</f>
        <v>1020030.7100000001</v>
      </c>
      <c r="G27" s="306">
        <f>'3 OPBUD_Detail'!M22</f>
        <v>1020030.7100000001</v>
      </c>
      <c r="H27" s="306">
        <f>'3 OPBUD_Detail'!N22</f>
        <v>5035440.18</v>
      </c>
      <c r="I27" s="456">
        <f>Table4[[#This Row],[FY24 Adopted Budget]]-H27</f>
        <v>0</v>
      </c>
      <c r="J27"/>
      <c r="K27"/>
    </row>
    <row r="28" spans="1:11" x14ac:dyDescent="0.25">
      <c r="A28" s="19">
        <v>820</v>
      </c>
      <c r="B28" s="16" t="s">
        <v>122</v>
      </c>
      <c r="C28" s="454">
        <f>'3 OPBUD_Detail'!I23</f>
        <v>789975.0299999998</v>
      </c>
      <c r="D28" s="455">
        <f>'3 OPBUD_Detail'!G23</f>
        <v>7</v>
      </c>
      <c r="E28" s="306">
        <f>'3 OPBUD_Detail'!K23</f>
        <v>0</v>
      </c>
      <c r="F28" s="306">
        <f>'3 OPBUD_Detail'!L23</f>
        <v>158039.51</v>
      </c>
      <c r="G28" s="306">
        <f>'3 OPBUD_Detail'!M23</f>
        <v>158039.51</v>
      </c>
      <c r="H28" s="306">
        <f>'3 OPBUD_Detail'!N23</f>
        <v>789975.0299999998</v>
      </c>
      <c r="I28" s="456">
        <f>Table4[[#This Row],[FY24 Adopted Budget]]-H28</f>
        <v>0</v>
      </c>
      <c r="J28"/>
      <c r="K28"/>
    </row>
    <row r="29" spans="1:11" x14ac:dyDescent="0.25">
      <c r="A29" s="19">
        <v>821</v>
      </c>
      <c r="B29" s="16" t="s">
        <v>123</v>
      </c>
      <c r="C29" s="454">
        <f>'3 OPBUD_Detail'!I24</f>
        <v>0</v>
      </c>
      <c r="D29" s="455">
        <f>'3 OPBUD_Detail'!G24</f>
        <v>0</v>
      </c>
      <c r="E29" s="306">
        <f>'3 OPBUD_Detail'!K24</f>
        <v>0</v>
      </c>
      <c r="F29" s="306">
        <f>'3 OPBUD_Detail'!L24</f>
        <v>0</v>
      </c>
      <c r="G29" s="306">
        <f>'3 OPBUD_Detail'!M24</f>
        <v>0</v>
      </c>
      <c r="H29" s="306">
        <f>'3 OPBUD_Detail'!N24</f>
        <v>0</v>
      </c>
      <c r="I29" s="456">
        <f>Table4[[#This Row],[FY24 Adopted Budget]]-H29</f>
        <v>0</v>
      </c>
      <c r="J29"/>
      <c r="K29"/>
    </row>
    <row r="30" spans="1:11" x14ac:dyDescent="0.25">
      <c r="A30" s="19">
        <v>822</v>
      </c>
      <c r="B30" s="16" t="s">
        <v>124</v>
      </c>
      <c r="C30" s="454">
        <f>'3 OPBUD_Detail'!I25</f>
        <v>752275.05999999994</v>
      </c>
      <c r="D30" s="455">
        <f>'3 OPBUD_Detail'!G25</f>
        <v>6.4</v>
      </c>
      <c r="E30" s="306">
        <f>'3 OPBUD_Detail'!K25</f>
        <v>0</v>
      </c>
      <c r="F30" s="306">
        <f>'3 OPBUD_Detail'!L25</f>
        <v>160349.38</v>
      </c>
      <c r="G30" s="306">
        <f>'3 OPBUD_Detail'!M25</f>
        <v>163204.32</v>
      </c>
      <c r="H30" s="306">
        <f>'3 OPBUD_Detail'!N25</f>
        <v>752275.05999999994</v>
      </c>
      <c r="I30" s="456">
        <f>Table4[[#This Row],[FY24 Adopted Budget]]-H30</f>
        <v>0</v>
      </c>
      <c r="J30"/>
      <c r="K30"/>
    </row>
    <row r="31" spans="1:11" x14ac:dyDescent="0.25">
      <c r="A31" s="19">
        <v>823</v>
      </c>
      <c r="B31" s="16" t="s">
        <v>125</v>
      </c>
      <c r="C31" s="454">
        <f>'3 OPBUD_Detail'!I26</f>
        <v>310735.38</v>
      </c>
      <c r="D31" s="455">
        <f>'3 OPBUD_Detail'!G26</f>
        <v>4</v>
      </c>
      <c r="E31" s="306">
        <f>'3 OPBUD_Detail'!K26</f>
        <v>0</v>
      </c>
      <c r="F31" s="306">
        <f>'3 OPBUD_Detail'!L26</f>
        <v>62569.97</v>
      </c>
      <c r="G31" s="306">
        <f>'3 OPBUD_Detail'!M26</f>
        <v>62569.97</v>
      </c>
      <c r="H31" s="306">
        <f>'3 OPBUD_Detail'!N26</f>
        <v>310735.38</v>
      </c>
      <c r="I31" s="456">
        <f>Table4[[#This Row],[FY24 Adopted Budget]]-H31</f>
        <v>0</v>
      </c>
      <c r="J31"/>
      <c r="K31"/>
    </row>
    <row r="32" spans="1:11" x14ac:dyDescent="0.25">
      <c r="A32" s="19">
        <v>824</v>
      </c>
      <c r="B32" s="16" t="s">
        <v>126</v>
      </c>
      <c r="C32" s="454">
        <f>'3 OPBUD_Detail'!I27</f>
        <v>0</v>
      </c>
      <c r="D32" s="455">
        <f>'3 OPBUD_Detail'!G27</f>
        <v>0</v>
      </c>
      <c r="E32" s="306">
        <f>'3 OPBUD_Detail'!K27</f>
        <v>0</v>
      </c>
      <c r="F32" s="306">
        <f>'3 OPBUD_Detail'!L27</f>
        <v>0</v>
      </c>
      <c r="G32" s="306">
        <f>'3 OPBUD_Detail'!M27</f>
        <v>0</v>
      </c>
      <c r="H32" s="306">
        <f>'3 OPBUD_Detail'!N27</f>
        <v>0</v>
      </c>
      <c r="I32" s="456">
        <f>Table4[[#This Row],[FY24 Adopted Budget]]-H32</f>
        <v>0</v>
      </c>
      <c r="J32"/>
      <c r="K32"/>
    </row>
    <row r="33" spans="1:11" x14ac:dyDescent="0.25">
      <c r="A33" s="19">
        <v>825</v>
      </c>
      <c r="B33" s="16" t="s">
        <v>127</v>
      </c>
      <c r="C33" s="454">
        <f>'3 OPBUD_Detail'!I28</f>
        <v>281478.32</v>
      </c>
      <c r="D33" s="455">
        <f>'3 OPBUD_Detail'!G28</f>
        <v>2</v>
      </c>
      <c r="E33" s="306">
        <f>'3 OPBUD_Detail'!K28</f>
        <v>0</v>
      </c>
      <c r="F33" s="306">
        <f>'3 OPBUD_Detail'!L28</f>
        <v>56726.880000000005</v>
      </c>
      <c r="G33" s="306">
        <f>'3 OPBUD_Detail'!M28</f>
        <v>56726.880000000005</v>
      </c>
      <c r="H33" s="306">
        <f>'3 OPBUD_Detail'!N28</f>
        <v>281478.32</v>
      </c>
      <c r="I33" s="456">
        <f>Table4[[#This Row],[FY24 Adopted Budget]]-H33</f>
        <v>0</v>
      </c>
      <c r="J33"/>
      <c r="K33"/>
    </row>
    <row r="34" spans="1:11" x14ac:dyDescent="0.25">
      <c r="A34" s="19">
        <v>826</v>
      </c>
      <c r="B34" s="16" t="s">
        <v>128</v>
      </c>
      <c r="C34" s="454">
        <f>'3 OPBUD_Detail'!I29</f>
        <v>8944.34</v>
      </c>
      <c r="D34" s="455">
        <f>'3 OPBUD_Detail'!G29</f>
        <v>0</v>
      </c>
      <c r="E34" s="306">
        <f>'3 OPBUD_Detail'!K29</f>
        <v>0</v>
      </c>
      <c r="F34" s="306">
        <f>'3 OPBUD_Detail'!L29</f>
        <v>703.05</v>
      </c>
      <c r="G34" s="306">
        <f>'3 OPBUD_Detail'!M29</f>
        <v>703.05</v>
      </c>
      <c r="H34" s="306">
        <f>'3 OPBUD_Detail'!N29</f>
        <v>8944.34</v>
      </c>
      <c r="I34" s="456">
        <f>Table4[[#This Row],[FY24 Adopted Budget]]-H34</f>
        <v>0</v>
      </c>
      <c r="J34"/>
      <c r="K34"/>
    </row>
    <row r="35" spans="1:11" x14ac:dyDescent="0.25">
      <c r="A35" s="19">
        <v>827</v>
      </c>
      <c r="B35" s="16" t="s">
        <v>129</v>
      </c>
      <c r="C35" s="454">
        <f>'3 OPBUD_Detail'!I30</f>
        <v>27881366.850000001</v>
      </c>
      <c r="D35" s="455">
        <f>'3 OPBUD_Detail'!G30</f>
        <v>135</v>
      </c>
      <c r="E35" s="306">
        <f>'3 OPBUD_Detail'!K30</f>
        <v>75000</v>
      </c>
      <c r="F35" s="306">
        <f>'3 OPBUD_Detail'!L30</f>
        <v>4075140.7099999995</v>
      </c>
      <c r="G35" s="306">
        <f>'3 OPBUD_Detail'!M30</f>
        <v>12619561.499999998</v>
      </c>
      <c r="H35" s="306">
        <f>'3 OPBUD_Detail'!N30</f>
        <v>45891895.779999979</v>
      </c>
      <c r="I35" s="456">
        <f>Table4[[#This Row],[FY24 Adopted Budget]]-H35</f>
        <v>-18010528.929999977</v>
      </c>
      <c r="J35"/>
      <c r="K35"/>
    </row>
    <row r="36" spans="1:11" x14ac:dyDescent="0.25">
      <c r="A36" s="19">
        <v>828</v>
      </c>
      <c r="B36" s="16" t="s">
        <v>130</v>
      </c>
      <c r="C36" s="454">
        <f>'3 OPBUD_Detail'!I31</f>
        <v>684202.12999999989</v>
      </c>
      <c r="D36" s="455">
        <f>'3 OPBUD_Detail'!G31</f>
        <v>4</v>
      </c>
      <c r="E36" s="306">
        <f>'3 OPBUD_Detail'!K31</f>
        <v>0</v>
      </c>
      <c r="F36" s="306">
        <f>'3 OPBUD_Detail'!L31</f>
        <v>182702.03</v>
      </c>
      <c r="G36" s="306">
        <f>'3 OPBUD_Detail'!M31</f>
        <v>182702.03</v>
      </c>
      <c r="H36" s="306">
        <f>'3 OPBUD_Detail'!N31</f>
        <v>684202.12999999989</v>
      </c>
      <c r="I36" s="456">
        <f>Table4[[#This Row],[FY24 Adopted Budget]]-H36</f>
        <v>0</v>
      </c>
      <c r="J36"/>
      <c r="K36"/>
    </row>
    <row r="37" spans="1:11" x14ac:dyDescent="0.25">
      <c r="A37" s="19">
        <v>829</v>
      </c>
      <c r="B37" s="16" t="s">
        <v>131</v>
      </c>
      <c r="C37" s="454">
        <f>'3 OPBUD_Detail'!I32</f>
        <v>4907732.7600000007</v>
      </c>
      <c r="D37" s="455">
        <f>'3 OPBUD_Detail'!G32</f>
        <v>80</v>
      </c>
      <c r="E37" s="306">
        <f>'3 OPBUD_Detail'!K32</f>
        <v>0</v>
      </c>
      <c r="F37" s="306">
        <f>'3 OPBUD_Detail'!L32</f>
        <v>1334429.69</v>
      </c>
      <c r="G37" s="306">
        <f>'3 OPBUD_Detail'!M32</f>
        <v>1334429.69</v>
      </c>
      <c r="H37" s="306">
        <f>'3 OPBUD_Detail'!N32</f>
        <v>4907732.7600000007</v>
      </c>
      <c r="I37" s="456">
        <f>Table4[[#This Row],[FY24 Adopted Budget]]-H37</f>
        <v>0</v>
      </c>
      <c r="J37"/>
      <c r="K37"/>
    </row>
    <row r="38" spans="1:11" x14ac:dyDescent="0.25">
      <c r="A38" s="19">
        <v>830</v>
      </c>
      <c r="B38" s="16" t="s">
        <v>132</v>
      </c>
      <c r="C38" s="454">
        <f>'3 OPBUD_Detail'!I33</f>
        <v>318242.46999999997</v>
      </c>
      <c r="D38" s="455">
        <f>'3 OPBUD_Detail'!G33</f>
        <v>3</v>
      </c>
      <c r="E38" s="306">
        <f>'3 OPBUD_Detail'!K33</f>
        <v>0</v>
      </c>
      <c r="F38" s="306">
        <f>'3 OPBUD_Detail'!L33</f>
        <v>96966.38</v>
      </c>
      <c r="G38" s="306">
        <f>'3 OPBUD_Detail'!M33</f>
        <v>96966.38</v>
      </c>
      <c r="H38" s="306">
        <f>'3 OPBUD_Detail'!N33</f>
        <v>318242.46999999997</v>
      </c>
      <c r="I38" s="456">
        <f>Table4[[#This Row],[FY24 Adopted Budget]]-H38</f>
        <v>0</v>
      </c>
      <c r="J38"/>
      <c r="K38"/>
    </row>
    <row r="39" spans="1:11" x14ac:dyDescent="0.25">
      <c r="A39" s="19">
        <v>831</v>
      </c>
      <c r="B39" s="16" t="s">
        <v>133</v>
      </c>
      <c r="C39" s="454">
        <f>'3 OPBUD_Detail'!I34</f>
        <v>579329.36</v>
      </c>
      <c r="D39" s="455">
        <f>'3 OPBUD_Detail'!G34</f>
        <v>2</v>
      </c>
      <c r="E39" s="306">
        <f>'3 OPBUD_Detail'!K34</f>
        <v>0</v>
      </c>
      <c r="F39" s="306">
        <f>'3 OPBUD_Detail'!L34</f>
        <v>579207.94999999995</v>
      </c>
      <c r="G39" s="306">
        <f>'3 OPBUD_Detail'!M34</f>
        <v>579207.94999999995</v>
      </c>
      <c r="H39" s="306">
        <f>'3 OPBUD_Detail'!N34</f>
        <v>579329.36</v>
      </c>
      <c r="I39" s="456">
        <f>Table4[[#This Row],[FY24 Adopted Budget]]-H39</f>
        <v>0</v>
      </c>
      <c r="J39"/>
      <c r="K39"/>
    </row>
    <row r="40" spans="1:11" x14ac:dyDescent="0.25">
      <c r="A40" s="19">
        <v>832</v>
      </c>
      <c r="B40" s="16" t="s">
        <v>134</v>
      </c>
      <c r="C40" s="454">
        <f>'3 OPBUD_Detail'!I35</f>
        <v>263173.60000000003</v>
      </c>
      <c r="D40" s="455">
        <f>'3 OPBUD_Detail'!G35</f>
        <v>3</v>
      </c>
      <c r="E40" s="306">
        <f>'3 OPBUD_Detail'!K35</f>
        <v>0</v>
      </c>
      <c r="F40" s="306">
        <f>'3 OPBUD_Detail'!L35</f>
        <v>60858.7</v>
      </c>
      <c r="G40" s="306">
        <f>'3 OPBUD_Detail'!M35</f>
        <v>60858.7</v>
      </c>
      <c r="H40" s="306">
        <f>'3 OPBUD_Detail'!N35</f>
        <v>263173.60000000003</v>
      </c>
      <c r="I40" s="456">
        <f>Table4[[#This Row],[FY24 Adopted Budget]]-H40</f>
        <v>0</v>
      </c>
      <c r="J40"/>
      <c r="K40"/>
    </row>
    <row r="41" spans="1:11" x14ac:dyDescent="0.25">
      <c r="A41" s="19">
        <v>833</v>
      </c>
      <c r="B41" s="16" t="s">
        <v>135</v>
      </c>
      <c r="C41" s="454">
        <f>'3 OPBUD_Detail'!I36</f>
        <v>0</v>
      </c>
      <c r="D41" s="455">
        <f>'3 OPBUD_Detail'!G36</f>
        <v>0</v>
      </c>
      <c r="E41" s="306">
        <f>'3 OPBUD_Detail'!K36</f>
        <v>0</v>
      </c>
      <c r="F41" s="306">
        <f>'3 OPBUD_Detail'!L36</f>
        <v>0</v>
      </c>
      <c r="G41" s="306">
        <f>'3 OPBUD_Detail'!M36</f>
        <v>0</v>
      </c>
      <c r="H41" s="306">
        <f>'3 OPBUD_Detail'!N36</f>
        <v>0</v>
      </c>
      <c r="I41" s="456">
        <f>Table4[[#This Row],[FY24 Adopted Budget]]-H41</f>
        <v>0</v>
      </c>
      <c r="J41"/>
      <c r="K41"/>
    </row>
    <row r="42" spans="1:11" x14ac:dyDescent="0.25">
      <c r="A42" s="19">
        <v>834</v>
      </c>
      <c r="B42" s="16" t="s">
        <v>136</v>
      </c>
      <c r="C42" s="454">
        <f>'3 OPBUD_Detail'!I37</f>
        <v>6200</v>
      </c>
      <c r="D42" s="455">
        <f>'3 OPBUD_Detail'!G37</f>
        <v>0</v>
      </c>
      <c r="E42" s="306">
        <f>'3 OPBUD_Detail'!K37</f>
        <v>0</v>
      </c>
      <c r="F42" s="306">
        <f>'3 OPBUD_Detail'!L37</f>
        <v>0</v>
      </c>
      <c r="G42" s="306">
        <f>'3 OPBUD_Detail'!M37</f>
        <v>0</v>
      </c>
      <c r="H42" s="306">
        <f>'3 OPBUD_Detail'!N37</f>
        <v>6200</v>
      </c>
      <c r="I42" s="456">
        <f>Table4[[#This Row],[FY24 Adopted Budget]]-H42</f>
        <v>0</v>
      </c>
      <c r="J42"/>
      <c r="K42"/>
    </row>
    <row r="43" spans="1:11" x14ac:dyDescent="0.25">
      <c r="A43" s="19">
        <v>835</v>
      </c>
      <c r="B43" s="16" t="s">
        <v>137</v>
      </c>
      <c r="C43" s="454">
        <f>'3 OPBUD_Detail'!I38</f>
        <v>205633.70999999993</v>
      </c>
      <c r="D43" s="455">
        <f>'3 OPBUD_Detail'!G38</f>
        <v>15</v>
      </c>
      <c r="E43" s="306">
        <f>'3 OPBUD_Detail'!K38</f>
        <v>199</v>
      </c>
      <c r="F43" s="306">
        <f>'3 OPBUD_Detail'!L38</f>
        <v>389873.57</v>
      </c>
      <c r="G43" s="306">
        <f>'3 OPBUD_Detail'!M38</f>
        <v>505651.54000000004</v>
      </c>
      <c r="H43" s="306">
        <f>'3 OPBUD_Detail'!N38</f>
        <v>-305661.87000000011</v>
      </c>
      <c r="I43" s="456">
        <f>Table4[[#This Row],[FY24 Adopted Budget]]-H43</f>
        <v>511295.58000000007</v>
      </c>
      <c r="J43"/>
      <c r="K43"/>
    </row>
    <row r="44" spans="1:11" x14ac:dyDescent="0.25">
      <c r="A44" s="19">
        <v>836</v>
      </c>
      <c r="B44" s="16" t="s">
        <v>138</v>
      </c>
      <c r="C44" s="454">
        <f>'3 OPBUD_Detail'!I39</f>
        <v>364691.06</v>
      </c>
      <c r="D44" s="455">
        <f>'3 OPBUD_Detail'!G39</f>
        <v>11</v>
      </c>
      <c r="E44" s="306">
        <f>'3 OPBUD_Detail'!K39</f>
        <v>0</v>
      </c>
      <c r="F44" s="306">
        <f>'3 OPBUD_Detail'!L39</f>
        <v>104155.85</v>
      </c>
      <c r="G44" s="306">
        <f>'3 OPBUD_Detail'!M39</f>
        <v>104155.85</v>
      </c>
      <c r="H44" s="306">
        <f>'3 OPBUD_Detail'!N39</f>
        <v>364691.06</v>
      </c>
      <c r="I44" s="456">
        <f>Table4[[#This Row],[FY24 Adopted Budget]]-H44</f>
        <v>0</v>
      </c>
      <c r="J44"/>
      <c r="K44"/>
    </row>
    <row r="45" spans="1:11" x14ac:dyDescent="0.25">
      <c r="A45" s="19">
        <v>837</v>
      </c>
      <c r="B45" s="16" t="s">
        <v>139</v>
      </c>
      <c r="C45" s="454">
        <f>'3 OPBUD_Detail'!I40</f>
        <v>513855</v>
      </c>
      <c r="D45" s="455">
        <f>'3 OPBUD_Detail'!G40</f>
        <v>0</v>
      </c>
      <c r="E45" s="306">
        <f>'3 OPBUD_Detail'!K40</f>
        <v>0</v>
      </c>
      <c r="F45" s="306">
        <f>'3 OPBUD_Detail'!L40</f>
        <v>0</v>
      </c>
      <c r="G45" s="306">
        <f>'3 OPBUD_Detail'!M40</f>
        <v>0</v>
      </c>
      <c r="H45" s="306">
        <f>'3 OPBUD_Detail'!N40</f>
        <v>491375.83</v>
      </c>
      <c r="I45" s="456">
        <f>Table4[[#This Row],[FY24 Adopted Budget]]-H45</f>
        <v>22479.169999999984</v>
      </c>
      <c r="J45"/>
      <c r="K45"/>
    </row>
    <row r="46" spans="1:11" ht="15" customHeight="1" x14ac:dyDescent="0.25">
      <c r="A46" s="19">
        <v>838</v>
      </c>
      <c r="B46" s="16" t="s">
        <v>140</v>
      </c>
      <c r="C46" s="454">
        <f>'3 OPBUD_Detail'!I41</f>
        <v>0</v>
      </c>
      <c r="D46" s="455">
        <f>'3 OPBUD_Detail'!G41</f>
        <v>0</v>
      </c>
      <c r="E46" s="306">
        <f>'3 OPBUD_Detail'!K41</f>
        <v>0</v>
      </c>
      <c r="F46" s="306">
        <f>'3 OPBUD_Detail'!L41</f>
        <v>0</v>
      </c>
      <c r="G46" s="306">
        <f>'3 OPBUD_Detail'!M41</f>
        <v>0</v>
      </c>
      <c r="H46" s="306">
        <f>'3 OPBUD_Detail'!N41</f>
        <v>-798000</v>
      </c>
      <c r="I46" s="456">
        <f>Table4[[#This Row],[FY24 Adopted Budget]]-H46</f>
        <v>798000</v>
      </c>
      <c r="J46"/>
      <c r="K46"/>
    </row>
    <row r="47" spans="1:11" x14ac:dyDescent="0.25">
      <c r="A47" s="19">
        <v>839</v>
      </c>
      <c r="B47" s="16" t="s">
        <v>141</v>
      </c>
      <c r="C47" s="454">
        <f>'3 OPBUD_Detail'!I42</f>
        <v>463601.04000000004</v>
      </c>
      <c r="D47" s="455">
        <f>'3 OPBUD_Detail'!G42</f>
        <v>4</v>
      </c>
      <c r="E47" s="306">
        <f>'3 OPBUD_Detail'!K42</f>
        <v>0</v>
      </c>
      <c r="F47" s="306">
        <f>'3 OPBUD_Detail'!L42</f>
        <v>92579.51</v>
      </c>
      <c r="G47" s="306">
        <f>'3 OPBUD_Detail'!M42</f>
        <v>92579.51</v>
      </c>
      <c r="H47" s="306">
        <f>'3 OPBUD_Detail'!N42</f>
        <v>463601.04000000004</v>
      </c>
      <c r="I47" s="456">
        <f>Table4[[#This Row],[FY24 Adopted Budget]]-H47</f>
        <v>0</v>
      </c>
      <c r="J47"/>
      <c r="K47"/>
    </row>
    <row r="48" spans="1:11" x14ac:dyDescent="0.25">
      <c r="A48" s="19">
        <v>840</v>
      </c>
      <c r="B48" s="16" t="s">
        <v>142</v>
      </c>
      <c r="C48" s="454">
        <f>'3 OPBUD_Detail'!I43</f>
        <v>1172593.2</v>
      </c>
      <c r="D48" s="455">
        <f>'3 OPBUD_Detail'!G43</f>
        <v>0</v>
      </c>
      <c r="E48" s="306">
        <f>'3 OPBUD_Detail'!K43</f>
        <v>0</v>
      </c>
      <c r="F48" s="306">
        <f>'3 OPBUD_Detail'!L43</f>
        <v>0</v>
      </c>
      <c r="G48" s="306">
        <f>'3 OPBUD_Detail'!M43</f>
        <v>781850</v>
      </c>
      <c r="H48" s="306">
        <f>'3 OPBUD_Detail'!N43</f>
        <v>1527691.89</v>
      </c>
      <c r="I48" s="456">
        <f>Table4[[#This Row],[FY24 Adopted Budget]]-H48</f>
        <v>-355098.68999999994</v>
      </c>
      <c r="J48"/>
      <c r="K48"/>
    </row>
    <row r="49" spans="1:11" x14ac:dyDescent="0.25">
      <c r="A49" s="19">
        <v>841</v>
      </c>
      <c r="B49" s="16" t="s">
        <v>143</v>
      </c>
      <c r="C49" s="454">
        <f>'3 OPBUD_Detail'!I44</f>
        <v>262230</v>
      </c>
      <c r="D49" s="455">
        <f>'3 OPBUD_Detail'!G44</f>
        <v>0</v>
      </c>
      <c r="E49" s="306">
        <f>'3 OPBUD_Detail'!K44</f>
        <v>0</v>
      </c>
      <c r="F49" s="306">
        <f>'3 OPBUD_Detail'!L44</f>
        <v>0</v>
      </c>
      <c r="G49" s="306">
        <f>'3 OPBUD_Detail'!M44</f>
        <v>130113</v>
      </c>
      <c r="H49" s="306">
        <f>'3 OPBUD_Detail'!N44</f>
        <v>321949.2</v>
      </c>
      <c r="I49" s="456">
        <f>Table4[[#This Row],[FY24 Adopted Budget]]-H49</f>
        <v>-59719.200000000012</v>
      </c>
      <c r="J49"/>
      <c r="K49"/>
    </row>
    <row r="50" spans="1:11" x14ac:dyDescent="0.25">
      <c r="A50" s="19">
        <v>842</v>
      </c>
      <c r="B50" s="16" t="s">
        <v>144</v>
      </c>
      <c r="C50" s="454">
        <f>'3 OPBUD_Detail'!I45</f>
        <v>13954.84</v>
      </c>
      <c r="D50" s="455">
        <f>'3 OPBUD_Detail'!G45</f>
        <v>0</v>
      </c>
      <c r="E50" s="306">
        <f>'3 OPBUD_Detail'!K45</f>
        <v>0</v>
      </c>
      <c r="F50" s="306">
        <f>'3 OPBUD_Detail'!L45</f>
        <v>0</v>
      </c>
      <c r="G50" s="306">
        <f>'3 OPBUD_Detail'!M45</f>
        <v>0</v>
      </c>
      <c r="H50" s="306">
        <f>'3 OPBUD_Detail'!N45</f>
        <v>13954.84</v>
      </c>
      <c r="I50" s="456">
        <f>Table4[[#This Row],[FY24 Adopted Budget]]-H50</f>
        <v>0</v>
      </c>
      <c r="J50"/>
      <c r="K50"/>
    </row>
    <row r="51" spans="1:11" x14ac:dyDescent="0.25">
      <c r="A51" s="19">
        <v>843</v>
      </c>
      <c r="B51" s="16" t="s">
        <v>145</v>
      </c>
      <c r="C51" s="454">
        <f>'3 OPBUD_Detail'!I46</f>
        <v>923101.24</v>
      </c>
      <c r="D51" s="455">
        <f>'3 OPBUD_Detail'!G46</f>
        <v>29</v>
      </c>
      <c r="E51" s="306">
        <f>'3 OPBUD_Detail'!K46</f>
        <v>0</v>
      </c>
      <c r="F51" s="306">
        <f>'3 OPBUD_Detail'!L46</f>
        <v>185123.25</v>
      </c>
      <c r="G51" s="306">
        <f>'3 OPBUD_Detail'!M46</f>
        <v>202804.83000000002</v>
      </c>
      <c r="H51" s="306">
        <f>'3 OPBUD_Detail'!N46</f>
        <v>1050427.5900000001</v>
      </c>
      <c r="I51" s="456">
        <f>Table4[[#This Row],[FY24 Adopted Budget]]-H51</f>
        <v>-127326.35000000009</v>
      </c>
      <c r="J51"/>
      <c r="K51"/>
    </row>
    <row r="52" spans="1:11" x14ac:dyDescent="0.25">
      <c r="A52" s="19">
        <v>844</v>
      </c>
      <c r="B52" s="16" t="s">
        <v>146</v>
      </c>
      <c r="C52" s="454">
        <f>'3 OPBUD_Detail'!I47</f>
        <v>936.08999999999992</v>
      </c>
      <c r="D52" s="455">
        <f>'3 OPBUD_Detail'!G47</f>
        <v>0</v>
      </c>
      <c r="E52" s="306">
        <f>'3 OPBUD_Detail'!K47</f>
        <v>0</v>
      </c>
      <c r="F52" s="306">
        <f>'3 OPBUD_Detail'!L47</f>
        <v>426.09</v>
      </c>
      <c r="G52" s="306">
        <f>'3 OPBUD_Detail'!M47</f>
        <v>426.09</v>
      </c>
      <c r="H52" s="306">
        <f>'3 OPBUD_Detail'!N47</f>
        <v>936.08999999999992</v>
      </c>
      <c r="I52" s="456">
        <f>Table4[[#This Row],[FY24 Adopted Budget]]-H52</f>
        <v>0</v>
      </c>
      <c r="J52"/>
      <c r="K52"/>
    </row>
    <row r="53" spans="1:11" x14ac:dyDescent="0.25">
      <c r="A53" s="19">
        <v>845</v>
      </c>
      <c r="B53" s="16" t="s">
        <v>147</v>
      </c>
      <c r="C53" s="454">
        <f>'3 OPBUD_Detail'!I48</f>
        <v>140691.82</v>
      </c>
      <c r="D53" s="455">
        <f>'3 OPBUD_Detail'!G48</f>
        <v>0</v>
      </c>
      <c r="E53" s="306">
        <f>'3 OPBUD_Detail'!K48</f>
        <v>0</v>
      </c>
      <c r="F53" s="306">
        <f>'3 OPBUD_Detail'!L48</f>
        <v>0</v>
      </c>
      <c r="G53" s="306">
        <f>'3 OPBUD_Detail'!M48</f>
        <v>0</v>
      </c>
      <c r="H53" s="306">
        <f>'3 OPBUD_Detail'!N48</f>
        <v>140691.82</v>
      </c>
      <c r="I53" s="456">
        <f>Table4[[#This Row],[FY24 Adopted Budget]]-H53</f>
        <v>0</v>
      </c>
      <c r="J53"/>
      <c r="K53"/>
    </row>
    <row r="54" spans="1:11" x14ac:dyDescent="0.25">
      <c r="A54" s="19">
        <v>846</v>
      </c>
      <c r="B54" s="16" t="s">
        <v>148</v>
      </c>
      <c r="C54" s="454">
        <f>'3 OPBUD_Detail'!I49</f>
        <v>960486.01</v>
      </c>
      <c r="D54" s="455">
        <f>'3 OPBUD_Detail'!G49</f>
        <v>5</v>
      </c>
      <c r="E54" s="306">
        <f>'3 OPBUD_Detail'!K49</f>
        <v>0</v>
      </c>
      <c r="F54" s="306">
        <f>'3 OPBUD_Detail'!L49</f>
        <v>225470.42</v>
      </c>
      <c r="G54" s="306">
        <f>'3 OPBUD_Detail'!M49</f>
        <v>299062.42000000004</v>
      </c>
      <c r="H54" s="306">
        <f>'3 OPBUD_Detail'!N49</f>
        <v>960486.01</v>
      </c>
      <c r="I54" s="456">
        <f>Table4[[#This Row],[FY24 Adopted Budget]]-H54</f>
        <v>0</v>
      </c>
      <c r="J54"/>
      <c r="K54"/>
    </row>
    <row r="55" spans="1:11" x14ac:dyDescent="0.25">
      <c r="A55" s="19">
        <v>847</v>
      </c>
      <c r="B55" s="16" t="s">
        <v>149</v>
      </c>
      <c r="C55" s="454">
        <f>'3 OPBUD_Detail'!I50</f>
        <v>111392.07</v>
      </c>
      <c r="D55" s="455">
        <f>'3 OPBUD_Detail'!G50</f>
        <v>0</v>
      </c>
      <c r="E55" s="306">
        <f>'3 OPBUD_Detail'!K50</f>
        <v>0</v>
      </c>
      <c r="F55" s="306">
        <f>'3 OPBUD_Detail'!L50</f>
        <v>25236.129999999997</v>
      </c>
      <c r="G55" s="306">
        <f>'3 OPBUD_Detail'!M50</f>
        <v>25236.129999999997</v>
      </c>
      <c r="H55" s="306">
        <f>'3 OPBUD_Detail'!N50</f>
        <v>111392.07</v>
      </c>
      <c r="I55" s="456">
        <f>Table4[[#This Row],[FY24 Adopted Budget]]-H55</f>
        <v>0</v>
      </c>
      <c r="J55"/>
      <c r="K55"/>
    </row>
    <row r="56" spans="1:11" x14ac:dyDescent="0.25">
      <c r="A56" s="19">
        <v>848</v>
      </c>
      <c r="B56" s="16" t="s">
        <v>150</v>
      </c>
      <c r="C56" s="454">
        <f>'3 OPBUD_Detail'!I51</f>
        <v>21025.360000000001</v>
      </c>
      <c r="D56" s="455">
        <f>'3 OPBUD_Detail'!G51</f>
        <v>0</v>
      </c>
      <c r="E56" s="306">
        <f>'3 OPBUD_Detail'!K51</f>
        <v>0</v>
      </c>
      <c r="F56" s="306">
        <f>'3 OPBUD_Detail'!L51</f>
        <v>5312.7</v>
      </c>
      <c r="G56" s="306">
        <f>'3 OPBUD_Detail'!M51</f>
        <v>5312.7</v>
      </c>
      <c r="H56" s="306">
        <f>'3 OPBUD_Detail'!N51</f>
        <v>21025.360000000001</v>
      </c>
      <c r="I56" s="456">
        <f>Table4[[#This Row],[FY24 Adopted Budget]]-H56</f>
        <v>0</v>
      </c>
      <c r="J56"/>
      <c r="K56"/>
    </row>
    <row r="57" spans="1:11" x14ac:dyDescent="0.25">
      <c r="A57" s="19">
        <v>849</v>
      </c>
      <c r="B57" s="16" t="s">
        <v>151</v>
      </c>
      <c r="C57" s="454">
        <f>'3 OPBUD_Detail'!I52</f>
        <v>44733.34</v>
      </c>
      <c r="D57" s="455">
        <f>'3 OPBUD_Detail'!G52</f>
        <v>0</v>
      </c>
      <c r="E57" s="306">
        <f>'3 OPBUD_Detail'!K52</f>
        <v>0</v>
      </c>
      <c r="F57" s="306">
        <f>'3 OPBUD_Detail'!L52</f>
        <v>44733.34</v>
      </c>
      <c r="G57" s="306">
        <f>'3 OPBUD_Detail'!M52</f>
        <v>44733.34</v>
      </c>
      <c r="H57" s="306">
        <f>'3 OPBUD_Detail'!N52</f>
        <v>44733.34</v>
      </c>
      <c r="I57" s="456">
        <f>Table4[[#This Row],[FY24 Adopted Budget]]-H57</f>
        <v>0</v>
      </c>
      <c r="J57"/>
      <c r="K57"/>
    </row>
    <row r="58" spans="1:11" x14ac:dyDescent="0.25">
      <c r="A58" s="19">
        <v>850</v>
      </c>
      <c r="B58" s="16" t="s">
        <v>152</v>
      </c>
      <c r="C58" s="454">
        <f>'3 OPBUD_Detail'!I53</f>
        <v>17145401.59</v>
      </c>
      <c r="D58" s="455">
        <f>'3 OPBUD_Detail'!G53</f>
        <v>0</v>
      </c>
      <c r="E58" s="306">
        <f>'3 OPBUD_Detail'!K53</f>
        <v>0</v>
      </c>
      <c r="F58" s="306">
        <f>'3 OPBUD_Detail'!L53</f>
        <v>16437850</v>
      </c>
      <c r="G58" s="306">
        <f>'3 OPBUD_Detail'!M53</f>
        <v>16947850</v>
      </c>
      <c r="H58" s="306">
        <f>'3 OPBUD_Detail'!N53</f>
        <v>17145401.59</v>
      </c>
      <c r="I58" s="456">
        <f>Table4[[#This Row],[FY24 Adopted Budget]]-H58</f>
        <v>0</v>
      </c>
      <c r="J58"/>
      <c r="K58"/>
    </row>
    <row r="59" spans="1:11" x14ac:dyDescent="0.25">
      <c r="A59" s="19">
        <v>851</v>
      </c>
      <c r="B59" s="16" t="s">
        <v>153</v>
      </c>
      <c r="C59" s="454">
        <f>'3 OPBUD_Detail'!I54</f>
        <v>329832.99</v>
      </c>
      <c r="D59" s="455">
        <f>'3 OPBUD_Detail'!G54</f>
        <v>3</v>
      </c>
      <c r="E59" s="306">
        <f>'3 OPBUD_Detail'!K54</f>
        <v>0</v>
      </c>
      <c r="F59" s="306">
        <f>'3 OPBUD_Detail'!L54</f>
        <v>83823.899999999994</v>
      </c>
      <c r="G59" s="306">
        <f>'3 OPBUD_Detail'!M54</f>
        <v>83823.899999999994</v>
      </c>
      <c r="H59" s="306">
        <f>'3 OPBUD_Detail'!N54</f>
        <v>329832.99</v>
      </c>
      <c r="I59" s="456">
        <f>Table4[[#This Row],[FY24 Adopted Budget]]-H59</f>
        <v>0</v>
      </c>
      <c r="J59"/>
      <c r="K59"/>
    </row>
    <row r="60" spans="1:11" x14ac:dyDescent="0.25">
      <c r="A60" s="19">
        <v>852</v>
      </c>
      <c r="B60" s="16" t="s">
        <v>154</v>
      </c>
      <c r="C60" s="454">
        <f>'3 OPBUD_Detail'!I55</f>
        <v>4884.5</v>
      </c>
      <c r="D60" s="455">
        <f>'3 OPBUD_Detail'!G55</f>
        <v>0</v>
      </c>
      <c r="E60" s="306">
        <f>'3 OPBUD_Detail'!K55</f>
        <v>0</v>
      </c>
      <c r="F60" s="306">
        <f>'3 OPBUD_Detail'!L55</f>
        <v>0</v>
      </c>
      <c r="G60" s="306">
        <f>'3 OPBUD_Detail'!M55</f>
        <v>0</v>
      </c>
      <c r="H60" s="306">
        <f>'3 OPBUD_Detail'!N55</f>
        <v>4884.5</v>
      </c>
      <c r="I60" s="456">
        <f>Table4[[#This Row],[FY24 Adopted Budget]]-H60</f>
        <v>0</v>
      </c>
      <c r="J60"/>
      <c r="K60"/>
    </row>
    <row r="61" spans="1:11" x14ac:dyDescent="0.25">
      <c r="A61" s="19">
        <v>853</v>
      </c>
      <c r="B61" s="16" t="s">
        <v>155</v>
      </c>
      <c r="C61" s="454">
        <f>'3 OPBUD_Detail'!I56</f>
        <v>3757498.0299999993</v>
      </c>
      <c r="D61" s="455">
        <f>'3 OPBUD_Detail'!G56</f>
        <v>37</v>
      </c>
      <c r="E61" s="306">
        <f>'3 OPBUD_Detail'!K56</f>
        <v>0</v>
      </c>
      <c r="F61" s="306">
        <f>'3 OPBUD_Detail'!L56</f>
        <v>712706.66000000015</v>
      </c>
      <c r="G61" s="306">
        <f>'3 OPBUD_Detail'!M56</f>
        <v>712706.66000000015</v>
      </c>
      <c r="H61" s="306">
        <f>'3 OPBUD_Detail'!N56</f>
        <v>3757498.0299999993</v>
      </c>
      <c r="I61" s="456">
        <f>Table4[[#This Row],[FY24 Adopted Budget]]-H61</f>
        <v>0</v>
      </c>
      <c r="J61"/>
      <c r="K61"/>
    </row>
    <row r="62" spans="1:11" x14ac:dyDescent="0.25">
      <c r="A62" s="19">
        <v>854</v>
      </c>
      <c r="B62" s="16" t="s">
        <v>156</v>
      </c>
      <c r="C62" s="454">
        <f>'3 OPBUD_Detail'!I57</f>
        <v>2891980.4600000004</v>
      </c>
      <c r="D62" s="455">
        <f>'3 OPBUD_Detail'!G57</f>
        <v>26</v>
      </c>
      <c r="E62" s="306">
        <f>'3 OPBUD_Detail'!K57</f>
        <v>0</v>
      </c>
      <c r="F62" s="306">
        <f>'3 OPBUD_Detail'!L57</f>
        <v>568139.05000000028</v>
      </c>
      <c r="G62" s="306">
        <f>'3 OPBUD_Detail'!M57</f>
        <v>568139.05000000028</v>
      </c>
      <c r="H62" s="306">
        <f>'3 OPBUD_Detail'!N57</f>
        <v>2891980.4600000004</v>
      </c>
      <c r="I62" s="456">
        <f>Table4[[#This Row],[FY24 Adopted Budget]]-H62</f>
        <v>0</v>
      </c>
      <c r="J62"/>
      <c r="K62"/>
    </row>
    <row r="63" spans="1:11" x14ac:dyDescent="0.25">
      <c r="A63" s="19">
        <v>855</v>
      </c>
      <c r="B63" s="16" t="s">
        <v>157</v>
      </c>
      <c r="C63" s="454">
        <f>'3 OPBUD_Detail'!I58</f>
        <v>2318716.6999999997</v>
      </c>
      <c r="D63" s="455">
        <f>'3 OPBUD_Detail'!G58</f>
        <v>23</v>
      </c>
      <c r="E63" s="306">
        <f>'3 OPBUD_Detail'!K58</f>
        <v>0</v>
      </c>
      <c r="F63" s="306">
        <f>'3 OPBUD_Detail'!L58</f>
        <v>464475.99</v>
      </c>
      <c r="G63" s="306">
        <f>'3 OPBUD_Detail'!M58</f>
        <v>464475.99</v>
      </c>
      <c r="H63" s="306">
        <f>'3 OPBUD_Detail'!N58</f>
        <v>2318716.6999999997</v>
      </c>
      <c r="I63" s="456">
        <f>Table4[[#This Row],[FY24 Adopted Budget]]-H63</f>
        <v>0</v>
      </c>
      <c r="J63"/>
      <c r="K63"/>
    </row>
    <row r="64" spans="1:11" x14ac:dyDescent="0.25">
      <c r="A64" s="19">
        <v>856</v>
      </c>
      <c r="B64" s="16" t="s">
        <v>158</v>
      </c>
      <c r="C64" s="454">
        <f>'3 OPBUD_Detail'!I59</f>
        <v>2136259.6799999997</v>
      </c>
      <c r="D64" s="455">
        <f>'3 OPBUD_Detail'!G59</f>
        <v>20.6</v>
      </c>
      <c r="E64" s="306">
        <f>'3 OPBUD_Detail'!K59</f>
        <v>0</v>
      </c>
      <c r="F64" s="306">
        <f>'3 OPBUD_Detail'!L59</f>
        <v>438338.12000000005</v>
      </c>
      <c r="G64" s="306">
        <f>'3 OPBUD_Detail'!M59</f>
        <v>438338.12000000005</v>
      </c>
      <c r="H64" s="306">
        <f>'3 OPBUD_Detail'!N59</f>
        <v>2136259.6799999997</v>
      </c>
      <c r="I64" s="456">
        <f>Table4[[#This Row],[FY24 Adopted Budget]]-H64</f>
        <v>0</v>
      </c>
      <c r="J64"/>
      <c r="K64"/>
    </row>
    <row r="65" spans="1:11" x14ac:dyDescent="0.25">
      <c r="A65" s="19">
        <v>857</v>
      </c>
      <c r="B65" s="16" t="s">
        <v>159</v>
      </c>
      <c r="C65" s="454">
        <f>'3 OPBUD_Detail'!I60</f>
        <v>192154.94</v>
      </c>
      <c r="D65" s="455">
        <f>'3 OPBUD_Detail'!G60</f>
        <v>2</v>
      </c>
      <c r="E65" s="306">
        <f>'3 OPBUD_Detail'!K60</f>
        <v>0</v>
      </c>
      <c r="F65" s="306">
        <f>'3 OPBUD_Detail'!L60</f>
        <v>49544.770000000004</v>
      </c>
      <c r="G65" s="306">
        <f>'3 OPBUD_Detail'!M60</f>
        <v>49544.770000000004</v>
      </c>
      <c r="H65" s="306">
        <f>'3 OPBUD_Detail'!N60</f>
        <v>192154.94</v>
      </c>
      <c r="I65" s="456">
        <f>Table4[[#This Row],[FY24 Adopted Budget]]-H65</f>
        <v>0</v>
      </c>
      <c r="J65"/>
      <c r="K65"/>
    </row>
    <row r="66" spans="1:11" x14ac:dyDescent="0.25">
      <c r="A66" s="19">
        <v>858</v>
      </c>
      <c r="B66" s="16" t="s">
        <v>160</v>
      </c>
      <c r="C66" s="454">
        <f>'3 OPBUD_Detail'!I61</f>
        <v>104059.32</v>
      </c>
      <c r="D66" s="455">
        <f>'3 OPBUD_Detail'!G61</f>
        <v>1</v>
      </c>
      <c r="E66" s="306">
        <f>'3 OPBUD_Detail'!K61</f>
        <v>0</v>
      </c>
      <c r="F66" s="306">
        <f>'3 OPBUD_Detail'!L61</f>
        <v>20447.670000000002</v>
      </c>
      <c r="G66" s="306">
        <f>'3 OPBUD_Detail'!M61</f>
        <v>20447.670000000002</v>
      </c>
      <c r="H66" s="306">
        <f>'3 OPBUD_Detail'!N61</f>
        <v>104059.32</v>
      </c>
      <c r="I66" s="456">
        <f>Table4[[#This Row],[FY24 Adopted Budget]]-H66</f>
        <v>0</v>
      </c>
      <c r="J66"/>
      <c r="K66"/>
    </row>
    <row r="67" spans="1:11" x14ac:dyDescent="0.25">
      <c r="A67" s="19">
        <v>859</v>
      </c>
      <c r="B67" s="16" t="s">
        <v>161</v>
      </c>
      <c r="C67" s="454">
        <f>'3 OPBUD_Detail'!I62</f>
        <v>0</v>
      </c>
      <c r="D67" s="455">
        <f>'3 OPBUD_Detail'!G62</f>
        <v>0</v>
      </c>
      <c r="E67" s="306">
        <f>'3 OPBUD_Detail'!K62</f>
        <v>0</v>
      </c>
      <c r="F67" s="306">
        <f>'3 OPBUD_Detail'!L62</f>
        <v>0</v>
      </c>
      <c r="G67" s="306">
        <f>'3 OPBUD_Detail'!M62</f>
        <v>0</v>
      </c>
      <c r="H67" s="306">
        <f>'3 OPBUD_Detail'!N62</f>
        <v>0</v>
      </c>
      <c r="I67" s="456">
        <f>Table4[[#This Row],[FY24 Adopted Budget]]-H67</f>
        <v>0</v>
      </c>
      <c r="J67"/>
      <c r="K67"/>
    </row>
    <row r="68" spans="1:11" x14ac:dyDescent="0.25">
      <c r="A68" s="19">
        <v>860</v>
      </c>
      <c r="B68" s="16" t="s">
        <v>162</v>
      </c>
      <c r="C68" s="454">
        <f>'3 OPBUD_Detail'!I63</f>
        <v>4028613.8499999992</v>
      </c>
      <c r="D68" s="455">
        <f>'3 OPBUD_Detail'!G63</f>
        <v>30</v>
      </c>
      <c r="E68" s="306">
        <f>'3 OPBUD_Detail'!K63</f>
        <v>0</v>
      </c>
      <c r="F68" s="306">
        <f>'3 OPBUD_Detail'!L63</f>
        <v>1177756.3000000012</v>
      </c>
      <c r="G68" s="306">
        <f>'3 OPBUD_Detail'!M63</f>
        <v>1438092.1400000013</v>
      </c>
      <c r="H68" s="306">
        <f>'3 OPBUD_Detail'!N63</f>
        <v>4553949.1100000003</v>
      </c>
      <c r="I68" s="456">
        <f>Table4[[#This Row],[FY24 Adopted Budget]]-H68</f>
        <v>-525335.26000000117</v>
      </c>
      <c r="J68"/>
      <c r="K68"/>
    </row>
    <row r="69" spans="1:11" x14ac:dyDescent="0.25">
      <c r="A69" s="19">
        <v>861</v>
      </c>
      <c r="B69" s="16" t="s">
        <v>163</v>
      </c>
      <c r="C69" s="454">
        <f>'3 OPBUD_Detail'!I64</f>
        <v>1593427.28</v>
      </c>
      <c r="D69" s="455">
        <f>'3 OPBUD_Detail'!G64</f>
        <v>17</v>
      </c>
      <c r="E69" s="306">
        <f>'3 OPBUD_Detail'!K64</f>
        <v>0</v>
      </c>
      <c r="F69" s="306">
        <f>'3 OPBUD_Detail'!L64</f>
        <v>374698.79000000004</v>
      </c>
      <c r="G69" s="306">
        <f>'3 OPBUD_Detail'!M64</f>
        <v>374698.79000000004</v>
      </c>
      <c r="H69" s="306">
        <f>'3 OPBUD_Detail'!N64</f>
        <v>1593427.28</v>
      </c>
      <c r="I69" s="456">
        <f>Table4[[#This Row],[FY24 Adopted Budget]]-H69</f>
        <v>0</v>
      </c>
      <c r="J69"/>
      <c r="K69"/>
    </row>
    <row r="70" spans="1:11" x14ac:dyDescent="0.25">
      <c r="A70" s="19">
        <v>862</v>
      </c>
      <c r="B70" s="16" t="s">
        <v>164</v>
      </c>
      <c r="C70" s="454">
        <f>'3 OPBUD_Detail'!I65</f>
        <v>0</v>
      </c>
      <c r="D70" s="455">
        <f>'3 OPBUD_Detail'!G65</f>
        <v>0</v>
      </c>
      <c r="E70" s="306">
        <f>'3 OPBUD_Detail'!K65</f>
        <v>0</v>
      </c>
      <c r="F70" s="306">
        <f>'3 OPBUD_Detail'!L65</f>
        <v>0</v>
      </c>
      <c r="G70" s="306">
        <f>'3 OPBUD_Detail'!M65</f>
        <v>0</v>
      </c>
      <c r="H70" s="306">
        <f>'3 OPBUD_Detail'!N65</f>
        <v>0</v>
      </c>
      <c r="I70" s="456">
        <f>Table4[[#This Row],[FY24 Adopted Budget]]-H70</f>
        <v>0</v>
      </c>
      <c r="J70"/>
      <c r="K70"/>
    </row>
    <row r="71" spans="1:11" x14ac:dyDescent="0.25">
      <c r="A71" s="19">
        <v>863</v>
      </c>
      <c r="B71" s="16" t="s">
        <v>165</v>
      </c>
      <c r="C71" s="454">
        <f>'3 OPBUD_Detail'!I66</f>
        <v>1684335.53</v>
      </c>
      <c r="D71" s="455">
        <f>'3 OPBUD_Detail'!G66</f>
        <v>7</v>
      </c>
      <c r="E71" s="306">
        <f>'3 OPBUD_Detail'!K66</f>
        <v>0</v>
      </c>
      <c r="F71" s="306">
        <f>'3 OPBUD_Detail'!L66</f>
        <v>405558.75</v>
      </c>
      <c r="G71" s="306">
        <f>'3 OPBUD_Detail'!M66</f>
        <v>464853.36</v>
      </c>
      <c r="H71" s="306">
        <f>'3 OPBUD_Detail'!N66</f>
        <v>1684335.53</v>
      </c>
      <c r="I71" s="456">
        <f>Table4[[#This Row],[FY24 Adopted Budget]]-H71</f>
        <v>0</v>
      </c>
      <c r="J71"/>
      <c r="K71"/>
    </row>
    <row r="72" spans="1:11" x14ac:dyDescent="0.25">
      <c r="A72" s="19">
        <v>864</v>
      </c>
      <c r="B72" s="16" t="s">
        <v>166</v>
      </c>
      <c r="C72" s="454">
        <f>'3 OPBUD_Detail'!I67</f>
        <v>674436.25999999989</v>
      </c>
      <c r="D72" s="455">
        <f>'3 OPBUD_Detail'!G67</f>
        <v>11</v>
      </c>
      <c r="E72" s="306">
        <f>'3 OPBUD_Detail'!K67</f>
        <v>0</v>
      </c>
      <c r="F72" s="306">
        <f>'3 OPBUD_Detail'!L67</f>
        <v>130173.75</v>
      </c>
      <c r="G72" s="306">
        <f>'3 OPBUD_Detail'!M67</f>
        <v>130173.75</v>
      </c>
      <c r="H72" s="306">
        <f>'3 OPBUD_Detail'!N67</f>
        <v>674436.25999999989</v>
      </c>
      <c r="I72" s="456">
        <f>Table4[[#This Row],[FY24 Adopted Budget]]-H72</f>
        <v>0</v>
      </c>
      <c r="J72"/>
      <c r="K72"/>
    </row>
    <row r="73" spans="1:11" x14ac:dyDescent="0.25">
      <c r="A73" s="19">
        <v>865</v>
      </c>
      <c r="B73" s="16" t="s">
        <v>167</v>
      </c>
      <c r="C73" s="454">
        <f>'3 OPBUD_Detail'!I68</f>
        <v>900000</v>
      </c>
      <c r="D73" s="455">
        <f>'3 OPBUD_Detail'!G68</f>
        <v>0</v>
      </c>
      <c r="E73" s="306">
        <f>'3 OPBUD_Detail'!K68</f>
        <v>0</v>
      </c>
      <c r="F73" s="306">
        <f>'3 OPBUD_Detail'!L68</f>
        <v>62392</v>
      </c>
      <c r="G73" s="306">
        <f>'3 OPBUD_Detail'!M68</f>
        <v>270045</v>
      </c>
      <c r="H73" s="306">
        <f>'3 OPBUD_Detail'!N68</f>
        <v>900000</v>
      </c>
      <c r="I73" s="456">
        <f>Table4[[#This Row],[FY24 Adopted Budget]]-H73</f>
        <v>0</v>
      </c>
      <c r="J73"/>
      <c r="K73"/>
    </row>
    <row r="74" spans="1:11" x14ac:dyDescent="0.25">
      <c r="A74" s="19">
        <v>866</v>
      </c>
      <c r="B74" s="16" t="s">
        <v>168</v>
      </c>
      <c r="C74" s="454">
        <f>'3 OPBUD_Detail'!I69</f>
        <v>1294439</v>
      </c>
      <c r="D74" s="455">
        <f>'3 OPBUD_Detail'!G69</f>
        <v>7</v>
      </c>
      <c r="E74" s="306">
        <f>'3 OPBUD_Detail'!K69</f>
        <v>0</v>
      </c>
      <c r="F74" s="306">
        <f>'3 OPBUD_Detail'!L69</f>
        <v>267282.32</v>
      </c>
      <c r="G74" s="306">
        <f>'3 OPBUD_Detail'!M69</f>
        <v>287893.15000000002</v>
      </c>
      <c r="H74" s="306">
        <f>'3 OPBUD_Detail'!N69</f>
        <v>1294439</v>
      </c>
      <c r="I74" s="456">
        <f>Table4[[#This Row],[FY24 Adopted Budget]]-H74</f>
        <v>0</v>
      </c>
      <c r="J74"/>
      <c r="K74"/>
    </row>
    <row r="75" spans="1:11" x14ac:dyDescent="0.25">
      <c r="A75" s="19">
        <v>867</v>
      </c>
      <c r="B75" s="16" t="s">
        <v>169</v>
      </c>
      <c r="C75" s="454">
        <f>'3 OPBUD_Detail'!I70</f>
        <v>32865.5</v>
      </c>
      <c r="D75" s="455">
        <f>'3 OPBUD_Detail'!G70</f>
        <v>0</v>
      </c>
      <c r="E75" s="306">
        <f>'3 OPBUD_Detail'!K70</f>
        <v>0</v>
      </c>
      <c r="F75" s="306">
        <f>'3 OPBUD_Detail'!L70</f>
        <v>0</v>
      </c>
      <c r="G75" s="306">
        <f>'3 OPBUD_Detail'!M70</f>
        <v>0</v>
      </c>
      <c r="H75" s="306">
        <f>'3 OPBUD_Detail'!N70</f>
        <v>32865.5</v>
      </c>
      <c r="I75" s="456">
        <f>Table4[[#This Row],[FY24 Adopted Budget]]-H75</f>
        <v>0</v>
      </c>
      <c r="J75"/>
      <c r="K75"/>
    </row>
    <row r="76" spans="1:11" x14ac:dyDescent="0.25">
      <c r="A76" s="19">
        <v>868</v>
      </c>
      <c r="B76" s="16" t="s">
        <v>170</v>
      </c>
      <c r="C76" s="454">
        <f>'3 OPBUD_Detail'!I71</f>
        <v>834510.83000000007</v>
      </c>
      <c r="D76" s="455">
        <f>'3 OPBUD_Detail'!G71</f>
        <v>7</v>
      </c>
      <c r="E76" s="306">
        <f>'3 OPBUD_Detail'!K71</f>
        <v>0</v>
      </c>
      <c r="F76" s="306">
        <f>'3 OPBUD_Detail'!L71</f>
        <v>242240.88000000003</v>
      </c>
      <c r="G76" s="306">
        <f>'3 OPBUD_Detail'!M71</f>
        <v>242240.88000000003</v>
      </c>
      <c r="H76" s="306">
        <f>'3 OPBUD_Detail'!N71</f>
        <v>834510.83000000007</v>
      </c>
      <c r="I76" s="456">
        <f>Table4[[#This Row],[FY24 Adopted Budget]]-H76</f>
        <v>0</v>
      </c>
      <c r="J76"/>
      <c r="K76"/>
    </row>
    <row r="77" spans="1:11" x14ac:dyDescent="0.25">
      <c r="A77" s="19">
        <v>869</v>
      </c>
      <c r="B77" s="16" t="s">
        <v>171</v>
      </c>
      <c r="C77" s="454">
        <f>'3 OPBUD_Detail'!I72</f>
        <v>1466577.17</v>
      </c>
      <c r="D77" s="455">
        <f>'3 OPBUD_Detail'!G72</f>
        <v>3</v>
      </c>
      <c r="E77" s="306">
        <f>'3 OPBUD_Detail'!K72</f>
        <v>0</v>
      </c>
      <c r="F77" s="306">
        <f>'3 OPBUD_Detail'!L72</f>
        <v>516124.12</v>
      </c>
      <c r="G77" s="306">
        <f>'3 OPBUD_Detail'!M72</f>
        <v>1058635.78</v>
      </c>
      <c r="H77" s="306">
        <f>'3 OPBUD_Detail'!N72</f>
        <v>1466577.17</v>
      </c>
      <c r="I77" s="456">
        <f>Table4[[#This Row],[FY24 Adopted Budget]]-H77</f>
        <v>0</v>
      </c>
      <c r="J77"/>
      <c r="K77"/>
    </row>
    <row r="78" spans="1:11" x14ac:dyDescent="0.25">
      <c r="A78" s="19">
        <v>870</v>
      </c>
      <c r="B78" s="16" t="s">
        <v>172</v>
      </c>
      <c r="C78" s="454">
        <f>'3 OPBUD_Detail'!I73</f>
        <v>637386.91999999993</v>
      </c>
      <c r="D78" s="455">
        <f>'3 OPBUD_Detail'!G73</f>
        <v>6</v>
      </c>
      <c r="E78" s="306">
        <f>'3 OPBUD_Detail'!K73</f>
        <v>0</v>
      </c>
      <c r="F78" s="306">
        <f>'3 OPBUD_Detail'!L73</f>
        <v>208724.99</v>
      </c>
      <c r="G78" s="306">
        <f>'3 OPBUD_Detail'!M73</f>
        <v>208724.99</v>
      </c>
      <c r="H78" s="306">
        <f>'3 OPBUD_Detail'!N73</f>
        <v>637386.91999999993</v>
      </c>
      <c r="I78" s="456">
        <f>Table4[[#This Row],[FY24 Adopted Budget]]-H78</f>
        <v>0</v>
      </c>
      <c r="J78"/>
      <c r="K78"/>
    </row>
    <row r="79" spans="1:11" x14ac:dyDescent="0.25">
      <c r="A79" s="19">
        <v>871</v>
      </c>
      <c r="B79" s="16" t="s">
        <v>173</v>
      </c>
      <c r="C79" s="454">
        <f>'3 OPBUD_Detail'!I74</f>
        <v>732925.8899999999</v>
      </c>
      <c r="D79" s="455">
        <f>'3 OPBUD_Detail'!G74</f>
        <v>8</v>
      </c>
      <c r="E79" s="306">
        <f>'3 OPBUD_Detail'!K74</f>
        <v>0</v>
      </c>
      <c r="F79" s="306">
        <f>'3 OPBUD_Detail'!L74</f>
        <v>208740.63</v>
      </c>
      <c r="G79" s="306">
        <f>'3 OPBUD_Detail'!M74</f>
        <v>208740.63</v>
      </c>
      <c r="H79" s="306">
        <f>'3 OPBUD_Detail'!N74</f>
        <v>732925.8899999999</v>
      </c>
      <c r="I79" s="456">
        <f>Table4[[#This Row],[FY24 Adopted Budget]]-H79</f>
        <v>0</v>
      </c>
      <c r="J79"/>
      <c r="K79"/>
    </row>
    <row r="80" spans="1:11" x14ac:dyDescent="0.25">
      <c r="A80" s="19">
        <v>872</v>
      </c>
      <c r="B80" s="16" t="s">
        <v>174</v>
      </c>
      <c r="C80" s="454">
        <f>'3 OPBUD_Detail'!I75</f>
        <v>379311.73000000004</v>
      </c>
      <c r="D80" s="455">
        <f>'3 OPBUD_Detail'!G75</f>
        <v>4</v>
      </c>
      <c r="E80" s="306">
        <f>'3 OPBUD_Detail'!K75</f>
        <v>0</v>
      </c>
      <c r="F80" s="306">
        <f>'3 OPBUD_Detail'!L75</f>
        <v>115879.33000000002</v>
      </c>
      <c r="G80" s="306">
        <f>'3 OPBUD_Detail'!M75</f>
        <v>115879.33000000002</v>
      </c>
      <c r="H80" s="306">
        <f>'3 OPBUD_Detail'!N75</f>
        <v>379311.73000000004</v>
      </c>
      <c r="I80" s="456">
        <f>Table4[[#This Row],[FY24 Adopted Budget]]-H80</f>
        <v>0</v>
      </c>
      <c r="J80"/>
      <c r="K80"/>
    </row>
    <row r="81" spans="1:11" x14ac:dyDescent="0.25">
      <c r="A81" s="19">
        <v>873</v>
      </c>
      <c r="B81" s="16" t="s">
        <v>175</v>
      </c>
      <c r="C81" s="454">
        <f>'3 OPBUD_Detail'!I76</f>
        <v>4233816.34</v>
      </c>
      <c r="D81" s="455">
        <f>'3 OPBUD_Detail'!G76</f>
        <v>14</v>
      </c>
      <c r="E81" s="306">
        <f>'3 OPBUD_Detail'!K76</f>
        <v>0</v>
      </c>
      <c r="F81" s="306">
        <f>'3 OPBUD_Detail'!L76</f>
        <v>533935.79</v>
      </c>
      <c r="G81" s="306">
        <f>'3 OPBUD_Detail'!M76</f>
        <v>799987.78</v>
      </c>
      <c r="H81" s="306">
        <f>'3 OPBUD_Detail'!N76</f>
        <v>3118966.3400000003</v>
      </c>
      <c r="I81" s="456">
        <f>Table4[[#This Row],[FY24 Adopted Budget]]-H81</f>
        <v>1114849.9999999995</v>
      </c>
      <c r="J81"/>
      <c r="K81"/>
    </row>
    <row r="82" spans="1:11" x14ac:dyDescent="0.25">
      <c r="A82" s="19">
        <v>874</v>
      </c>
      <c r="B82" s="16" t="s">
        <v>176</v>
      </c>
      <c r="C82" s="454">
        <f>'3 OPBUD_Detail'!I77</f>
        <v>70471.16</v>
      </c>
      <c r="D82" s="455">
        <f>'3 OPBUD_Detail'!G77</f>
        <v>1</v>
      </c>
      <c r="E82" s="306">
        <f>'3 OPBUD_Detail'!K77</f>
        <v>0</v>
      </c>
      <c r="F82" s="306">
        <f>'3 OPBUD_Detail'!L77</f>
        <v>21309.600000000002</v>
      </c>
      <c r="G82" s="306">
        <f>'3 OPBUD_Detail'!M77</f>
        <v>21309.600000000002</v>
      </c>
      <c r="H82" s="306">
        <f>'3 OPBUD_Detail'!N77</f>
        <v>70471.16</v>
      </c>
      <c r="I82" s="456">
        <f>Table4[[#This Row],[FY24 Adopted Budget]]-H82</f>
        <v>0</v>
      </c>
      <c r="J82"/>
      <c r="K82"/>
    </row>
    <row r="83" spans="1:11" x14ac:dyDescent="0.25">
      <c r="A83" s="19">
        <v>875</v>
      </c>
      <c r="B83" s="16" t="s">
        <v>177</v>
      </c>
      <c r="C83" s="454">
        <f>'3 OPBUD_Detail'!I78</f>
        <v>3788114.3</v>
      </c>
      <c r="D83" s="455">
        <f>'3 OPBUD_Detail'!G78</f>
        <v>6</v>
      </c>
      <c r="E83" s="306">
        <f>'3 OPBUD_Detail'!K78</f>
        <v>0</v>
      </c>
      <c r="F83" s="306">
        <f>'3 OPBUD_Detail'!L78</f>
        <v>151973.41</v>
      </c>
      <c r="G83" s="306">
        <f>'3 OPBUD_Detail'!M78</f>
        <v>366042.82999999996</v>
      </c>
      <c r="H83" s="306">
        <f>'3 OPBUD_Detail'!N78</f>
        <v>7118403.46</v>
      </c>
      <c r="I83" s="456">
        <f>Table4[[#This Row],[FY24 Adopted Budget]]-H83</f>
        <v>-3330289.16</v>
      </c>
      <c r="J83"/>
      <c r="K83"/>
    </row>
    <row r="84" spans="1:11" x14ac:dyDescent="0.25">
      <c r="A84" s="19">
        <v>876</v>
      </c>
      <c r="B84" s="16" t="s">
        <v>178</v>
      </c>
      <c r="C84" s="454">
        <f>'3 OPBUD_Detail'!I79</f>
        <v>1675810</v>
      </c>
      <c r="D84" s="455">
        <f>'3 OPBUD_Detail'!G79</f>
        <v>0</v>
      </c>
      <c r="E84" s="306">
        <f>'3 OPBUD_Detail'!K79</f>
        <v>0</v>
      </c>
      <c r="F84" s="306">
        <f>'3 OPBUD_Detail'!L79</f>
        <v>13380</v>
      </c>
      <c r="G84" s="306">
        <f>'3 OPBUD_Detail'!M79</f>
        <v>144000</v>
      </c>
      <c r="H84" s="306">
        <f>'3 OPBUD_Detail'!N79</f>
        <v>1842298.53</v>
      </c>
      <c r="I84" s="456">
        <f>Table4[[#This Row],[FY24 Adopted Budget]]-H84</f>
        <v>-166488.53000000003</v>
      </c>
      <c r="J84"/>
      <c r="K84"/>
    </row>
    <row r="85" spans="1:11" x14ac:dyDescent="0.25">
      <c r="A85" s="19">
        <v>877</v>
      </c>
      <c r="B85" s="16" t="s">
        <v>179</v>
      </c>
      <c r="C85" s="454">
        <f>'3 OPBUD_Detail'!I80</f>
        <v>7670143.0999999996</v>
      </c>
      <c r="D85" s="455">
        <f>'3 OPBUD_Detail'!G80</f>
        <v>0</v>
      </c>
      <c r="E85" s="306">
        <f>'3 OPBUD_Detail'!K80</f>
        <v>0</v>
      </c>
      <c r="F85" s="306">
        <f>'3 OPBUD_Detail'!L80</f>
        <v>587175.14</v>
      </c>
      <c r="G85" s="306">
        <f>'3 OPBUD_Detail'!M80</f>
        <v>980620.4</v>
      </c>
      <c r="H85" s="306">
        <f>'3 OPBUD_Detail'!N80</f>
        <v>19561506.59</v>
      </c>
      <c r="I85" s="456">
        <f>Table4[[#This Row],[FY24 Adopted Budget]]-H85</f>
        <v>-11891363.49</v>
      </c>
      <c r="J85"/>
      <c r="K85"/>
    </row>
    <row r="86" spans="1:11" x14ac:dyDescent="0.25">
      <c r="A86" s="19">
        <v>878</v>
      </c>
      <c r="B86" s="16" t="s">
        <v>180</v>
      </c>
      <c r="C86" s="454">
        <f>'3 OPBUD_Detail'!I81</f>
        <v>672197</v>
      </c>
      <c r="D86" s="455">
        <f>'3 OPBUD_Detail'!G81</f>
        <v>0</v>
      </c>
      <c r="E86" s="306">
        <f>'3 OPBUD_Detail'!K81</f>
        <v>0</v>
      </c>
      <c r="F86" s="306">
        <f>'3 OPBUD_Detail'!L81</f>
        <v>5250</v>
      </c>
      <c r="G86" s="306">
        <f>'3 OPBUD_Detail'!M81</f>
        <v>57000</v>
      </c>
      <c r="H86" s="306">
        <f>'3 OPBUD_Detail'!N81</f>
        <v>722460.09</v>
      </c>
      <c r="I86" s="456">
        <f>Table4[[#This Row],[FY24 Adopted Budget]]-H86</f>
        <v>-50263.089999999967</v>
      </c>
      <c r="J86"/>
      <c r="K86"/>
    </row>
    <row r="87" spans="1:11" x14ac:dyDescent="0.25">
      <c r="A87" s="19">
        <v>879</v>
      </c>
      <c r="B87" s="16" t="s">
        <v>181</v>
      </c>
      <c r="C87" s="454">
        <f>'3 OPBUD_Detail'!I82</f>
        <v>247972</v>
      </c>
      <c r="D87" s="455">
        <f>'3 OPBUD_Detail'!G82</f>
        <v>0</v>
      </c>
      <c r="E87" s="306">
        <f>'3 OPBUD_Detail'!K82</f>
        <v>0</v>
      </c>
      <c r="F87" s="306">
        <f>'3 OPBUD_Detail'!L82</f>
        <v>0</v>
      </c>
      <c r="G87" s="306">
        <f>'3 OPBUD_Detail'!M82</f>
        <v>0</v>
      </c>
      <c r="H87" s="306">
        <f>'3 OPBUD_Detail'!N82</f>
        <v>331238.03000000003</v>
      </c>
      <c r="I87" s="456">
        <f>Table4[[#This Row],[FY24 Adopted Budget]]-H87</f>
        <v>-83266.030000000028</v>
      </c>
      <c r="J87"/>
      <c r="K87"/>
    </row>
    <row r="88" spans="1:11" x14ac:dyDescent="0.25">
      <c r="A88" s="19">
        <v>880</v>
      </c>
      <c r="B88" s="16" t="s">
        <v>182</v>
      </c>
      <c r="C88" s="454">
        <f>'3 OPBUD_Detail'!I83</f>
        <v>0</v>
      </c>
      <c r="D88" s="455">
        <f>'3 OPBUD_Detail'!G83</f>
        <v>0</v>
      </c>
      <c r="E88" s="306">
        <f>'3 OPBUD_Detail'!K83</f>
        <v>0</v>
      </c>
      <c r="F88" s="306">
        <f>'3 OPBUD_Detail'!L83</f>
        <v>0</v>
      </c>
      <c r="G88" s="306">
        <f>'3 OPBUD_Detail'!M83</f>
        <v>0</v>
      </c>
      <c r="H88" s="306">
        <f>'3 OPBUD_Detail'!N83</f>
        <v>0</v>
      </c>
      <c r="I88" s="456">
        <f>Table4[[#This Row],[FY24 Adopted Budget]]-H88</f>
        <v>0</v>
      </c>
      <c r="J88"/>
      <c r="K88"/>
    </row>
    <row r="89" spans="1:11" x14ac:dyDescent="0.25">
      <c r="A89" s="19">
        <v>881</v>
      </c>
      <c r="B89" s="16" t="s">
        <v>183</v>
      </c>
      <c r="C89" s="454">
        <f>'3 OPBUD_Detail'!I84</f>
        <v>0</v>
      </c>
      <c r="D89" s="455">
        <f>'3 OPBUD_Detail'!G84</f>
        <v>0</v>
      </c>
      <c r="E89" s="306">
        <f>'3 OPBUD_Detail'!K84</f>
        <v>0</v>
      </c>
      <c r="F89" s="306">
        <f>'3 OPBUD_Detail'!L84</f>
        <v>0</v>
      </c>
      <c r="G89" s="306">
        <f>'3 OPBUD_Detail'!M84</f>
        <v>0</v>
      </c>
      <c r="H89" s="306">
        <f>'3 OPBUD_Detail'!N84</f>
        <v>0</v>
      </c>
      <c r="I89" s="456">
        <f>Table4[[#This Row],[FY24 Adopted Budget]]-H89</f>
        <v>0</v>
      </c>
      <c r="J89"/>
      <c r="K89"/>
    </row>
    <row r="90" spans="1:11" x14ac:dyDescent="0.25">
      <c r="A90" s="19">
        <v>882</v>
      </c>
      <c r="B90" s="16" t="s">
        <v>184</v>
      </c>
      <c r="C90" s="454">
        <f>'3 OPBUD_Detail'!I85</f>
        <v>105039.2</v>
      </c>
      <c r="D90" s="455">
        <f>'3 OPBUD_Detail'!G85</f>
        <v>1</v>
      </c>
      <c r="E90" s="306">
        <f>'3 OPBUD_Detail'!K85</f>
        <v>0</v>
      </c>
      <c r="F90" s="306">
        <f>'3 OPBUD_Detail'!L85</f>
        <v>31462.28</v>
      </c>
      <c r="G90" s="306">
        <f>'3 OPBUD_Detail'!M85</f>
        <v>31462.28</v>
      </c>
      <c r="H90" s="306">
        <f>'3 OPBUD_Detail'!N85</f>
        <v>105039.2</v>
      </c>
      <c r="I90" s="456">
        <f>Table4[[#This Row],[FY24 Adopted Budget]]-H90</f>
        <v>0</v>
      </c>
      <c r="J90"/>
      <c r="K90"/>
    </row>
    <row r="91" spans="1:11" x14ac:dyDescent="0.25">
      <c r="A91" s="19">
        <v>883</v>
      </c>
      <c r="B91" s="16" t="s">
        <v>185</v>
      </c>
      <c r="C91" s="454">
        <f>'3 OPBUD_Detail'!I86</f>
        <v>5187706.1500000022</v>
      </c>
      <c r="D91" s="455">
        <f>'3 OPBUD_Detail'!G86</f>
        <v>76</v>
      </c>
      <c r="E91" s="306">
        <f>'3 OPBUD_Detail'!K86</f>
        <v>0</v>
      </c>
      <c r="F91" s="306">
        <f>'3 OPBUD_Detail'!L86</f>
        <v>1481975.4099999992</v>
      </c>
      <c r="G91" s="306">
        <f>'3 OPBUD_Detail'!M86</f>
        <v>1761696.7599999993</v>
      </c>
      <c r="H91" s="306">
        <f>'3 OPBUD_Detail'!N86</f>
        <v>5187706.1500000022</v>
      </c>
      <c r="I91" s="456">
        <f>Table4[[#This Row],[FY24 Adopted Budget]]-H91</f>
        <v>0</v>
      </c>
      <c r="J91"/>
      <c r="K91"/>
    </row>
    <row r="92" spans="1:11" x14ac:dyDescent="0.25">
      <c r="A92" s="19">
        <v>883579</v>
      </c>
      <c r="B92" s="16" t="s">
        <v>186</v>
      </c>
      <c r="C92" s="454">
        <f>'3 OPBUD_Detail'!I87</f>
        <v>0</v>
      </c>
      <c r="D92" s="455">
        <f>'3 OPBUD_Detail'!G87</f>
        <v>0</v>
      </c>
      <c r="E92" s="306">
        <f>'3 OPBUD_Detail'!K87</f>
        <v>0</v>
      </c>
      <c r="F92" s="306">
        <f>'3 OPBUD_Detail'!L87</f>
        <v>0</v>
      </c>
      <c r="G92" s="306">
        <f>'3 OPBUD_Detail'!M87</f>
        <v>0</v>
      </c>
      <c r="H92" s="306">
        <f>'3 OPBUD_Detail'!N87</f>
        <v>0</v>
      </c>
      <c r="I92" s="456">
        <f>Table4[[#This Row],[FY24 Adopted Budget]]-H92</f>
        <v>0</v>
      </c>
      <c r="J92"/>
      <c r="K92"/>
    </row>
    <row r="93" spans="1:11" x14ac:dyDescent="0.25">
      <c r="A93" s="19">
        <v>883855</v>
      </c>
      <c r="B93" s="16" t="s">
        <v>187</v>
      </c>
      <c r="C93" s="454">
        <f>'3 OPBUD_Detail'!I88</f>
        <v>0</v>
      </c>
      <c r="D93" s="455">
        <f>'3 OPBUD_Detail'!G88</f>
        <v>0</v>
      </c>
      <c r="E93" s="306">
        <f>'3 OPBUD_Detail'!K88</f>
        <v>0</v>
      </c>
      <c r="F93" s="306">
        <f>'3 OPBUD_Detail'!L88</f>
        <v>0</v>
      </c>
      <c r="G93" s="306">
        <f>'3 OPBUD_Detail'!M88</f>
        <v>0</v>
      </c>
      <c r="H93" s="306">
        <f>'3 OPBUD_Detail'!N88</f>
        <v>0</v>
      </c>
      <c r="I93" s="456">
        <f>Table4[[#This Row],[FY24 Adopted Budget]]-H93</f>
        <v>0</v>
      </c>
      <c r="J93"/>
      <c r="K93"/>
    </row>
    <row r="94" spans="1:11" x14ac:dyDescent="0.25">
      <c r="A94" s="19">
        <v>884</v>
      </c>
      <c r="B94" s="16" t="s">
        <v>188</v>
      </c>
      <c r="C94" s="454">
        <f>'3 OPBUD_Detail'!I89</f>
        <v>599012.6</v>
      </c>
      <c r="D94" s="455">
        <f>'3 OPBUD_Detail'!G89</f>
        <v>3</v>
      </c>
      <c r="E94" s="306">
        <f>'3 OPBUD_Detail'!K89</f>
        <v>0</v>
      </c>
      <c r="F94" s="306">
        <f>'3 OPBUD_Detail'!L89</f>
        <v>192988.45000000004</v>
      </c>
      <c r="G94" s="306">
        <f>'3 OPBUD_Detail'!M89</f>
        <v>192988.45000000004</v>
      </c>
      <c r="H94" s="306">
        <f>'3 OPBUD_Detail'!N89</f>
        <v>599012.6</v>
      </c>
      <c r="I94" s="456">
        <f>Table4[[#This Row],[FY24 Adopted Budget]]-H94</f>
        <v>0</v>
      </c>
      <c r="J94"/>
      <c r="K94"/>
    </row>
    <row r="95" spans="1:11" x14ac:dyDescent="0.25">
      <c r="A95" s="19">
        <v>885</v>
      </c>
      <c r="B95" s="16" t="s">
        <v>189</v>
      </c>
      <c r="C95" s="454">
        <f>'3 OPBUD_Detail'!I90</f>
        <v>302125.8</v>
      </c>
      <c r="D95" s="455">
        <f>'3 OPBUD_Detail'!G90</f>
        <v>2</v>
      </c>
      <c r="E95" s="306">
        <f>'3 OPBUD_Detail'!K90</f>
        <v>0</v>
      </c>
      <c r="F95" s="306">
        <f>'3 OPBUD_Detail'!L90</f>
        <v>94757.62</v>
      </c>
      <c r="G95" s="306">
        <f>'3 OPBUD_Detail'!M90</f>
        <v>94757.62</v>
      </c>
      <c r="H95" s="306">
        <f>'3 OPBUD_Detail'!N90</f>
        <v>302125.8</v>
      </c>
      <c r="I95" s="456">
        <f>Table4[[#This Row],[FY24 Adopted Budget]]-H95</f>
        <v>0</v>
      </c>
      <c r="J95"/>
      <c r="K95"/>
    </row>
    <row r="96" spans="1:11" x14ac:dyDescent="0.25">
      <c r="A96" s="19">
        <v>886</v>
      </c>
      <c r="B96" s="16" t="s">
        <v>190</v>
      </c>
      <c r="C96" s="454">
        <f>'3 OPBUD_Detail'!I91</f>
        <v>3023726.69</v>
      </c>
      <c r="D96" s="455">
        <f>'3 OPBUD_Detail'!G91</f>
        <v>21</v>
      </c>
      <c r="E96" s="306">
        <f>'3 OPBUD_Detail'!K91</f>
        <v>0</v>
      </c>
      <c r="F96" s="306">
        <f>'3 OPBUD_Detail'!L91</f>
        <v>894845.37</v>
      </c>
      <c r="G96" s="306">
        <f>'3 OPBUD_Detail'!M91</f>
        <v>894845.37</v>
      </c>
      <c r="H96" s="306">
        <f>'3 OPBUD_Detail'!N91</f>
        <v>3023726.69</v>
      </c>
      <c r="I96" s="456">
        <f>Table4[[#This Row],[FY24 Adopted Budget]]-H96</f>
        <v>0</v>
      </c>
      <c r="J96"/>
      <c r="K96"/>
    </row>
    <row r="97" spans="1:11" x14ac:dyDescent="0.25">
      <c r="A97" s="19">
        <v>887</v>
      </c>
      <c r="B97" s="16" t="s">
        <v>191</v>
      </c>
      <c r="C97" s="454">
        <f>'3 OPBUD_Detail'!I92</f>
        <v>13304638.759999998</v>
      </c>
      <c r="D97" s="455">
        <f>'3 OPBUD_Detail'!G92</f>
        <v>151</v>
      </c>
      <c r="E97" s="306">
        <f>'3 OPBUD_Detail'!K92</f>
        <v>0</v>
      </c>
      <c r="F97" s="306">
        <f>'3 OPBUD_Detail'!L92</f>
        <v>3971273.9599999981</v>
      </c>
      <c r="G97" s="306">
        <f>'3 OPBUD_Detail'!M92</f>
        <v>3971273.9599999981</v>
      </c>
      <c r="H97" s="306">
        <f>'3 OPBUD_Detail'!N92</f>
        <v>13304638.759999998</v>
      </c>
      <c r="I97" s="456">
        <f>Table4[[#This Row],[FY24 Adopted Budget]]-H97</f>
        <v>0</v>
      </c>
      <c r="J97"/>
      <c r="K97"/>
    </row>
    <row r="98" spans="1:11" x14ac:dyDescent="0.25">
      <c r="A98" s="19">
        <v>887579</v>
      </c>
      <c r="B98" s="16" t="s">
        <v>192</v>
      </c>
      <c r="C98" s="454">
        <f>'3 OPBUD_Detail'!I93</f>
        <v>0</v>
      </c>
      <c r="D98" s="455">
        <f>'3 OPBUD_Detail'!G93</f>
        <v>0</v>
      </c>
      <c r="E98" s="306">
        <f>'3 OPBUD_Detail'!K93</f>
        <v>0</v>
      </c>
      <c r="F98" s="306">
        <f>'3 OPBUD_Detail'!L93</f>
        <v>0</v>
      </c>
      <c r="G98" s="306">
        <f>'3 OPBUD_Detail'!M93</f>
        <v>0</v>
      </c>
      <c r="H98" s="306">
        <f>'3 OPBUD_Detail'!N93</f>
        <v>0</v>
      </c>
      <c r="I98" s="456">
        <f>Table4[[#This Row],[FY24 Adopted Budget]]-H98</f>
        <v>0</v>
      </c>
      <c r="J98"/>
      <c r="K98"/>
    </row>
    <row r="99" spans="1:11" x14ac:dyDescent="0.25">
      <c r="A99" s="19">
        <v>887855</v>
      </c>
      <c r="B99" s="16" t="s">
        <v>193</v>
      </c>
      <c r="C99" s="454">
        <f>'3 OPBUD_Detail'!I94</f>
        <v>0</v>
      </c>
      <c r="D99" s="455">
        <f>'3 OPBUD_Detail'!G94</f>
        <v>0</v>
      </c>
      <c r="E99" s="306">
        <f>'3 OPBUD_Detail'!K94</f>
        <v>0</v>
      </c>
      <c r="F99" s="306">
        <f>'3 OPBUD_Detail'!L94</f>
        <v>0</v>
      </c>
      <c r="G99" s="306">
        <f>'3 OPBUD_Detail'!M94</f>
        <v>0</v>
      </c>
      <c r="H99" s="306">
        <f>'3 OPBUD_Detail'!N94</f>
        <v>0</v>
      </c>
      <c r="I99" s="456">
        <f>Table4[[#This Row],[FY24 Adopted Budget]]-H99</f>
        <v>0</v>
      </c>
      <c r="J99"/>
      <c r="K99"/>
    </row>
    <row r="100" spans="1:11" x14ac:dyDescent="0.25">
      <c r="A100" s="19">
        <v>888</v>
      </c>
      <c r="B100" s="16" t="s">
        <v>194</v>
      </c>
      <c r="C100" s="454">
        <f>'3 OPBUD_Detail'!I95</f>
        <v>87937.989999999991</v>
      </c>
      <c r="D100" s="455">
        <f>'3 OPBUD_Detail'!G95</f>
        <v>6</v>
      </c>
      <c r="E100" s="306">
        <f>'3 OPBUD_Detail'!K95</f>
        <v>0</v>
      </c>
      <c r="F100" s="306">
        <f>'3 OPBUD_Detail'!L95</f>
        <v>29089.299999999996</v>
      </c>
      <c r="G100" s="306">
        <f>'3 OPBUD_Detail'!M95</f>
        <v>29089.299999999996</v>
      </c>
      <c r="H100" s="306">
        <f>'3 OPBUD_Detail'!N95</f>
        <v>87937.989999999991</v>
      </c>
      <c r="I100" s="456">
        <f>Table4[[#This Row],[FY24 Adopted Budget]]-H100</f>
        <v>0</v>
      </c>
      <c r="J100"/>
      <c r="K100"/>
    </row>
    <row r="101" spans="1:11" x14ac:dyDescent="0.25">
      <c r="A101" s="19">
        <v>889</v>
      </c>
      <c r="B101" s="16" t="s">
        <v>195</v>
      </c>
      <c r="C101" s="454">
        <f>'3 OPBUD_Detail'!I96</f>
        <v>372928.76</v>
      </c>
      <c r="D101" s="455">
        <f>'3 OPBUD_Detail'!G96</f>
        <v>0</v>
      </c>
      <c r="E101" s="306">
        <f>'3 OPBUD_Detail'!K96</f>
        <v>0</v>
      </c>
      <c r="F101" s="306">
        <f>'3 OPBUD_Detail'!L96</f>
        <v>89680.54</v>
      </c>
      <c r="G101" s="306">
        <f>'3 OPBUD_Detail'!M96</f>
        <v>89680.54</v>
      </c>
      <c r="H101" s="306">
        <f>'3 OPBUD_Detail'!N96</f>
        <v>372928.76</v>
      </c>
      <c r="I101" s="456">
        <f>Table4[[#This Row],[FY24 Adopted Budget]]-H101</f>
        <v>0</v>
      </c>
      <c r="J101"/>
      <c r="K101"/>
    </row>
    <row r="102" spans="1:11" x14ac:dyDescent="0.25">
      <c r="A102" s="19">
        <v>890</v>
      </c>
      <c r="B102" s="16" t="s">
        <v>196</v>
      </c>
      <c r="C102" s="454">
        <f>'3 OPBUD_Detail'!I97</f>
        <v>230572.38</v>
      </c>
      <c r="D102" s="455">
        <f>'3 OPBUD_Detail'!G97</f>
        <v>0</v>
      </c>
      <c r="E102" s="306">
        <f>'3 OPBUD_Detail'!K97</f>
        <v>799.5</v>
      </c>
      <c r="F102" s="306">
        <f>'3 OPBUD_Detail'!L97</f>
        <v>-13725.770000000002</v>
      </c>
      <c r="G102" s="306">
        <f>'3 OPBUD_Detail'!M97</f>
        <v>40723.999999999993</v>
      </c>
      <c r="H102" s="306">
        <f>'3 OPBUD_Detail'!N97</f>
        <v>230572.38</v>
      </c>
      <c r="I102" s="456">
        <f>Table4[[#This Row],[FY24 Adopted Budget]]-H102</f>
        <v>0</v>
      </c>
      <c r="J102"/>
      <c r="K102"/>
    </row>
    <row r="103" spans="1:11" x14ac:dyDescent="0.25">
      <c r="A103" s="19">
        <v>891</v>
      </c>
      <c r="B103" s="16" t="s">
        <v>197</v>
      </c>
      <c r="C103" s="454">
        <f>'3 OPBUD_Detail'!I98</f>
        <v>3558499.99</v>
      </c>
      <c r="D103" s="455">
        <f>'3 OPBUD_Detail'!G98</f>
        <v>0</v>
      </c>
      <c r="E103" s="306">
        <f>'3 OPBUD_Detail'!K98</f>
        <v>0</v>
      </c>
      <c r="F103" s="306">
        <f>'3 OPBUD_Detail'!L98</f>
        <v>1277812.7</v>
      </c>
      <c r="G103" s="306">
        <f>'3 OPBUD_Detail'!M98</f>
        <v>2615469.2800000003</v>
      </c>
      <c r="H103" s="306">
        <f>'3 OPBUD_Detail'!N98</f>
        <v>3558499.99</v>
      </c>
      <c r="I103" s="456">
        <f>Table4[[#This Row],[FY24 Adopted Budget]]-H103</f>
        <v>0</v>
      </c>
      <c r="J103"/>
      <c r="K103"/>
    </row>
    <row r="104" spans="1:11" x14ac:dyDescent="0.25">
      <c r="A104" s="19">
        <v>892</v>
      </c>
      <c r="B104" s="16" t="s">
        <v>198</v>
      </c>
      <c r="C104" s="454">
        <f>'3 OPBUD_Detail'!I99</f>
        <v>407366.40000000002</v>
      </c>
      <c r="D104" s="455">
        <f>'3 OPBUD_Detail'!G99</f>
        <v>0</v>
      </c>
      <c r="E104" s="306">
        <f>'3 OPBUD_Detail'!K99</f>
        <v>0</v>
      </c>
      <c r="F104" s="306">
        <f>'3 OPBUD_Detail'!L99</f>
        <v>135788</v>
      </c>
      <c r="G104" s="306">
        <f>'3 OPBUD_Detail'!M99</f>
        <v>407364</v>
      </c>
      <c r="H104" s="306">
        <f>'3 OPBUD_Detail'!N99</f>
        <v>407366.40000000002</v>
      </c>
      <c r="I104" s="456">
        <f>Table4[[#This Row],[FY24 Adopted Budget]]-H104</f>
        <v>0</v>
      </c>
      <c r="J104"/>
      <c r="K104"/>
    </row>
    <row r="105" spans="1:11" x14ac:dyDescent="0.25">
      <c r="A105" s="19">
        <v>893</v>
      </c>
      <c r="B105" s="16" t="s">
        <v>199</v>
      </c>
      <c r="C105" s="454">
        <f>'3 OPBUD_Detail'!I100</f>
        <v>389099.96</v>
      </c>
      <c r="D105" s="455">
        <f>'3 OPBUD_Detail'!G100</f>
        <v>0</v>
      </c>
      <c r="E105" s="306">
        <f>'3 OPBUD_Detail'!K100</f>
        <v>0</v>
      </c>
      <c r="F105" s="306">
        <f>'3 OPBUD_Detail'!L100</f>
        <v>151055.75</v>
      </c>
      <c r="G105" s="306">
        <f>'3 OPBUD_Detail'!M100</f>
        <v>386331.94</v>
      </c>
      <c r="H105" s="306">
        <f>'3 OPBUD_Detail'!N100</f>
        <v>389099.96</v>
      </c>
      <c r="I105" s="456">
        <f>Table4[[#This Row],[FY24 Adopted Budget]]-H105</f>
        <v>0</v>
      </c>
      <c r="J105"/>
      <c r="K105"/>
    </row>
    <row r="106" spans="1:11" x14ac:dyDescent="0.25">
      <c r="A106" s="19">
        <v>894</v>
      </c>
      <c r="B106" s="16" t="s">
        <v>200</v>
      </c>
      <c r="C106" s="454">
        <f>'3 OPBUD_Detail'!I101</f>
        <v>1156326.25</v>
      </c>
      <c r="D106" s="455">
        <f>'3 OPBUD_Detail'!G101</f>
        <v>0</v>
      </c>
      <c r="E106" s="306">
        <f>'3 OPBUD_Detail'!K101</f>
        <v>4192.46</v>
      </c>
      <c r="F106" s="306">
        <f>'3 OPBUD_Detail'!L101</f>
        <v>282539.86</v>
      </c>
      <c r="G106" s="306">
        <f>'3 OPBUD_Detail'!M101</f>
        <v>825618.19</v>
      </c>
      <c r="H106" s="306">
        <f>'3 OPBUD_Detail'!N101</f>
        <v>1156326.25</v>
      </c>
      <c r="I106" s="456">
        <f>Table4[[#This Row],[FY24 Adopted Budget]]-H106</f>
        <v>0</v>
      </c>
      <c r="J106"/>
      <c r="K106"/>
    </row>
    <row r="107" spans="1:11" x14ac:dyDescent="0.25">
      <c r="A107" s="19">
        <v>895</v>
      </c>
      <c r="B107" s="16" t="s">
        <v>201</v>
      </c>
      <c r="C107" s="454">
        <f>'3 OPBUD_Detail'!I102</f>
        <v>134410.62</v>
      </c>
      <c r="D107" s="455">
        <f>'3 OPBUD_Detail'!G102</f>
        <v>0</v>
      </c>
      <c r="E107" s="306">
        <f>'3 OPBUD_Detail'!K102</f>
        <v>0</v>
      </c>
      <c r="F107" s="306">
        <f>'3 OPBUD_Detail'!L102</f>
        <v>21169.379999999997</v>
      </c>
      <c r="G107" s="306">
        <f>'3 OPBUD_Detail'!M102</f>
        <v>59405.56</v>
      </c>
      <c r="H107" s="306">
        <f>'3 OPBUD_Detail'!N102</f>
        <v>134410.62</v>
      </c>
      <c r="I107" s="456">
        <f>Table4[[#This Row],[FY24 Adopted Budget]]-H107</f>
        <v>0</v>
      </c>
      <c r="J107"/>
      <c r="K107"/>
    </row>
    <row r="108" spans="1:11" x14ac:dyDescent="0.25">
      <c r="A108" s="19">
        <v>896</v>
      </c>
      <c r="B108" s="16" t="s">
        <v>202</v>
      </c>
      <c r="C108" s="454">
        <f>'3 OPBUD_Detail'!I103</f>
        <v>1264998.1800000002</v>
      </c>
      <c r="D108" s="455">
        <f>'3 OPBUD_Detail'!G103</f>
        <v>0</v>
      </c>
      <c r="E108" s="306">
        <f>'3 OPBUD_Detail'!K103</f>
        <v>0</v>
      </c>
      <c r="F108" s="306">
        <f>'3 OPBUD_Detail'!L103</f>
        <v>152530.84</v>
      </c>
      <c r="G108" s="306">
        <f>'3 OPBUD_Detail'!M103</f>
        <v>1027575.45</v>
      </c>
      <c r="H108" s="306">
        <f>'3 OPBUD_Detail'!N103</f>
        <v>1965016.53</v>
      </c>
      <c r="I108" s="456">
        <f>Table4[[#This Row],[FY24 Adopted Budget]]-H108</f>
        <v>-700018.34999999986</v>
      </c>
      <c r="J108"/>
      <c r="K108"/>
    </row>
    <row r="109" spans="1:11" s="3" customFormat="1" x14ac:dyDescent="0.25">
      <c r="A109" s="19">
        <v>897</v>
      </c>
      <c r="B109" s="44" t="s">
        <v>203</v>
      </c>
      <c r="C109" s="454">
        <f>'3 OPBUD_Detail'!I104</f>
        <v>0</v>
      </c>
      <c r="D109" s="455">
        <f>'3 OPBUD_Detail'!G104</f>
        <v>0</v>
      </c>
      <c r="E109" s="306">
        <f>'3 OPBUD_Detail'!K104</f>
        <v>0</v>
      </c>
      <c r="F109" s="306">
        <f>'3 OPBUD_Detail'!L104</f>
        <v>0</v>
      </c>
      <c r="G109" s="306">
        <f>'3 OPBUD_Detail'!M104</f>
        <v>0</v>
      </c>
      <c r="H109" s="306">
        <f>'3 OPBUD_Detail'!N104</f>
        <v>0</v>
      </c>
      <c r="I109" s="456">
        <f>Table4[[#This Row],[FY24 Adopted Budget]]-H109</f>
        <v>0</v>
      </c>
    </row>
    <row r="110" spans="1:11" x14ac:dyDescent="0.25">
      <c r="A110" s="19">
        <v>898</v>
      </c>
      <c r="B110" s="16" t="s">
        <v>204</v>
      </c>
      <c r="C110" s="454">
        <f>'3 OPBUD_Detail'!I105</f>
        <v>5000</v>
      </c>
      <c r="D110" s="455">
        <f>'3 OPBUD_Detail'!G105</f>
        <v>0</v>
      </c>
      <c r="E110" s="306">
        <f>'3 OPBUD_Detail'!K105</f>
        <v>0</v>
      </c>
      <c r="F110" s="306">
        <f>'3 OPBUD_Detail'!L105</f>
        <v>0</v>
      </c>
      <c r="G110" s="306">
        <f>'3 OPBUD_Detail'!M105</f>
        <v>0</v>
      </c>
      <c r="H110" s="306">
        <f>'3 OPBUD_Detail'!N105</f>
        <v>5000</v>
      </c>
      <c r="I110" s="456">
        <f>Table4[[#This Row],[FY24 Adopted Budget]]-H110</f>
        <v>0</v>
      </c>
      <c r="J110"/>
      <c r="K110"/>
    </row>
    <row r="111" spans="1:11" x14ac:dyDescent="0.25">
      <c r="A111" s="19">
        <v>899</v>
      </c>
      <c r="B111" s="16" t="s">
        <v>205</v>
      </c>
      <c r="C111" s="454">
        <f>'3 OPBUD_Detail'!I106</f>
        <v>0</v>
      </c>
      <c r="D111" s="455">
        <f>'3 OPBUD_Detail'!G106</f>
        <v>0</v>
      </c>
      <c r="E111" s="306">
        <f>'3 OPBUD_Detail'!K106</f>
        <v>0</v>
      </c>
      <c r="F111" s="306">
        <f>'3 OPBUD_Detail'!L106</f>
        <v>0</v>
      </c>
      <c r="G111" s="306">
        <f>'3 OPBUD_Detail'!M106</f>
        <v>0</v>
      </c>
      <c r="H111" s="306">
        <f>'3 OPBUD_Detail'!N106</f>
        <v>0</v>
      </c>
      <c r="I111" s="456">
        <f>Table4[[#This Row],[FY24 Adopted Budget]]-H111</f>
        <v>0</v>
      </c>
      <c r="J111"/>
      <c r="K111"/>
    </row>
    <row r="112" spans="1:11" ht="15.75" thickBot="1" x14ac:dyDescent="0.3">
      <c r="A112" s="15"/>
      <c r="C112" s="440"/>
      <c r="D112" s="47"/>
      <c r="E112" s="47"/>
      <c r="F112" s="47"/>
      <c r="G112" s="47"/>
      <c r="H112" s="47"/>
      <c r="I112" s="442"/>
      <c r="J112"/>
      <c r="K112"/>
    </row>
    <row r="113" spans="1:17" ht="16.5" customHeight="1" thickBot="1" x14ac:dyDescent="0.3">
      <c r="A113" s="279"/>
      <c r="B113" s="278" t="s">
        <v>206</v>
      </c>
      <c r="C113" s="454">
        <f>SUBTOTAL(109,Table4[FY24 Adopted Budget])</f>
        <v>242735981.81999999</v>
      </c>
      <c r="D113" s="457">
        <f>SUBTOTAL(109,Table4[FTE])</f>
        <v>1807.6999999999998</v>
      </c>
      <c r="E113" s="454">
        <f>SUBTOTAL(109,Table4[ENCUMBERED])</f>
        <v>80687.75</v>
      </c>
      <c r="F113" s="454">
        <f>SUBTOTAL(109,Table4[EXPENDED])</f>
        <v>63094959.410000011</v>
      </c>
      <c r="G113" s="454">
        <f>SUBTOTAL(109,Table4[TOTAL YTD])</f>
        <v>80522017.250000045</v>
      </c>
      <c r="H113" s="454">
        <f>SUBTOTAL(109,Table4[FORECAST])</f>
        <v>281388188.40999991</v>
      </c>
      <c r="I113" s="458">
        <f>SUBTOTAL(109,Table4[VARIANCE])</f>
        <v>-38652206.589999989</v>
      </c>
      <c r="J113"/>
      <c r="K113"/>
    </row>
    <row r="114" spans="1:17" x14ac:dyDescent="0.25">
      <c r="A114" s="15"/>
      <c r="C114" s="47"/>
      <c r="D114" s="47"/>
      <c r="E114" s="47"/>
      <c r="F114" s="47"/>
      <c r="G114" s="47"/>
      <c r="H114" s="47"/>
      <c r="I114" s="47"/>
      <c r="J114" s="46"/>
      <c r="K114"/>
    </row>
    <row r="115" spans="1:17" ht="22.5" customHeight="1" thickBot="1" x14ac:dyDescent="0.3">
      <c r="A115" s="280" t="s">
        <v>207</v>
      </c>
      <c r="B115" s="281" t="s">
        <v>208</v>
      </c>
      <c r="C115" s="282" t="s">
        <v>209</v>
      </c>
      <c r="D115" s="280" t="s">
        <v>210</v>
      </c>
      <c r="E115" s="280" t="s">
        <v>97</v>
      </c>
      <c r="F115" s="280" t="s">
        <v>211</v>
      </c>
      <c r="G115" s="280" t="s">
        <v>99</v>
      </c>
      <c r="H115" s="280" t="s">
        <v>100</v>
      </c>
      <c r="I115" s="280" t="s">
        <v>101</v>
      </c>
    </row>
    <row r="116" spans="1:17" ht="18" customHeight="1" x14ac:dyDescent="0.25">
      <c r="A116" s="226" t="s">
        <v>212</v>
      </c>
      <c r="B116" s="228" t="s">
        <v>213</v>
      </c>
      <c r="C116" s="459">
        <f>'3 OPBUD_Detail'!I111</f>
        <v>168253851.61000001</v>
      </c>
      <c r="D116" s="459">
        <f>'3 OPBUD_Detail'!J111</f>
        <v>11569980.43</v>
      </c>
      <c r="E116" s="459">
        <f>'3 OPBUD_Detail'!K111</f>
        <v>75695.789999999994</v>
      </c>
      <c r="F116" s="459">
        <f>'3 OPBUD_Detail'!L111</f>
        <v>46941643.760000005</v>
      </c>
      <c r="G116" s="459">
        <f>'3 OPBUD_Detail'!M111</f>
        <v>58587319.980000004</v>
      </c>
      <c r="H116" s="459">
        <f>'3 OPBUD_Detail'!N111</f>
        <v>191273884.28999996</v>
      </c>
      <c r="I116" s="460">
        <f>C116-H116</f>
        <v>-23020032.679999948</v>
      </c>
    </row>
    <row r="117" spans="1:17" ht="18" customHeight="1" x14ac:dyDescent="0.25">
      <c r="A117" s="229" t="s">
        <v>214</v>
      </c>
      <c r="B117" s="231" t="s">
        <v>215</v>
      </c>
      <c r="C117" s="459">
        <f>'3 OPBUD_Detail'!I112</f>
        <v>334717.49</v>
      </c>
      <c r="D117" s="459">
        <f>'3 OPBUD_Detail'!J112</f>
        <v>0</v>
      </c>
      <c r="E117" s="459">
        <f>'3 OPBUD_Detail'!K112</f>
        <v>0</v>
      </c>
      <c r="F117" s="459">
        <f>'3 OPBUD_Detail'!L112</f>
        <v>83823.899999999994</v>
      </c>
      <c r="G117" s="459">
        <f>'3 OPBUD_Detail'!M112</f>
        <v>83823.899999999994</v>
      </c>
      <c r="H117" s="459">
        <f>'3 OPBUD_Detail'!N112</f>
        <v>334717.49</v>
      </c>
      <c r="I117" s="461">
        <f>C117-H117</f>
        <v>0</v>
      </c>
    </row>
    <row r="118" spans="1:17" ht="18" customHeight="1" x14ac:dyDescent="0.25">
      <c r="A118" s="229" t="s">
        <v>216</v>
      </c>
      <c r="B118" s="231" t="s">
        <v>217</v>
      </c>
      <c r="C118" s="459">
        <f>'3 OPBUD_Detail'!I113</f>
        <v>17022710.259999998</v>
      </c>
      <c r="D118" s="459">
        <f>'3 OPBUD_Detail'!J113</f>
        <v>260335.84</v>
      </c>
      <c r="E118" s="459">
        <f>'3 OPBUD_Detail'!K113</f>
        <v>0</v>
      </c>
      <c r="F118" s="459">
        <f>'3 OPBUD_Detail'!L113</f>
        <v>3806107.3500000015</v>
      </c>
      <c r="G118" s="459">
        <f>'3 OPBUD_Detail'!M113</f>
        <v>4066443.1900000013</v>
      </c>
      <c r="H118" s="459">
        <f>'3 OPBUD_Detail'!N113</f>
        <v>17548045.52</v>
      </c>
      <c r="I118" s="461">
        <f>C118-H118</f>
        <v>-525335.26000000164</v>
      </c>
    </row>
    <row r="119" spans="1:17" ht="18" customHeight="1" x14ac:dyDescent="0.25">
      <c r="A119" s="229" t="s">
        <v>218</v>
      </c>
      <c r="B119" s="231" t="s">
        <v>219</v>
      </c>
      <c r="C119" s="459">
        <f>'3 OPBUD_Detail'!I114</f>
        <v>3258771.79</v>
      </c>
      <c r="D119" s="459">
        <f>'3 OPBUD_Detail'!J114</f>
        <v>266947.61</v>
      </c>
      <c r="E119" s="459">
        <f>'3 OPBUD_Detail'!K114</f>
        <v>0</v>
      </c>
      <c r="F119" s="459">
        <f>'3 OPBUD_Detail'!L114</f>
        <v>598124.5</v>
      </c>
      <c r="G119" s="459">
        <f>'3 OPBUD_Detail'!M114</f>
        <v>865072.11</v>
      </c>
      <c r="H119" s="459">
        <f>'3 OPBUD_Detail'!N114</f>
        <v>3258771.79</v>
      </c>
      <c r="I119" s="461">
        <f>C119-H119</f>
        <v>0</v>
      </c>
    </row>
    <row r="120" spans="1:17" ht="18" customHeight="1" thickBot="1" x14ac:dyDescent="0.3">
      <c r="A120" s="232" t="s">
        <v>220</v>
      </c>
      <c r="B120" s="234" t="s">
        <v>221</v>
      </c>
      <c r="C120" s="459">
        <f>'3 OPBUD_Detail'!I115</f>
        <v>53865930.670000002</v>
      </c>
      <c r="D120" s="459">
        <f>'3 OPBUD_Detail'!J115</f>
        <v>5249106.21</v>
      </c>
      <c r="E120" s="459">
        <f>'3 OPBUD_Detail'!K115</f>
        <v>4991.96</v>
      </c>
      <c r="F120" s="459">
        <f>'3 OPBUD_Detail'!L115</f>
        <v>11665259.899999997</v>
      </c>
      <c r="G120" s="459">
        <f>'3 OPBUD_Detail'!M115</f>
        <v>16919358.069999997</v>
      </c>
      <c r="H120" s="459">
        <f>'3 OPBUD_Detail'!N115</f>
        <v>68972769.320000008</v>
      </c>
      <c r="I120" s="461">
        <f>C120-H120</f>
        <v>-15106838.650000006</v>
      </c>
    </row>
    <row r="121" spans="1:17" ht="18" customHeight="1" thickBot="1" x14ac:dyDescent="0.3">
      <c r="A121" s="237"/>
      <c r="B121" s="237"/>
      <c r="C121" s="284">
        <f>SUM(Table15[BUDGET])</f>
        <v>242735981.81999999</v>
      </c>
      <c r="D121" s="285">
        <f>SUM(Table15[REQUISITION])</f>
        <v>17346370.09</v>
      </c>
      <c r="E121" s="285">
        <f>SUM(Table15[ENCUMBERED])</f>
        <v>80687.75</v>
      </c>
      <c r="F121" s="285">
        <f>SUM(Table15[EXPEND])</f>
        <v>63094959.410000004</v>
      </c>
      <c r="G121" s="285">
        <f>SUM(Table15[TOTAL YTD])</f>
        <v>80522017.25</v>
      </c>
      <c r="H121" s="285">
        <f>SUM(Table15[FORECAST])</f>
        <v>281388188.40999997</v>
      </c>
      <c r="I121" s="286">
        <f>SUM(I116:I120)</f>
        <v>-38652206.589999959</v>
      </c>
    </row>
    <row r="122" spans="1:17" ht="18" customHeight="1" thickBot="1" x14ac:dyDescent="0.3">
      <c r="A122" s="243"/>
      <c r="B122" s="243"/>
      <c r="C122" s="243"/>
      <c r="D122" s="243"/>
      <c r="E122" s="243"/>
      <c r="F122" s="243"/>
      <c r="G122" s="243"/>
      <c r="H122" s="243"/>
      <c r="I122" s="287"/>
      <c r="J122" s="243"/>
    </row>
    <row r="123" spans="1:17" ht="15.75" thickBot="1" x14ac:dyDescent="0.3">
      <c r="A123" s="243"/>
      <c r="B123" s="243"/>
      <c r="C123" s="243"/>
      <c r="D123" s="243"/>
      <c r="E123" s="288" t="s">
        <v>222</v>
      </c>
      <c r="F123" s="289"/>
      <c r="G123" s="289"/>
      <c r="H123" s="253" t="s">
        <v>223</v>
      </c>
      <c r="I123" s="286"/>
    </row>
    <row r="124" spans="1:17" ht="15.75" thickBot="1" x14ac:dyDescent="0.3">
      <c r="A124" s="243"/>
      <c r="B124" s="243"/>
      <c r="C124" s="243"/>
      <c r="D124" s="243"/>
      <c r="E124" s="288" t="s">
        <v>222</v>
      </c>
      <c r="F124" s="289"/>
      <c r="G124" s="289"/>
      <c r="H124" s="254" t="s">
        <v>224</v>
      </c>
      <c r="I124" s="286">
        <v>6555639</v>
      </c>
    </row>
    <row r="125" spans="1:17" ht="15.75" thickBot="1" x14ac:dyDescent="0.3">
      <c r="A125" s="15"/>
      <c r="C125" s="47"/>
      <c r="D125" s="47"/>
      <c r="E125" s="288" t="s">
        <v>222</v>
      </c>
      <c r="F125" s="289"/>
      <c r="G125" s="289"/>
      <c r="H125" s="254" t="s">
        <v>2267</v>
      </c>
      <c r="I125" s="286">
        <f>'3 OPBUD_Detail'!O4124</f>
        <v>14000000</v>
      </c>
      <c r="J125" s="46"/>
      <c r="K125" s="46"/>
    </row>
    <row r="126" spans="1:17" ht="15.75" thickBot="1" x14ac:dyDescent="0.3">
      <c r="A126" s="15"/>
      <c r="C126" s="47"/>
      <c r="D126" s="47"/>
      <c r="E126" s="288" t="s">
        <v>222</v>
      </c>
      <c r="F126" s="289"/>
      <c r="G126" s="289"/>
      <c r="H126" s="254" t="s">
        <v>2268</v>
      </c>
      <c r="I126" s="286">
        <f>'3 OPBUD_Detail'!O4126</f>
        <v>10300000</v>
      </c>
      <c r="J126" s="46"/>
      <c r="K126" s="46"/>
    </row>
    <row r="127" spans="1:17" ht="15.75" thickBot="1" x14ac:dyDescent="0.3">
      <c r="A127" s="243"/>
      <c r="B127" s="243"/>
      <c r="C127" s="243"/>
      <c r="D127" s="243"/>
      <c r="E127" s="290"/>
      <c r="F127" s="290"/>
      <c r="G127" s="290"/>
      <c r="H127" s="283" t="s">
        <v>2266</v>
      </c>
      <c r="I127" s="286">
        <f>I121+I123+I124+I125+I126</f>
        <v>-7796567.5899999589</v>
      </c>
    </row>
    <row r="128" spans="1:17" ht="18" customHeight="1" x14ac:dyDescent="0.25">
      <c r="B128" s="138"/>
      <c r="Q128" s="3"/>
    </row>
    <row r="129" spans="1:17" ht="18" customHeight="1" x14ac:dyDescent="0.25">
      <c r="A129"/>
      <c r="B129"/>
      <c r="C129" s="179"/>
      <c r="D129" s="179"/>
      <c r="E129" s="179"/>
      <c r="Q129" s="3"/>
    </row>
    <row r="130" spans="1:17" ht="18" customHeight="1" x14ac:dyDescent="0.25">
      <c r="A130"/>
      <c r="B130"/>
      <c r="C130" s="179"/>
      <c r="D130" s="179"/>
      <c r="E130" s="179"/>
    </row>
  </sheetData>
  <sheetProtection algorithmName="SHA-512" hashValue="mM/l9+tcxDeFalltOGiibMFxFdbe3cvlg4CXoH4aDPZWSq9XBnQMvuNVD9fMn6HIZyKCL6/DWeCc5VwlypZuNw==" saltValue="qPVRdsVFdjE1uE5vMjAFxw==" spinCount="100000" sheet="1" objects="1" scenarios="1" selectLockedCells="1" sort="0" autoFilter="0" selectUnlockedCells="1"/>
  <phoneticPr fontId="28" type="noConversion"/>
  <pageMargins left="0.45" right="0.45" top="0.75" bottom="0.75" header="0.3" footer="0.3"/>
  <pageSetup scale="98" orientation="landscape" r:id="rId1"/>
  <headerFooter>
    <oddHeader>&amp;R&amp;P</oddHeader>
    <oddFooter>&amp;R&amp;D</oddFoot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99FF"/>
  </sheetPr>
  <dimension ref="A1:V4139"/>
  <sheetViews>
    <sheetView topLeftCell="E4072" zoomScale="141" zoomScaleNormal="141" workbookViewId="0">
      <selection activeCell="F251" sqref="F251"/>
    </sheetView>
  </sheetViews>
  <sheetFormatPr defaultColWidth="9" defaultRowHeight="15" outlineLevelRow="2" x14ac:dyDescent="0.25"/>
  <cols>
    <col min="1" max="1" width="15.5703125" style="207" customWidth="1"/>
    <col min="2" max="2" width="19.42578125" style="207" customWidth="1"/>
    <col min="3" max="3" width="6.42578125" style="203" customWidth="1"/>
    <col min="4" max="4" width="7.7109375" style="203" customWidth="1"/>
    <col min="5" max="5" width="8.7109375" style="203" customWidth="1"/>
    <col min="6" max="6" width="29.28515625" style="203" customWidth="1"/>
    <col min="7" max="7" width="10.5703125" style="203" customWidth="1"/>
    <col min="8" max="8" width="10.7109375" style="203" customWidth="1"/>
    <col min="9" max="9" width="15" style="204" customWidth="1"/>
    <col min="10" max="10" width="13.7109375" style="204" customWidth="1"/>
    <col min="11" max="11" width="13.28515625" style="204" customWidth="1"/>
    <col min="12" max="12" width="15.7109375" style="204" customWidth="1"/>
    <col min="13" max="13" width="18.42578125" style="204" customWidth="1"/>
    <col min="14" max="14" width="15" style="245" customWidth="1"/>
    <col min="15" max="15" width="15.28515625" style="205" customWidth="1"/>
    <col min="16" max="16" width="17.42578125" style="206" customWidth="1"/>
    <col min="17" max="17" width="13.85546875" style="206" customWidth="1"/>
    <col min="18" max="18" width="25.7109375" style="206" customWidth="1"/>
    <col min="19" max="19" width="7.7109375" style="206" customWidth="1"/>
    <col min="20" max="20" width="22.7109375" style="206" customWidth="1"/>
    <col min="21" max="21" width="19" style="206" customWidth="1"/>
    <col min="22" max="16384" width="9" style="206"/>
  </cols>
  <sheetData>
    <row r="1" spans="1:15" x14ac:dyDescent="0.25">
      <c r="A1" s="201" t="s">
        <v>227</v>
      </c>
      <c r="B1" s="201" t="s">
        <v>234</v>
      </c>
      <c r="C1" s="202"/>
    </row>
    <row r="2" spans="1:15" ht="18.75" customHeight="1" x14ac:dyDescent="0.25">
      <c r="D2" s="208" t="s">
        <v>228</v>
      </c>
      <c r="E2" s="208" t="s">
        <v>229</v>
      </c>
      <c r="F2" s="208" t="s">
        <v>230</v>
      </c>
      <c r="G2" s="208" t="s">
        <v>96</v>
      </c>
      <c r="H2" s="209" t="s">
        <v>231</v>
      </c>
      <c r="I2" s="210" t="s">
        <v>209</v>
      </c>
      <c r="J2" s="210" t="s">
        <v>210</v>
      </c>
      <c r="K2" s="210" t="s">
        <v>97</v>
      </c>
      <c r="L2" s="210" t="s">
        <v>98</v>
      </c>
      <c r="M2" s="210" t="s">
        <v>99</v>
      </c>
      <c r="N2" s="210" t="s">
        <v>100</v>
      </c>
      <c r="O2" s="210" t="s">
        <v>101</v>
      </c>
    </row>
    <row r="3" spans="1:15" x14ac:dyDescent="0.25">
      <c r="D3" s="545">
        <v>800</v>
      </c>
      <c r="E3" s="211"/>
      <c r="F3" s="212" t="s">
        <v>232</v>
      </c>
      <c r="G3" s="214">
        <f t="shared" ref="G3:G34" si="0">SUMIF($D$127:$D$4732,$D3,$G$127:$G$4732)</f>
        <v>78</v>
      </c>
      <c r="H3" s="213"/>
      <c r="I3" s="479">
        <f t="shared" ref="I3:I34" si="1">SUMIF($D$127:$D$4077,$D3,$I$127:$I$4077)</f>
        <v>12735524.620000005</v>
      </c>
      <c r="J3" s="479">
        <f t="shared" ref="J3:J34" si="2">SUMIF($D$127:$D$4732,$D3,$J$127:$J$4732)</f>
        <v>0</v>
      </c>
      <c r="K3" s="479">
        <f t="shared" ref="K3:K34" si="3">SUMIF($D$127:$D$4732,$D3,$K$127:$K$4732)</f>
        <v>0</v>
      </c>
      <c r="L3" s="479">
        <f t="shared" ref="L3:L34" si="4">SUMIF($D$127:$D$4732,$D3,$L$127:$L$4732)</f>
        <v>3551349.4500000007</v>
      </c>
      <c r="M3" s="479">
        <f>SUM(Table210[[#This Row],[REQUISITION]:[EXPENDED]])</f>
        <v>3551349.4500000007</v>
      </c>
      <c r="N3" s="479">
        <f t="shared" ref="N3:N34" si="5">SUMIF($D$127:$D$4732,$D3,$N$127:$N$4732)</f>
        <v>12735524.620000005</v>
      </c>
      <c r="O3" s="479">
        <f t="shared" ref="O3:O34" si="6">SUMIF($D$127:$D$4732,$D3,$O$127:$O$4732)</f>
        <v>0</v>
      </c>
    </row>
    <row r="4" spans="1:15" x14ac:dyDescent="0.25">
      <c r="D4" s="546">
        <v>801</v>
      </c>
      <c r="E4" s="211"/>
      <c r="F4" s="215" t="s">
        <v>103</v>
      </c>
      <c r="G4" s="214">
        <f t="shared" si="0"/>
        <v>335</v>
      </c>
      <c r="H4" s="213"/>
      <c r="I4" s="479">
        <f t="shared" si="1"/>
        <v>34700951.350000009</v>
      </c>
      <c r="J4" s="479">
        <f t="shared" si="2"/>
        <v>0</v>
      </c>
      <c r="K4" s="479">
        <f t="shared" si="3"/>
        <v>0</v>
      </c>
      <c r="L4" s="479">
        <f t="shared" si="4"/>
        <v>6572671.8600000022</v>
      </c>
      <c r="M4" s="479">
        <f>SUM(Table210[[#This Row],[REQUISITION]:[EXPENDED]])</f>
        <v>6572671.8600000022</v>
      </c>
      <c r="N4" s="479">
        <f t="shared" si="5"/>
        <v>35122598.610000007</v>
      </c>
      <c r="O4" s="479">
        <f t="shared" si="6"/>
        <v>-421647.25999999978</v>
      </c>
    </row>
    <row r="5" spans="1:15" x14ac:dyDescent="0.25">
      <c r="D5" s="545">
        <v>802</v>
      </c>
      <c r="E5" s="211"/>
      <c r="F5" s="212" t="s">
        <v>104</v>
      </c>
      <c r="G5" s="214">
        <f t="shared" si="0"/>
        <v>0</v>
      </c>
      <c r="H5" s="213"/>
      <c r="I5" s="479">
        <f t="shared" si="1"/>
        <v>3483798</v>
      </c>
      <c r="J5" s="479">
        <f t="shared" si="2"/>
        <v>1360594.27</v>
      </c>
      <c r="K5" s="479">
        <f t="shared" si="3"/>
        <v>0</v>
      </c>
      <c r="L5" s="479">
        <f t="shared" si="4"/>
        <v>123203.73</v>
      </c>
      <c r="M5" s="479">
        <f>SUM(Table210[[#This Row],[REQUISITION]:[EXPENDED]])</f>
        <v>1483798</v>
      </c>
      <c r="N5" s="479">
        <f t="shared" si="5"/>
        <v>8861285</v>
      </c>
      <c r="O5" s="479">
        <f t="shared" si="6"/>
        <v>-5377487</v>
      </c>
    </row>
    <row r="6" spans="1:15" x14ac:dyDescent="0.25">
      <c r="D6" s="546">
        <v>803</v>
      </c>
      <c r="E6" s="211"/>
      <c r="F6" s="215" t="s">
        <v>105</v>
      </c>
      <c r="G6" s="214">
        <f t="shared" si="0"/>
        <v>3</v>
      </c>
      <c r="H6" s="213"/>
      <c r="I6" s="479">
        <f t="shared" si="1"/>
        <v>277335.91000000003</v>
      </c>
      <c r="J6" s="479">
        <f t="shared" si="2"/>
        <v>0</v>
      </c>
      <c r="K6" s="479">
        <f t="shared" si="3"/>
        <v>0</v>
      </c>
      <c r="L6" s="479">
        <f t="shared" si="4"/>
        <v>76609.650000000009</v>
      </c>
      <c r="M6" s="479">
        <f>SUM(Table210[[#This Row],[REQUISITION]:[EXPENDED]])</f>
        <v>76609.650000000009</v>
      </c>
      <c r="N6" s="479">
        <f t="shared" si="5"/>
        <v>277335.91000000003</v>
      </c>
      <c r="O6" s="479">
        <f t="shared" si="6"/>
        <v>0</v>
      </c>
    </row>
    <row r="7" spans="1:15" x14ac:dyDescent="0.25">
      <c r="D7" s="545">
        <v>804</v>
      </c>
      <c r="E7" s="211"/>
      <c r="F7" s="212" t="s">
        <v>106</v>
      </c>
      <c r="G7" s="214">
        <f t="shared" si="0"/>
        <v>68</v>
      </c>
      <c r="H7" s="213"/>
      <c r="I7" s="479">
        <f t="shared" si="1"/>
        <v>5245143.8100000005</v>
      </c>
      <c r="J7" s="479">
        <f t="shared" si="2"/>
        <v>0</v>
      </c>
      <c r="K7" s="479">
        <f t="shared" si="3"/>
        <v>0</v>
      </c>
      <c r="L7" s="479">
        <f t="shared" si="4"/>
        <v>1582760.6999999997</v>
      </c>
      <c r="M7" s="479">
        <f>SUM(Table210[[#This Row],[REQUISITION]:[EXPENDED]])</f>
        <v>1582760.6999999997</v>
      </c>
      <c r="N7" s="479">
        <f t="shared" si="5"/>
        <v>5245143.8100000005</v>
      </c>
      <c r="O7" s="479">
        <f t="shared" si="6"/>
        <v>0</v>
      </c>
    </row>
    <row r="8" spans="1:15" x14ac:dyDescent="0.25">
      <c r="D8" s="546">
        <v>805</v>
      </c>
      <c r="E8" s="211"/>
      <c r="F8" s="215" t="s">
        <v>107</v>
      </c>
      <c r="G8" s="214">
        <f t="shared" si="0"/>
        <v>0</v>
      </c>
      <c r="H8" s="213"/>
      <c r="I8" s="479">
        <f t="shared" si="1"/>
        <v>111487.31</v>
      </c>
      <c r="J8" s="479">
        <f t="shared" si="2"/>
        <v>33111.949999999997</v>
      </c>
      <c r="K8" s="479">
        <f t="shared" si="3"/>
        <v>0</v>
      </c>
      <c r="L8" s="479">
        <f t="shared" si="4"/>
        <v>8555.6200000000008</v>
      </c>
      <c r="M8" s="479">
        <f>SUM(Table210[[#This Row],[REQUISITION]:[EXPENDED]])</f>
        <v>41667.57</v>
      </c>
      <c r="N8" s="479">
        <f t="shared" si="5"/>
        <v>111487.31</v>
      </c>
      <c r="O8" s="479">
        <f t="shared" si="6"/>
        <v>0</v>
      </c>
    </row>
    <row r="9" spans="1:15" x14ac:dyDescent="0.25">
      <c r="D9" s="545">
        <v>806</v>
      </c>
      <c r="E9" s="211"/>
      <c r="F9" s="212" t="s">
        <v>108</v>
      </c>
      <c r="G9" s="214">
        <f t="shared" si="0"/>
        <v>0</v>
      </c>
      <c r="H9" s="213"/>
      <c r="I9" s="479">
        <f t="shared" si="1"/>
        <v>688391.47</v>
      </c>
      <c r="J9" s="479">
        <f t="shared" si="2"/>
        <v>75182.929999999978</v>
      </c>
      <c r="K9" s="479">
        <f t="shared" si="3"/>
        <v>496.79</v>
      </c>
      <c r="L9" s="479">
        <f t="shared" si="4"/>
        <v>159588.29999999999</v>
      </c>
      <c r="M9" s="479">
        <f>SUM(Table210[[#This Row],[REQUISITION]:[EXPENDED]])</f>
        <v>235268.01999999996</v>
      </c>
      <c r="N9" s="479">
        <f t="shared" si="5"/>
        <v>688391.47</v>
      </c>
      <c r="O9" s="479">
        <f t="shared" si="6"/>
        <v>0</v>
      </c>
    </row>
    <row r="10" spans="1:15" x14ac:dyDescent="0.25">
      <c r="D10" s="546">
        <v>807</v>
      </c>
      <c r="E10" s="211"/>
      <c r="F10" s="215" t="s">
        <v>109</v>
      </c>
      <c r="G10" s="214">
        <f t="shared" si="0"/>
        <v>0</v>
      </c>
      <c r="H10" s="213"/>
      <c r="I10" s="479">
        <f t="shared" si="1"/>
        <v>0</v>
      </c>
      <c r="J10" s="479">
        <f t="shared" si="2"/>
        <v>0</v>
      </c>
      <c r="K10" s="479">
        <f t="shared" si="3"/>
        <v>0</v>
      </c>
      <c r="L10" s="479">
        <f t="shared" si="4"/>
        <v>0</v>
      </c>
      <c r="M10" s="479">
        <f>SUM(Table210[[#This Row],[REQUISITION]:[EXPENDED]])</f>
        <v>0</v>
      </c>
      <c r="N10" s="479">
        <f t="shared" si="5"/>
        <v>0</v>
      </c>
      <c r="O10" s="479">
        <f t="shared" si="6"/>
        <v>0</v>
      </c>
    </row>
    <row r="11" spans="1:15" x14ac:dyDescent="0.25">
      <c r="D11" s="545">
        <v>808</v>
      </c>
      <c r="E11" s="211"/>
      <c r="F11" s="212" t="s">
        <v>110</v>
      </c>
      <c r="G11" s="214">
        <f t="shared" si="0"/>
        <v>0</v>
      </c>
      <c r="H11" s="213"/>
      <c r="I11" s="479">
        <f t="shared" si="1"/>
        <v>0</v>
      </c>
      <c r="J11" s="479">
        <f t="shared" si="2"/>
        <v>0</v>
      </c>
      <c r="K11" s="479">
        <f t="shared" si="3"/>
        <v>0</v>
      </c>
      <c r="L11" s="479">
        <f t="shared" si="4"/>
        <v>0</v>
      </c>
      <c r="M11" s="479">
        <f>SUM(Table210[[#This Row],[REQUISITION]:[EXPENDED]])</f>
        <v>0</v>
      </c>
      <c r="N11" s="479">
        <f t="shared" si="5"/>
        <v>0</v>
      </c>
      <c r="O11" s="479">
        <f t="shared" si="6"/>
        <v>0</v>
      </c>
    </row>
    <row r="12" spans="1:15" x14ac:dyDescent="0.25">
      <c r="D12" s="546">
        <v>809</v>
      </c>
      <c r="E12" s="211"/>
      <c r="F12" s="215" t="s">
        <v>111</v>
      </c>
      <c r="G12" s="214">
        <f t="shared" si="0"/>
        <v>62</v>
      </c>
      <c r="H12" s="213"/>
      <c r="I12" s="479">
        <f t="shared" si="1"/>
        <v>6179782.1200000029</v>
      </c>
      <c r="J12" s="479">
        <f t="shared" si="2"/>
        <v>0</v>
      </c>
      <c r="K12" s="479">
        <f t="shared" si="3"/>
        <v>0</v>
      </c>
      <c r="L12" s="479">
        <f t="shared" si="4"/>
        <v>1266864.7100000007</v>
      </c>
      <c r="M12" s="479">
        <f>SUM(Table210[[#This Row],[REQUISITION]:[EXPENDED]])</f>
        <v>1266864.7100000007</v>
      </c>
      <c r="N12" s="479">
        <f t="shared" si="5"/>
        <v>6179782.1200000029</v>
      </c>
      <c r="O12" s="479">
        <f t="shared" si="6"/>
        <v>0</v>
      </c>
    </row>
    <row r="13" spans="1:15" x14ac:dyDescent="0.25">
      <c r="D13" s="545">
        <v>810</v>
      </c>
      <c r="E13" s="211"/>
      <c r="F13" s="212" t="s">
        <v>112</v>
      </c>
      <c r="G13" s="214">
        <f t="shared" si="0"/>
        <v>72</v>
      </c>
      <c r="H13" s="213"/>
      <c r="I13" s="479">
        <f t="shared" si="1"/>
        <v>7666421.2799999975</v>
      </c>
      <c r="J13" s="479">
        <f t="shared" si="2"/>
        <v>0</v>
      </c>
      <c r="K13" s="479">
        <f t="shared" si="3"/>
        <v>0</v>
      </c>
      <c r="L13" s="479">
        <f t="shared" si="4"/>
        <v>1594700.1199999994</v>
      </c>
      <c r="M13" s="479">
        <f>SUM(Table210[[#This Row],[REQUISITION]:[EXPENDED]])</f>
        <v>1594700.1199999994</v>
      </c>
      <c r="N13" s="479">
        <f t="shared" si="5"/>
        <v>7666421.2799999975</v>
      </c>
      <c r="O13" s="479">
        <f t="shared" si="6"/>
        <v>0</v>
      </c>
    </row>
    <row r="14" spans="1:15" x14ac:dyDescent="0.25">
      <c r="D14" s="546">
        <v>811</v>
      </c>
      <c r="E14" s="211"/>
      <c r="F14" s="215" t="s">
        <v>113</v>
      </c>
      <c r="G14" s="214">
        <f t="shared" si="0"/>
        <v>0</v>
      </c>
      <c r="H14" s="213"/>
      <c r="I14" s="479">
        <f t="shared" si="1"/>
        <v>11120</v>
      </c>
      <c r="J14" s="479">
        <f t="shared" si="2"/>
        <v>0</v>
      </c>
      <c r="K14" s="479">
        <f t="shared" si="3"/>
        <v>0</v>
      </c>
      <c r="L14" s="479">
        <f t="shared" si="4"/>
        <v>0</v>
      </c>
      <c r="M14" s="479">
        <f>SUM(Table210[[#This Row],[REQUISITION]:[EXPENDED]])</f>
        <v>0</v>
      </c>
      <c r="N14" s="479">
        <f t="shared" si="5"/>
        <v>11120</v>
      </c>
      <c r="O14" s="479">
        <f t="shared" si="6"/>
        <v>0</v>
      </c>
    </row>
    <row r="15" spans="1:15" x14ac:dyDescent="0.25">
      <c r="D15" s="545">
        <v>812</v>
      </c>
      <c r="E15" s="211"/>
      <c r="F15" s="212" t="s">
        <v>114</v>
      </c>
      <c r="G15" s="214">
        <f t="shared" si="0"/>
        <v>16</v>
      </c>
      <c r="H15" s="213"/>
      <c r="I15" s="479">
        <f t="shared" si="1"/>
        <v>1612776.5</v>
      </c>
      <c r="J15" s="479">
        <f t="shared" si="2"/>
        <v>0</v>
      </c>
      <c r="K15" s="479">
        <f t="shared" si="3"/>
        <v>0</v>
      </c>
      <c r="L15" s="479">
        <f t="shared" si="4"/>
        <v>311027.80000000005</v>
      </c>
      <c r="M15" s="479">
        <f>SUM(Table210[[#This Row],[REQUISITION]:[EXPENDED]])</f>
        <v>311027.80000000005</v>
      </c>
      <c r="N15" s="479">
        <f t="shared" si="5"/>
        <v>1612776.5</v>
      </c>
      <c r="O15" s="479">
        <f t="shared" si="6"/>
        <v>0</v>
      </c>
    </row>
    <row r="16" spans="1:15" x14ac:dyDescent="0.25">
      <c r="D16" s="546">
        <v>813</v>
      </c>
      <c r="E16" s="211"/>
      <c r="F16" s="215" t="s">
        <v>115</v>
      </c>
      <c r="G16" s="214">
        <f t="shared" si="0"/>
        <v>40</v>
      </c>
      <c r="H16" s="213"/>
      <c r="I16" s="479">
        <f t="shared" si="1"/>
        <v>3921563.13</v>
      </c>
      <c r="J16" s="479">
        <f t="shared" si="2"/>
        <v>0</v>
      </c>
      <c r="K16" s="479">
        <f t="shared" si="3"/>
        <v>0</v>
      </c>
      <c r="L16" s="479">
        <f t="shared" si="4"/>
        <v>783226.33000000007</v>
      </c>
      <c r="M16" s="479">
        <f>SUM(Table210[[#This Row],[REQUISITION]:[EXPENDED]])</f>
        <v>783226.33000000007</v>
      </c>
      <c r="N16" s="479">
        <f t="shared" si="5"/>
        <v>3921563.13</v>
      </c>
      <c r="O16" s="479">
        <f t="shared" si="6"/>
        <v>0</v>
      </c>
    </row>
    <row r="17" spans="4:15" x14ac:dyDescent="0.25">
      <c r="D17" s="545">
        <v>814</v>
      </c>
      <c r="E17" s="211"/>
      <c r="F17" s="212" t="s">
        <v>116</v>
      </c>
      <c r="G17" s="214">
        <f t="shared" si="0"/>
        <v>23</v>
      </c>
      <c r="H17" s="213"/>
      <c r="I17" s="479">
        <f t="shared" si="1"/>
        <v>2044977.24</v>
      </c>
      <c r="J17" s="479">
        <f t="shared" si="2"/>
        <v>0</v>
      </c>
      <c r="K17" s="479">
        <f t="shared" si="3"/>
        <v>0</v>
      </c>
      <c r="L17" s="479">
        <f t="shared" si="4"/>
        <v>437208.14000000007</v>
      </c>
      <c r="M17" s="479">
        <f>SUM(Table210[[#This Row],[REQUISITION]:[EXPENDED]])</f>
        <v>437208.14000000007</v>
      </c>
      <c r="N17" s="479">
        <f t="shared" si="5"/>
        <v>2044977.24</v>
      </c>
      <c r="O17" s="479">
        <f t="shared" si="6"/>
        <v>0</v>
      </c>
    </row>
    <row r="18" spans="4:15" x14ac:dyDescent="0.25">
      <c r="D18" s="546">
        <v>815</v>
      </c>
      <c r="E18" s="211"/>
      <c r="F18" s="215" t="s">
        <v>117</v>
      </c>
      <c r="G18" s="214">
        <f t="shared" si="0"/>
        <v>78</v>
      </c>
      <c r="H18" s="213"/>
      <c r="I18" s="479">
        <f t="shared" si="1"/>
        <v>7727147.7599999998</v>
      </c>
      <c r="J18" s="479">
        <f t="shared" si="2"/>
        <v>0</v>
      </c>
      <c r="K18" s="479">
        <f t="shared" si="3"/>
        <v>0</v>
      </c>
      <c r="L18" s="479">
        <f t="shared" si="4"/>
        <v>1555409.4500000002</v>
      </c>
      <c r="M18" s="479">
        <f>SUM(Table210[[#This Row],[REQUISITION]:[EXPENDED]])</f>
        <v>1555409.4500000002</v>
      </c>
      <c r="N18" s="479">
        <f t="shared" si="5"/>
        <v>7727147.7599999998</v>
      </c>
      <c r="O18" s="479">
        <f t="shared" si="6"/>
        <v>0</v>
      </c>
    </row>
    <row r="19" spans="4:15" x14ac:dyDescent="0.25">
      <c r="D19" s="545">
        <v>816</v>
      </c>
      <c r="E19" s="211"/>
      <c r="F19" s="212" t="s">
        <v>118</v>
      </c>
      <c r="G19" s="214">
        <f t="shared" si="0"/>
        <v>68.7</v>
      </c>
      <c r="H19" s="213"/>
      <c r="I19" s="479">
        <f t="shared" si="1"/>
        <v>7010307.7599999998</v>
      </c>
      <c r="J19" s="479">
        <f t="shared" si="2"/>
        <v>0</v>
      </c>
      <c r="K19" s="479">
        <f t="shared" si="3"/>
        <v>0</v>
      </c>
      <c r="L19" s="479">
        <f t="shared" si="4"/>
        <v>1459128.4800000002</v>
      </c>
      <c r="M19" s="479">
        <f>SUM(Table210[[#This Row],[REQUISITION]:[EXPENDED]])</f>
        <v>1459128.4800000002</v>
      </c>
      <c r="N19" s="479">
        <f t="shared" si="5"/>
        <v>7010307.7599999998</v>
      </c>
      <c r="O19" s="479">
        <f t="shared" si="6"/>
        <v>0</v>
      </c>
    </row>
    <row r="20" spans="4:15" x14ac:dyDescent="0.25">
      <c r="D20" s="546">
        <v>817</v>
      </c>
      <c r="E20" s="211"/>
      <c r="F20" s="215" t="s">
        <v>119</v>
      </c>
      <c r="G20" s="214">
        <f t="shared" si="0"/>
        <v>46</v>
      </c>
      <c r="H20" s="213"/>
      <c r="I20" s="479">
        <f t="shared" si="1"/>
        <v>4524275.2300000004</v>
      </c>
      <c r="J20" s="479">
        <f t="shared" si="2"/>
        <v>0</v>
      </c>
      <c r="K20" s="479">
        <f t="shared" si="3"/>
        <v>0</v>
      </c>
      <c r="L20" s="479">
        <f t="shared" si="4"/>
        <v>929762.01</v>
      </c>
      <c r="M20" s="479">
        <f>SUM(Table210[[#This Row],[REQUISITION]:[EXPENDED]])</f>
        <v>929762.01</v>
      </c>
      <c r="N20" s="479">
        <f t="shared" si="5"/>
        <v>4524275.2300000004</v>
      </c>
      <c r="O20" s="479">
        <f t="shared" si="6"/>
        <v>0</v>
      </c>
    </row>
    <row r="21" spans="4:15" x14ac:dyDescent="0.25">
      <c r="D21" s="545">
        <v>818</v>
      </c>
      <c r="E21" s="211"/>
      <c r="F21" s="212" t="s">
        <v>120</v>
      </c>
      <c r="G21" s="214">
        <f t="shared" si="0"/>
        <v>66</v>
      </c>
      <c r="H21" s="213"/>
      <c r="I21" s="479">
        <f t="shared" si="1"/>
        <v>6149426.2700000005</v>
      </c>
      <c r="J21" s="479">
        <f t="shared" si="2"/>
        <v>0</v>
      </c>
      <c r="K21" s="479">
        <f t="shared" si="3"/>
        <v>0</v>
      </c>
      <c r="L21" s="479">
        <f t="shared" si="4"/>
        <v>1231091.5900000005</v>
      </c>
      <c r="M21" s="479">
        <f>SUM(Table210[[#This Row],[REQUISITION]:[EXPENDED]])</f>
        <v>1231091.5900000005</v>
      </c>
      <c r="N21" s="479">
        <f t="shared" si="5"/>
        <v>6149426.2700000005</v>
      </c>
      <c r="O21" s="479">
        <f t="shared" si="6"/>
        <v>0</v>
      </c>
    </row>
    <row r="22" spans="4:15" x14ac:dyDescent="0.25">
      <c r="D22" s="546">
        <v>819</v>
      </c>
      <c r="E22" s="211"/>
      <c r="F22" s="215" t="s">
        <v>121</v>
      </c>
      <c r="G22" s="214">
        <f t="shared" si="0"/>
        <v>48</v>
      </c>
      <c r="H22" s="213"/>
      <c r="I22" s="479">
        <f t="shared" si="1"/>
        <v>5035440.18</v>
      </c>
      <c r="J22" s="479">
        <f t="shared" si="2"/>
        <v>0</v>
      </c>
      <c r="K22" s="479">
        <f t="shared" si="3"/>
        <v>0</v>
      </c>
      <c r="L22" s="479">
        <f t="shared" si="4"/>
        <v>1020030.7100000001</v>
      </c>
      <c r="M22" s="479">
        <f>SUM(Table210[[#This Row],[REQUISITION]:[EXPENDED]])</f>
        <v>1020030.7100000001</v>
      </c>
      <c r="N22" s="479">
        <f t="shared" si="5"/>
        <v>5035440.18</v>
      </c>
      <c r="O22" s="479">
        <f t="shared" si="6"/>
        <v>0</v>
      </c>
    </row>
    <row r="23" spans="4:15" x14ac:dyDescent="0.25">
      <c r="D23" s="545">
        <v>820</v>
      </c>
      <c r="E23" s="211"/>
      <c r="F23" s="212" t="s">
        <v>122</v>
      </c>
      <c r="G23" s="214">
        <f t="shared" si="0"/>
        <v>7</v>
      </c>
      <c r="H23" s="213"/>
      <c r="I23" s="479">
        <f t="shared" si="1"/>
        <v>789975.0299999998</v>
      </c>
      <c r="J23" s="479">
        <f t="shared" si="2"/>
        <v>0</v>
      </c>
      <c r="K23" s="479">
        <f t="shared" si="3"/>
        <v>0</v>
      </c>
      <c r="L23" s="479">
        <f t="shared" si="4"/>
        <v>158039.51</v>
      </c>
      <c r="M23" s="479">
        <f>SUM(Table210[[#This Row],[REQUISITION]:[EXPENDED]])</f>
        <v>158039.51</v>
      </c>
      <c r="N23" s="479">
        <f t="shared" si="5"/>
        <v>789975.0299999998</v>
      </c>
      <c r="O23" s="479">
        <f t="shared" si="6"/>
        <v>0</v>
      </c>
    </row>
    <row r="24" spans="4:15" x14ac:dyDescent="0.25">
      <c r="D24" s="546">
        <v>821</v>
      </c>
      <c r="E24" s="211"/>
      <c r="F24" s="215" t="s">
        <v>123</v>
      </c>
      <c r="G24" s="214">
        <f t="shared" si="0"/>
        <v>0</v>
      </c>
      <c r="H24" s="213"/>
      <c r="I24" s="479">
        <f t="shared" si="1"/>
        <v>0</v>
      </c>
      <c r="J24" s="479">
        <f t="shared" si="2"/>
        <v>0</v>
      </c>
      <c r="K24" s="479">
        <f t="shared" si="3"/>
        <v>0</v>
      </c>
      <c r="L24" s="479">
        <f t="shared" si="4"/>
        <v>0</v>
      </c>
      <c r="M24" s="479">
        <f>SUM(Table210[[#This Row],[REQUISITION]:[EXPENDED]])</f>
        <v>0</v>
      </c>
      <c r="N24" s="479">
        <f t="shared" si="5"/>
        <v>0</v>
      </c>
      <c r="O24" s="479">
        <f t="shared" si="6"/>
        <v>0</v>
      </c>
    </row>
    <row r="25" spans="4:15" x14ac:dyDescent="0.25">
      <c r="D25" s="545">
        <v>822</v>
      </c>
      <c r="E25" s="211"/>
      <c r="F25" s="212" t="s">
        <v>124</v>
      </c>
      <c r="G25" s="214">
        <f t="shared" si="0"/>
        <v>6.4</v>
      </c>
      <c r="H25" s="213"/>
      <c r="I25" s="479">
        <f t="shared" si="1"/>
        <v>752275.05999999994</v>
      </c>
      <c r="J25" s="479">
        <f t="shared" si="2"/>
        <v>2854.94</v>
      </c>
      <c r="K25" s="479">
        <f t="shared" si="3"/>
        <v>0</v>
      </c>
      <c r="L25" s="479">
        <f t="shared" si="4"/>
        <v>160349.38</v>
      </c>
      <c r="M25" s="479">
        <f>SUM(Table210[[#This Row],[REQUISITION]:[EXPENDED]])</f>
        <v>163204.32</v>
      </c>
      <c r="N25" s="479">
        <f t="shared" si="5"/>
        <v>752275.05999999994</v>
      </c>
      <c r="O25" s="479">
        <f t="shared" si="6"/>
        <v>0</v>
      </c>
    </row>
    <row r="26" spans="4:15" x14ac:dyDescent="0.25">
      <c r="D26" s="546">
        <v>823</v>
      </c>
      <c r="E26" s="211"/>
      <c r="F26" s="215" t="s">
        <v>125</v>
      </c>
      <c r="G26" s="214">
        <f t="shared" si="0"/>
        <v>4</v>
      </c>
      <c r="H26" s="213"/>
      <c r="I26" s="479">
        <f t="shared" si="1"/>
        <v>310735.38</v>
      </c>
      <c r="J26" s="479">
        <f t="shared" si="2"/>
        <v>0</v>
      </c>
      <c r="K26" s="479">
        <f t="shared" si="3"/>
        <v>0</v>
      </c>
      <c r="L26" s="479">
        <f t="shared" si="4"/>
        <v>62569.97</v>
      </c>
      <c r="M26" s="479">
        <f>SUM(Table210[[#This Row],[REQUISITION]:[EXPENDED]])</f>
        <v>62569.97</v>
      </c>
      <c r="N26" s="479">
        <f t="shared" si="5"/>
        <v>310735.38</v>
      </c>
      <c r="O26" s="479">
        <f t="shared" si="6"/>
        <v>0</v>
      </c>
    </row>
    <row r="27" spans="4:15" x14ac:dyDescent="0.25">
      <c r="D27" s="545">
        <v>824</v>
      </c>
      <c r="E27" s="211"/>
      <c r="F27" s="212" t="s">
        <v>126</v>
      </c>
      <c r="G27" s="214">
        <f t="shared" si="0"/>
        <v>0</v>
      </c>
      <c r="H27" s="213"/>
      <c r="I27" s="479">
        <f t="shared" si="1"/>
        <v>0</v>
      </c>
      <c r="J27" s="479">
        <f t="shared" si="2"/>
        <v>0</v>
      </c>
      <c r="K27" s="479">
        <f t="shared" si="3"/>
        <v>0</v>
      </c>
      <c r="L27" s="479">
        <f t="shared" si="4"/>
        <v>0</v>
      </c>
      <c r="M27" s="479">
        <f>SUM(Table210[[#This Row],[REQUISITION]:[EXPENDED]])</f>
        <v>0</v>
      </c>
      <c r="N27" s="479">
        <f t="shared" si="5"/>
        <v>0</v>
      </c>
      <c r="O27" s="479">
        <f t="shared" si="6"/>
        <v>0</v>
      </c>
    </row>
    <row r="28" spans="4:15" x14ac:dyDescent="0.25">
      <c r="D28" s="546">
        <v>825</v>
      </c>
      <c r="E28" s="211"/>
      <c r="F28" s="215" t="s">
        <v>127</v>
      </c>
      <c r="G28" s="214">
        <f t="shared" si="0"/>
        <v>2</v>
      </c>
      <c r="H28" s="213"/>
      <c r="I28" s="479">
        <f t="shared" si="1"/>
        <v>281478.32</v>
      </c>
      <c r="J28" s="479">
        <f t="shared" si="2"/>
        <v>0</v>
      </c>
      <c r="K28" s="479">
        <f t="shared" si="3"/>
        <v>0</v>
      </c>
      <c r="L28" s="479">
        <f t="shared" si="4"/>
        <v>56726.880000000005</v>
      </c>
      <c r="M28" s="479">
        <f>SUM(Table210[[#This Row],[REQUISITION]:[EXPENDED]])</f>
        <v>56726.880000000005</v>
      </c>
      <c r="N28" s="479">
        <f t="shared" si="5"/>
        <v>281478.32</v>
      </c>
      <c r="O28" s="479">
        <f t="shared" si="6"/>
        <v>0</v>
      </c>
    </row>
    <row r="29" spans="4:15" x14ac:dyDescent="0.25">
      <c r="D29" s="545">
        <v>826</v>
      </c>
      <c r="E29" s="211"/>
      <c r="F29" s="212" t="s">
        <v>128</v>
      </c>
      <c r="G29" s="214">
        <f t="shared" si="0"/>
        <v>0</v>
      </c>
      <c r="H29" s="213"/>
      <c r="I29" s="479">
        <f t="shared" si="1"/>
        <v>8944.34</v>
      </c>
      <c r="J29" s="479">
        <f t="shared" si="2"/>
        <v>0</v>
      </c>
      <c r="K29" s="479">
        <f t="shared" si="3"/>
        <v>0</v>
      </c>
      <c r="L29" s="479">
        <f t="shared" si="4"/>
        <v>703.05</v>
      </c>
      <c r="M29" s="479">
        <f>SUM(Table210[[#This Row],[REQUISITION]:[EXPENDED]])</f>
        <v>703.05</v>
      </c>
      <c r="N29" s="479">
        <f t="shared" si="5"/>
        <v>8944.34</v>
      </c>
      <c r="O29" s="479">
        <f t="shared" si="6"/>
        <v>0</v>
      </c>
    </row>
    <row r="30" spans="4:15" x14ac:dyDescent="0.25">
      <c r="D30" s="546">
        <v>827</v>
      </c>
      <c r="E30" s="211"/>
      <c r="F30" s="215" t="s">
        <v>129</v>
      </c>
      <c r="G30" s="214">
        <f t="shared" si="0"/>
        <v>135</v>
      </c>
      <c r="H30" s="213"/>
      <c r="I30" s="479">
        <f t="shared" si="1"/>
        <v>27881366.850000001</v>
      </c>
      <c r="J30" s="479">
        <f t="shared" si="2"/>
        <v>8469420.7899999991</v>
      </c>
      <c r="K30" s="479">
        <f t="shared" si="3"/>
        <v>75000</v>
      </c>
      <c r="L30" s="479">
        <f t="shared" si="4"/>
        <v>4075140.7099999995</v>
      </c>
      <c r="M30" s="479">
        <f>SUM(Table210[[#This Row],[REQUISITION]:[EXPENDED]])</f>
        <v>12619561.499999998</v>
      </c>
      <c r="N30" s="479">
        <f t="shared" si="5"/>
        <v>45891895.779999979</v>
      </c>
      <c r="O30" s="479">
        <f t="shared" si="6"/>
        <v>-18010528.93</v>
      </c>
    </row>
    <row r="31" spans="4:15" x14ac:dyDescent="0.25">
      <c r="D31" s="545">
        <v>828</v>
      </c>
      <c r="E31" s="211"/>
      <c r="F31" s="212" t="s">
        <v>130</v>
      </c>
      <c r="G31" s="214">
        <f t="shared" si="0"/>
        <v>4</v>
      </c>
      <c r="H31" s="213"/>
      <c r="I31" s="479">
        <f t="shared" si="1"/>
        <v>684202.12999999989</v>
      </c>
      <c r="J31" s="479">
        <f t="shared" si="2"/>
        <v>0</v>
      </c>
      <c r="K31" s="479">
        <f t="shared" si="3"/>
        <v>0</v>
      </c>
      <c r="L31" s="479">
        <f t="shared" si="4"/>
        <v>182702.03</v>
      </c>
      <c r="M31" s="479">
        <f>SUM(Table210[[#This Row],[REQUISITION]:[EXPENDED]])</f>
        <v>182702.03</v>
      </c>
      <c r="N31" s="479">
        <f t="shared" si="5"/>
        <v>684202.12999999989</v>
      </c>
      <c r="O31" s="479">
        <f t="shared" si="6"/>
        <v>0</v>
      </c>
    </row>
    <row r="32" spans="4:15" x14ac:dyDescent="0.25">
      <c r="D32" s="546">
        <v>829</v>
      </c>
      <c r="E32" s="211"/>
      <c r="F32" s="215" t="s">
        <v>131</v>
      </c>
      <c r="G32" s="214">
        <f t="shared" si="0"/>
        <v>80</v>
      </c>
      <c r="H32" s="213"/>
      <c r="I32" s="479">
        <f t="shared" si="1"/>
        <v>4907732.7600000007</v>
      </c>
      <c r="J32" s="479">
        <f t="shared" si="2"/>
        <v>0</v>
      </c>
      <c r="K32" s="479">
        <f t="shared" si="3"/>
        <v>0</v>
      </c>
      <c r="L32" s="479">
        <f t="shared" si="4"/>
        <v>1334429.69</v>
      </c>
      <c r="M32" s="479">
        <f>SUM(Table210[[#This Row],[REQUISITION]:[EXPENDED]])</f>
        <v>1334429.69</v>
      </c>
      <c r="N32" s="479">
        <f t="shared" si="5"/>
        <v>4907732.7600000007</v>
      </c>
      <c r="O32" s="479">
        <f t="shared" si="6"/>
        <v>0</v>
      </c>
    </row>
    <row r="33" spans="4:15" x14ac:dyDescent="0.25">
      <c r="D33" s="545">
        <v>830</v>
      </c>
      <c r="E33" s="211"/>
      <c r="F33" s="212" t="s">
        <v>132</v>
      </c>
      <c r="G33" s="214">
        <f t="shared" si="0"/>
        <v>3</v>
      </c>
      <c r="H33" s="213"/>
      <c r="I33" s="479">
        <f t="shared" si="1"/>
        <v>318242.46999999997</v>
      </c>
      <c r="J33" s="479">
        <f t="shared" si="2"/>
        <v>0</v>
      </c>
      <c r="K33" s="479">
        <f t="shared" si="3"/>
        <v>0</v>
      </c>
      <c r="L33" s="479">
        <f t="shared" si="4"/>
        <v>96966.38</v>
      </c>
      <c r="M33" s="479">
        <f>SUM(Table210[[#This Row],[REQUISITION]:[EXPENDED]])</f>
        <v>96966.38</v>
      </c>
      <c r="N33" s="479">
        <f t="shared" si="5"/>
        <v>318242.46999999997</v>
      </c>
      <c r="O33" s="479">
        <f t="shared" si="6"/>
        <v>0</v>
      </c>
    </row>
    <row r="34" spans="4:15" x14ac:dyDescent="0.25">
      <c r="D34" s="546">
        <v>831</v>
      </c>
      <c r="E34" s="211"/>
      <c r="F34" s="215" t="s">
        <v>133</v>
      </c>
      <c r="G34" s="214">
        <f t="shared" si="0"/>
        <v>2</v>
      </c>
      <c r="H34" s="213"/>
      <c r="I34" s="479">
        <f t="shared" si="1"/>
        <v>579329.36</v>
      </c>
      <c r="J34" s="479">
        <f t="shared" si="2"/>
        <v>0</v>
      </c>
      <c r="K34" s="479">
        <f t="shared" si="3"/>
        <v>0</v>
      </c>
      <c r="L34" s="479">
        <f t="shared" si="4"/>
        <v>579207.94999999995</v>
      </c>
      <c r="M34" s="479">
        <f>SUM(Table210[[#This Row],[REQUISITION]:[EXPENDED]])</f>
        <v>579207.94999999995</v>
      </c>
      <c r="N34" s="479">
        <f t="shared" si="5"/>
        <v>579329.36</v>
      </c>
      <c r="O34" s="479">
        <f t="shared" si="6"/>
        <v>0</v>
      </c>
    </row>
    <row r="35" spans="4:15" x14ac:dyDescent="0.25">
      <c r="D35" s="545">
        <v>832</v>
      </c>
      <c r="E35" s="211"/>
      <c r="F35" s="212" t="s">
        <v>134</v>
      </c>
      <c r="G35" s="214">
        <f t="shared" ref="G35:G66" si="7">SUMIF($D$127:$D$4732,$D35,$G$127:$G$4732)</f>
        <v>3</v>
      </c>
      <c r="H35" s="213"/>
      <c r="I35" s="479">
        <f t="shared" ref="I35:I66" si="8">SUMIF($D$127:$D$4077,$D35,$I$127:$I$4077)</f>
        <v>263173.60000000003</v>
      </c>
      <c r="J35" s="479">
        <f t="shared" ref="J35:J66" si="9">SUMIF($D$127:$D$4732,$D35,$J$127:$J$4732)</f>
        <v>0</v>
      </c>
      <c r="K35" s="479">
        <f t="shared" ref="K35:K66" si="10">SUMIF($D$127:$D$4732,$D35,$K$127:$K$4732)</f>
        <v>0</v>
      </c>
      <c r="L35" s="479">
        <f t="shared" ref="L35:L66" si="11">SUMIF($D$127:$D$4732,$D35,$L$127:$L$4732)</f>
        <v>60858.7</v>
      </c>
      <c r="M35" s="479">
        <f>SUM(Table210[[#This Row],[REQUISITION]:[EXPENDED]])</f>
        <v>60858.7</v>
      </c>
      <c r="N35" s="479">
        <f t="shared" ref="N35:N66" si="12">SUMIF($D$127:$D$4732,$D35,$N$127:$N$4732)</f>
        <v>263173.60000000003</v>
      </c>
      <c r="O35" s="479">
        <f t="shared" ref="O35:O66" si="13">SUMIF($D$127:$D$4732,$D35,$O$127:$O$4732)</f>
        <v>0</v>
      </c>
    </row>
    <row r="36" spans="4:15" x14ac:dyDescent="0.25">
      <c r="D36" s="546">
        <v>833</v>
      </c>
      <c r="E36" s="211"/>
      <c r="F36" s="215" t="s">
        <v>135</v>
      </c>
      <c r="G36" s="214">
        <f t="shared" si="7"/>
        <v>0</v>
      </c>
      <c r="H36" s="213"/>
      <c r="I36" s="479">
        <f t="shared" si="8"/>
        <v>0</v>
      </c>
      <c r="J36" s="479">
        <f t="shared" si="9"/>
        <v>0</v>
      </c>
      <c r="K36" s="479">
        <f t="shared" si="10"/>
        <v>0</v>
      </c>
      <c r="L36" s="479">
        <f t="shared" si="11"/>
        <v>0</v>
      </c>
      <c r="M36" s="479">
        <f>SUM(Table210[[#This Row],[REQUISITION]:[EXPENDED]])</f>
        <v>0</v>
      </c>
      <c r="N36" s="479">
        <f t="shared" si="12"/>
        <v>0</v>
      </c>
      <c r="O36" s="479">
        <f t="shared" si="13"/>
        <v>0</v>
      </c>
    </row>
    <row r="37" spans="4:15" x14ac:dyDescent="0.25">
      <c r="D37" s="545">
        <v>834</v>
      </c>
      <c r="E37" s="211"/>
      <c r="F37" s="212" t="s">
        <v>233</v>
      </c>
      <c r="G37" s="214">
        <f t="shared" si="7"/>
        <v>0</v>
      </c>
      <c r="H37" s="213"/>
      <c r="I37" s="479">
        <f t="shared" si="8"/>
        <v>6200</v>
      </c>
      <c r="J37" s="479">
        <f t="shared" si="9"/>
        <v>0</v>
      </c>
      <c r="K37" s="479">
        <f t="shared" si="10"/>
        <v>0</v>
      </c>
      <c r="L37" s="479">
        <f t="shared" si="11"/>
        <v>0</v>
      </c>
      <c r="M37" s="479">
        <f>SUM(Table210[[#This Row],[REQUISITION]:[EXPENDED]])</f>
        <v>0</v>
      </c>
      <c r="N37" s="479">
        <f t="shared" si="12"/>
        <v>6200</v>
      </c>
      <c r="O37" s="479">
        <f t="shared" si="13"/>
        <v>0</v>
      </c>
    </row>
    <row r="38" spans="4:15" x14ac:dyDescent="0.25">
      <c r="D38" s="546">
        <v>835</v>
      </c>
      <c r="E38" s="211"/>
      <c r="F38" s="215" t="s">
        <v>137</v>
      </c>
      <c r="G38" s="214">
        <f t="shared" si="7"/>
        <v>15</v>
      </c>
      <c r="H38" s="213"/>
      <c r="I38" s="479">
        <f t="shared" si="8"/>
        <v>205633.70999999993</v>
      </c>
      <c r="J38" s="479">
        <f t="shared" si="9"/>
        <v>115578.97</v>
      </c>
      <c r="K38" s="479">
        <f t="shared" si="10"/>
        <v>199</v>
      </c>
      <c r="L38" s="479">
        <f t="shared" si="11"/>
        <v>389873.57</v>
      </c>
      <c r="M38" s="479">
        <f>SUM(Table210[[#This Row],[REQUISITION]:[EXPENDED]])</f>
        <v>505651.54000000004</v>
      </c>
      <c r="N38" s="479">
        <f t="shared" si="12"/>
        <v>-305661.87000000011</v>
      </c>
      <c r="O38" s="479">
        <f t="shared" si="13"/>
        <v>511295.58</v>
      </c>
    </row>
    <row r="39" spans="4:15" x14ac:dyDescent="0.25">
      <c r="D39" s="545">
        <v>836</v>
      </c>
      <c r="E39" s="211"/>
      <c r="F39" s="212" t="s">
        <v>138</v>
      </c>
      <c r="G39" s="214">
        <f t="shared" si="7"/>
        <v>11</v>
      </c>
      <c r="H39" s="213"/>
      <c r="I39" s="479">
        <f t="shared" si="8"/>
        <v>364691.06</v>
      </c>
      <c r="J39" s="479">
        <f t="shared" si="9"/>
        <v>0</v>
      </c>
      <c r="K39" s="479">
        <f t="shared" si="10"/>
        <v>0</v>
      </c>
      <c r="L39" s="479">
        <f t="shared" si="11"/>
        <v>104155.85</v>
      </c>
      <c r="M39" s="479">
        <f>SUM(Table210[[#This Row],[REQUISITION]:[EXPENDED]])</f>
        <v>104155.85</v>
      </c>
      <c r="N39" s="479">
        <f t="shared" si="12"/>
        <v>364691.06</v>
      </c>
      <c r="O39" s="479">
        <f t="shared" si="13"/>
        <v>0</v>
      </c>
    </row>
    <row r="40" spans="4:15" x14ac:dyDescent="0.25">
      <c r="D40" s="546">
        <v>837</v>
      </c>
      <c r="E40" s="211"/>
      <c r="F40" s="215" t="s">
        <v>139</v>
      </c>
      <c r="G40" s="214">
        <f t="shared" si="7"/>
        <v>0</v>
      </c>
      <c r="H40" s="213"/>
      <c r="I40" s="479">
        <f t="shared" si="8"/>
        <v>513855</v>
      </c>
      <c r="J40" s="479">
        <f t="shared" si="9"/>
        <v>0</v>
      </c>
      <c r="K40" s="479">
        <f t="shared" si="10"/>
        <v>0</v>
      </c>
      <c r="L40" s="479">
        <f t="shared" si="11"/>
        <v>0</v>
      </c>
      <c r="M40" s="479">
        <f>SUM(Table210[[#This Row],[REQUISITION]:[EXPENDED]])</f>
        <v>0</v>
      </c>
      <c r="N40" s="479">
        <f t="shared" si="12"/>
        <v>491375.83</v>
      </c>
      <c r="O40" s="479">
        <f t="shared" si="13"/>
        <v>22479.169999999984</v>
      </c>
    </row>
    <row r="41" spans="4:15" x14ac:dyDescent="0.25">
      <c r="D41" s="545">
        <v>838</v>
      </c>
      <c r="E41" s="211"/>
      <c r="F41" s="212" t="s">
        <v>140</v>
      </c>
      <c r="G41" s="214">
        <f t="shared" si="7"/>
        <v>0</v>
      </c>
      <c r="H41" s="213"/>
      <c r="I41" s="479">
        <f t="shared" si="8"/>
        <v>0</v>
      </c>
      <c r="J41" s="479">
        <f t="shared" si="9"/>
        <v>0</v>
      </c>
      <c r="K41" s="479">
        <f t="shared" si="10"/>
        <v>0</v>
      </c>
      <c r="L41" s="479">
        <f t="shared" si="11"/>
        <v>0</v>
      </c>
      <c r="M41" s="479">
        <f>SUM(Table210[[#This Row],[REQUISITION]:[EXPENDED]])</f>
        <v>0</v>
      </c>
      <c r="N41" s="479">
        <f t="shared" si="12"/>
        <v>-798000</v>
      </c>
      <c r="O41" s="479">
        <f t="shared" si="13"/>
        <v>798000</v>
      </c>
    </row>
    <row r="42" spans="4:15" x14ac:dyDescent="0.25">
      <c r="D42" s="546">
        <v>839</v>
      </c>
      <c r="E42" s="211"/>
      <c r="F42" s="215" t="s">
        <v>141</v>
      </c>
      <c r="G42" s="214">
        <f t="shared" si="7"/>
        <v>4</v>
      </c>
      <c r="H42" s="213"/>
      <c r="I42" s="479">
        <f t="shared" si="8"/>
        <v>463601.04000000004</v>
      </c>
      <c r="J42" s="479">
        <f t="shared" si="9"/>
        <v>0</v>
      </c>
      <c r="K42" s="479">
        <f t="shared" si="10"/>
        <v>0</v>
      </c>
      <c r="L42" s="479">
        <f t="shared" si="11"/>
        <v>92579.51</v>
      </c>
      <c r="M42" s="479">
        <f>SUM(Table210[[#This Row],[REQUISITION]:[EXPENDED]])</f>
        <v>92579.51</v>
      </c>
      <c r="N42" s="479">
        <f t="shared" si="12"/>
        <v>463601.04000000004</v>
      </c>
      <c r="O42" s="479">
        <f t="shared" si="13"/>
        <v>0</v>
      </c>
    </row>
    <row r="43" spans="4:15" x14ac:dyDescent="0.25">
      <c r="D43" s="545">
        <v>840</v>
      </c>
      <c r="E43" s="211"/>
      <c r="F43" s="212" t="s">
        <v>142</v>
      </c>
      <c r="G43" s="214">
        <f t="shared" si="7"/>
        <v>0</v>
      </c>
      <c r="H43" s="213"/>
      <c r="I43" s="479">
        <f t="shared" si="8"/>
        <v>1172593.2</v>
      </c>
      <c r="J43" s="479">
        <f t="shared" si="9"/>
        <v>781850</v>
      </c>
      <c r="K43" s="479">
        <f t="shared" si="10"/>
        <v>0</v>
      </c>
      <c r="L43" s="523">
        <f t="shared" si="11"/>
        <v>0</v>
      </c>
      <c r="M43" s="523">
        <f>SUM(Table210[[#This Row],[REQUISITION]:[EXPENDED]])</f>
        <v>781850</v>
      </c>
      <c r="N43" s="479">
        <f t="shared" si="12"/>
        <v>1527691.89</v>
      </c>
      <c r="O43" s="523">
        <f t="shared" si="13"/>
        <v>-355098.68999999994</v>
      </c>
    </row>
    <row r="44" spans="4:15" x14ac:dyDescent="0.25">
      <c r="D44" s="546">
        <v>841</v>
      </c>
      <c r="E44" s="211"/>
      <c r="F44" s="215" t="s">
        <v>143</v>
      </c>
      <c r="G44" s="214">
        <f t="shared" si="7"/>
        <v>0</v>
      </c>
      <c r="H44" s="213"/>
      <c r="I44" s="479">
        <f t="shared" si="8"/>
        <v>262230</v>
      </c>
      <c r="J44" s="479">
        <f t="shared" si="9"/>
        <v>130113</v>
      </c>
      <c r="K44" s="479">
        <f t="shared" si="10"/>
        <v>0</v>
      </c>
      <c r="L44" s="523">
        <f t="shared" si="11"/>
        <v>0</v>
      </c>
      <c r="M44" s="523">
        <f>SUM(Table210[[#This Row],[REQUISITION]:[EXPENDED]])</f>
        <v>130113</v>
      </c>
      <c r="N44" s="479">
        <f t="shared" si="12"/>
        <v>321949.2</v>
      </c>
      <c r="O44" s="523">
        <f t="shared" si="13"/>
        <v>-59719.199999999997</v>
      </c>
    </row>
    <row r="45" spans="4:15" x14ac:dyDescent="0.25">
      <c r="D45" s="545">
        <v>842</v>
      </c>
      <c r="E45" s="211"/>
      <c r="F45" s="212" t="s">
        <v>144</v>
      </c>
      <c r="G45" s="214">
        <f t="shared" si="7"/>
        <v>0</v>
      </c>
      <c r="H45" s="213"/>
      <c r="I45" s="479">
        <f t="shared" si="8"/>
        <v>13954.84</v>
      </c>
      <c r="J45" s="479">
        <f t="shared" si="9"/>
        <v>0</v>
      </c>
      <c r="K45" s="479">
        <f t="shared" si="10"/>
        <v>0</v>
      </c>
      <c r="L45" s="523">
        <f t="shared" si="11"/>
        <v>0</v>
      </c>
      <c r="M45" s="523">
        <f>SUM(Table210[[#This Row],[REQUISITION]:[EXPENDED]])</f>
        <v>0</v>
      </c>
      <c r="N45" s="479">
        <f t="shared" si="12"/>
        <v>13954.84</v>
      </c>
      <c r="O45" s="523">
        <f t="shared" si="13"/>
        <v>0</v>
      </c>
    </row>
    <row r="46" spans="4:15" x14ac:dyDescent="0.25">
      <c r="D46" s="546">
        <v>843</v>
      </c>
      <c r="E46" s="211"/>
      <c r="F46" s="215" t="s">
        <v>145</v>
      </c>
      <c r="G46" s="214">
        <f t="shared" si="7"/>
        <v>29</v>
      </c>
      <c r="H46" s="213"/>
      <c r="I46" s="479">
        <f t="shared" si="8"/>
        <v>923101.24</v>
      </c>
      <c r="J46" s="479">
        <f t="shared" si="9"/>
        <v>17681.580000000002</v>
      </c>
      <c r="K46" s="479">
        <f t="shared" si="10"/>
        <v>0</v>
      </c>
      <c r="L46" s="523">
        <f t="shared" si="11"/>
        <v>185123.25</v>
      </c>
      <c r="M46" s="523">
        <f>SUM(Table210[[#This Row],[REQUISITION]:[EXPENDED]])</f>
        <v>202804.83000000002</v>
      </c>
      <c r="N46" s="479">
        <f t="shared" si="12"/>
        <v>1050427.5900000001</v>
      </c>
      <c r="O46" s="523">
        <f t="shared" si="13"/>
        <v>-127326.34999999999</v>
      </c>
    </row>
    <row r="47" spans="4:15" x14ac:dyDescent="0.25">
      <c r="D47" s="545">
        <v>844</v>
      </c>
      <c r="E47" s="211"/>
      <c r="F47" s="212" t="s">
        <v>146</v>
      </c>
      <c r="G47" s="214">
        <f t="shared" si="7"/>
        <v>0</v>
      </c>
      <c r="H47" s="213"/>
      <c r="I47" s="479">
        <f t="shared" si="8"/>
        <v>936.08999999999992</v>
      </c>
      <c r="J47" s="479">
        <f t="shared" si="9"/>
        <v>0</v>
      </c>
      <c r="K47" s="479">
        <f t="shared" si="10"/>
        <v>0</v>
      </c>
      <c r="L47" s="479">
        <f t="shared" si="11"/>
        <v>426.09</v>
      </c>
      <c r="M47" s="479">
        <f>SUM(Table210[[#This Row],[REQUISITION]:[EXPENDED]])</f>
        <v>426.09</v>
      </c>
      <c r="N47" s="479">
        <f t="shared" si="12"/>
        <v>936.08999999999992</v>
      </c>
      <c r="O47" s="479">
        <f t="shared" si="13"/>
        <v>0</v>
      </c>
    </row>
    <row r="48" spans="4:15" x14ac:dyDescent="0.25">
      <c r="D48" s="546">
        <v>845</v>
      </c>
      <c r="E48" s="211"/>
      <c r="F48" s="215" t="s">
        <v>147</v>
      </c>
      <c r="G48" s="214">
        <f t="shared" si="7"/>
        <v>0</v>
      </c>
      <c r="H48" s="213"/>
      <c r="I48" s="479">
        <f t="shared" si="8"/>
        <v>140691.82</v>
      </c>
      <c r="J48" s="479">
        <f t="shared" si="9"/>
        <v>0</v>
      </c>
      <c r="K48" s="479">
        <f t="shared" si="10"/>
        <v>0</v>
      </c>
      <c r="L48" s="479">
        <f t="shared" si="11"/>
        <v>0</v>
      </c>
      <c r="M48" s="479">
        <f>SUM(Table210[[#This Row],[REQUISITION]:[EXPENDED]])</f>
        <v>0</v>
      </c>
      <c r="N48" s="479">
        <f t="shared" si="12"/>
        <v>140691.82</v>
      </c>
      <c r="O48" s="479">
        <f t="shared" si="13"/>
        <v>0</v>
      </c>
    </row>
    <row r="49" spans="4:15" x14ac:dyDescent="0.25">
      <c r="D49" s="545">
        <v>846</v>
      </c>
      <c r="E49" s="211"/>
      <c r="F49" s="212" t="s">
        <v>148</v>
      </c>
      <c r="G49" s="214">
        <f t="shared" si="7"/>
        <v>5</v>
      </c>
      <c r="H49" s="213"/>
      <c r="I49" s="479">
        <f t="shared" si="8"/>
        <v>960486.01</v>
      </c>
      <c r="J49" s="479">
        <f t="shared" si="9"/>
        <v>73592</v>
      </c>
      <c r="K49" s="479">
        <f t="shared" si="10"/>
        <v>0</v>
      </c>
      <c r="L49" s="479">
        <f t="shared" si="11"/>
        <v>225470.42</v>
      </c>
      <c r="M49" s="479">
        <f>SUM(Table210[[#This Row],[REQUISITION]:[EXPENDED]])</f>
        <v>299062.42000000004</v>
      </c>
      <c r="N49" s="479">
        <f t="shared" si="12"/>
        <v>960486.01</v>
      </c>
      <c r="O49" s="479">
        <f t="shared" si="13"/>
        <v>0</v>
      </c>
    </row>
    <row r="50" spans="4:15" x14ac:dyDescent="0.25">
      <c r="D50" s="546">
        <v>847</v>
      </c>
      <c r="E50" s="211"/>
      <c r="F50" s="215" t="s">
        <v>149</v>
      </c>
      <c r="G50" s="214">
        <f t="shared" si="7"/>
        <v>0</v>
      </c>
      <c r="H50" s="213"/>
      <c r="I50" s="479">
        <f t="shared" si="8"/>
        <v>111392.07</v>
      </c>
      <c r="J50" s="479">
        <f t="shared" si="9"/>
        <v>0</v>
      </c>
      <c r="K50" s="479">
        <f t="shared" si="10"/>
        <v>0</v>
      </c>
      <c r="L50" s="479">
        <f t="shared" si="11"/>
        <v>25236.129999999997</v>
      </c>
      <c r="M50" s="479">
        <f>SUM(Table210[[#This Row],[REQUISITION]:[EXPENDED]])</f>
        <v>25236.129999999997</v>
      </c>
      <c r="N50" s="479">
        <f t="shared" si="12"/>
        <v>111392.07</v>
      </c>
      <c r="O50" s="479">
        <f t="shared" si="13"/>
        <v>0</v>
      </c>
    </row>
    <row r="51" spans="4:15" x14ac:dyDescent="0.25">
      <c r="D51" s="545">
        <v>848</v>
      </c>
      <c r="E51" s="211"/>
      <c r="F51" s="212" t="s">
        <v>150</v>
      </c>
      <c r="G51" s="214">
        <f t="shared" si="7"/>
        <v>0</v>
      </c>
      <c r="H51" s="213"/>
      <c r="I51" s="479">
        <f t="shared" si="8"/>
        <v>21025.360000000001</v>
      </c>
      <c r="J51" s="479">
        <f t="shared" si="9"/>
        <v>0</v>
      </c>
      <c r="K51" s="479">
        <f t="shared" si="10"/>
        <v>0</v>
      </c>
      <c r="L51" s="479">
        <f t="shared" si="11"/>
        <v>5312.7</v>
      </c>
      <c r="M51" s="479">
        <f>SUM(Table210[[#This Row],[REQUISITION]:[EXPENDED]])</f>
        <v>5312.7</v>
      </c>
      <c r="N51" s="479">
        <f t="shared" si="12"/>
        <v>21025.360000000001</v>
      </c>
      <c r="O51" s="479">
        <f t="shared" si="13"/>
        <v>0</v>
      </c>
    </row>
    <row r="52" spans="4:15" x14ac:dyDescent="0.25">
      <c r="D52" s="546">
        <v>849</v>
      </c>
      <c r="E52" s="211"/>
      <c r="F52" s="215" t="s">
        <v>151</v>
      </c>
      <c r="G52" s="214">
        <f t="shared" si="7"/>
        <v>0</v>
      </c>
      <c r="H52" s="213"/>
      <c r="I52" s="479">
        <f t="shared" si="8"/>
        <v>44733.34</v>
      </c>
      <c r="J52" s="479">
        <f t="shared" si="9"/>
        <v>0</v>
      </c>
      <c r="K52" s="479">
        <f t="shared" si="10"/>
        <v>0</v>
      </c>
      <c r="L52" s="479">
        <f t="shared" si="11"/>
        <v>44733.34</v>
      </c>
      <c r="M52" s="479">
        <f>SUM(Table210[[#This Row],[REQUISITION]:[EXPENDED]])</f>
        <v>44733.34</v>
      </c>
      <c r="N52" s="479">
        <f t="shared" si="12"/>
        <v>44733.34</v>
      </c>
      <c r="O52" s="479">
        <f t="shared" si="13"/>
        <v>0</v>
      </c>
    </row>
    <row r="53" spans="4:15" x14ac:dyDescent="0.25">
      <c r="D53" s="545">
        <v>850</v>
      </c>
      <c r="E53" s="211"/>
      <c r="F53" s="212" t="s">
        <v>152</v>
      </c>
      <c r="G53" s="214">
        <f t="shared" si="7"/>
        <v>0</v>
      </c>
      <c r="H53" s="213"/>
      <c r="I53" s="479">
        <f t="shared" si="8"/>
        <v>17145401.59</v>
      </c>
      <c r="J53" s="479">
        <f t="shared" si="9"/>
        <v>510000</v>
      </c>
      <c r="K53" s="479">
        <f t="shared" si="10"/>
        <v>0</v>
      </c>
      <c r="L53" s="479">
        <f t="shared" si="11"/>
        <v>16437850</v>
      </c>
      <c r="M53" s="479">
        <f>SUM(Table210[[#This Row],[REQUISITION]:[EXPENDED]])</f>
        <v>16947850</v>
      </c>
      <c r="N53" s="479">
        <f t="shared" si="12"/>
        <v>17145401.59</v>
      </c>
      <c r="O53" s="479">
        <f t="shared" si="13"/>
        <v>0</v>
      </c>
    </row>
    <row r="54" spans="4:15" x14ac:dyDescent="0.25">
      <c r="D54" s="547">
        <v>851</v>
      </c>
      <c r="E54" s="216"/>
      <c r="F54" s="217" t="s">
        <v>153</v>
      </c>
      <c r="G54" s="214">
        <f t="shared" si="7"/>
        <v>3</v>
      </c>
      <c r="H54" s="213"/>
      <c r="I54" s="479">
        <f t="shared" si="8"/>
        <v>329832.99</v>
      </c>
      <c r="J54" s="479">
        <f t="shared" si="9"/>
        <v>0</v>
      </c>
      <c r="K54" s="479">
        <f t="shared" si="10"/>
        <v>0</v>
      </c>
      <c r="L54" s="479">
        <f t="shared" si="11"/>
        <v>83823.899999999994</v>
      </c>
      <c r="M54" s="479">
        <f>SUM(Table210[[#This Row],[REQUISITION]:[EXPENDED]])</f>
        <v>83823.899999999994</v>
      </c>
      <c r="N54" s="479">
        <f t="shared" si="12"/>
        <v>329832.99</v>
      </c>
      <c r="O54" s="479">
        <f t="shared" si="13"/>
        <v>0</v>
      </c>
    </row>
    <row r="55" spans="4:15" x14ac:dyDescent="0.25">
      <c r="D55" s="548">
        <v>852</v>
      </c>
      <c r="E55" s="216"/>
      <c r="F55" s="218" t="s">
        <v>154</v>
      </c>
      <c r="G55" s="214">
        <f t="shared" si="7"/>
        <v>0</v>
      </c>
      <c r="H55" s="213"/>
      <c r="I55" s="479">
        <f t="shared" si="8"/>
        <v>4884.5</v>
      </c>
      <c r="J55" s="479">
        <f t="shared" si="9"/>
        <v>0</v>
      </c>
      <c r="K55" s="479">
        <f t="shared" si="10"/>
        <v>0</v>
      </c>
      <c r="L55" s="479">
        <f t="shared" si="11"/>
        <v>0</v>
      </c>
      <c r="M55" s="479">
        <f>SUM(Table210[[#This Row],[REQUISITION]:[EXPENDED]])</f>
        <v>0</v>
      </c>
      <c r="N55" s="479">
        <f t="shared" si="12"/>
        <v>4884.5</v>
      </c>
      <c r="O55" s="479">
        <f t="shared" si="13"/>
        <v>0</v>
      </c>
    </row>
    <row r="56" spans="4:15" x14ac:dyDescent="0.25">
      <c r="D56" s="548">
        <v>853</v>
      </c>
      <c r="E56" s="216"/>
      <c r="F56" s="218" t="s">
        <v>155</v>
      </c>
      <c r="G56" s="214">
        <f t="shared" si="7"/>
        <v>37</v>
      </c>
      <c r="H56" s="213"/>
      <c r="I56" s="479">
        <f t="shared" si="8"/>
        <v>3757498.0299999993</v>
      </c>
      <c r="J56" s="479">
        <f t="shared" si="9"/>
        <v>0</v>
      </c>
      <c r="K56" s="479">
        <f t="shared" si="10"/>
        <v>0</v>
      </c>
      <c r="L56" s="479">
        <f t="shared" si="11"/>
        <v>712706.66000000015</v>
      </c>
      <c r="M56" s="479">
        <f>SUM(Table210[[#This Row],[REQUISITION]:[EXPENDED]])</f>
        <v>712706.66000000015</v>
      </c>
      <c r="N56" s="479">
        <f t="shared" si="12"/>
        <v>3757498.0299999993</v>
      </c>
      <c r="O56" s="479">
        <f t="shared" si="13"/>
        <v>0</v>
      </c>
    </row>
    <row r="57" spans="4:15" x14ac:dyDescent="0.25">
      <c r="D57" s="547">
        <v>854</v>
      </c>
      <c r="E57" s="216"/>
      <c r="F57" s="217" t="s">
        <v>156</v>
      </c>
      <c r="G57" s="214">
        <f t="shared" si="7"/>
        <v>26</v>
      </c>
      <c r="H57" s="213"/>
      <c r="I57" s="479">
        <f t="shared" si="8"/>
        <v>2891980.4600000004</v>
      </c>
      <c r="J57" s="479">
        <f t="shared" si="9"/>
        <v>0</v>
      </c>
      <c r="K57" s="479">
        <f t="shared" si="10"/>
        <v>0</v>
      </c>
      <c r="L57" s="479">
        <f t="shared" si="11"/>
        <v>568139.05000000028</v>
      </c>
      <c r="M57" s="479">
        <f>SUM(Table210[[#This Row],[REQUISITION]:[EXPENDED]])</f>
        <v>568139.05000000028</v>
      </c>
      <c r="N57" s="479">
        <f t="shared" si="12"/>
        <v>2891980.4600000004</v>
      </c>
      <c r="O57" s="479">
        <f t="shared" si="13"/>
        <v>0</v>
      </c>
    </row>
    <row r="58" spans="4:15" x14ac:dyDescent="0.25">
      <c r="D58" s="548">
        <v>855</v>
      </c>
      <c r="E58" s="216"/>
      <c r="F58" s="218" t="s">
        <v>157</v>
      </c>
      <c r="G58" s="214">
        <f t="shared" si="7"/>
        <v>23</v>
      </c>
      <c r="H58" s="213"/>
      <c r="I58" s="479">
        <f t="shared" si="8"/>
        <v>2318716.6999999997</v>
      </c>
      <c r="J58" s="479">
        <f t="shared" si="9"/>
        <v>0</v>
      </c>
      <c r="K58" s="479">
        <f t="shared" si="10"/>
        <v>0</v>
      </c>
      <c r="L58" s="479">
        <f t="shared" si="11"/>
        <v>464475.99</v>
      </c>
      <c r="M58" s="479">
        <f>SUM(Table210[[#This Row],[REQUISITION]:[EXPENDED]])</f>
        <v>464475.99</v>
      </c>
      <c r="N58" s="479">
        <f t="shared" si="12"/>
        <v>2318716.6999999997</v>
      </c>
      <c r="O58" s="479">
        <f t="shared" si="13"/>
        <v>0</v>
      </c>
    </row>
    <row r="59" spans="4:15" x14ac:dyDescent="0.25">
      <c r="D59" s="547">
        <v>856</v>
      </c>
      <c r="E59" s="216"/>
      <c r="F59" s="217" t="s">
        <v>158</v>
      </c>
      <c r="G59" s="214">
        <f t="shared" si="7"/>
        <v>20.6</v>
      </c>
      <c r="H59" s="213"/>
      <c r="I59" s="479">
        <f t="shared" si="8"/>
        <v>2136259.6799999997</v>
      </c>
      <c r="J59" s="479">
        <f t="shared" si="9"/>
        <v>0</v>
      </c>
      <c r="K59" s="479">
        <f t="shared" si="10"/>
        <v>0</v>
      </c>
      <c r="L59" s="479">
        <f t="shared" si="11"/>
        <v>438338.12000000005</v>
      </c>
      <c r="M59" s="479">
        <f>SUM(Table210[[#This Row],[REQUISITION]:[EXPENDED]])</f>
        <v>438338.12000000005</v>
      </c>
      <c r="N59" s="479">
        <f t="shared" si="12"/>
        <v>2136259.6799999997</v>
      </c>
      <c r="O59" s="479">
        <f t="shared" si="13"/>
        <v>0</v>
      </c>
    </row>
    <row r="60" spans="4:15" x14ac:dyDescent="0.25">
      <c r="D60" s="548">
        <v>857</v>
      </c>
      <c r="E60" s="216"/>
      <c r="F60" s="218" t="s">
        <v>159</v>
      </c>
      <c r="G60" s="214">
        <f t="shared" si="7"/>
        <v>2</v>
      </c>
      <c r="H60" s="213"/>
      <c r="I60" s="479">
        <f t="shared" si="8"/>
        <v>192154.94</v>
      </c>
      <c r="J60" s="479">
        <f t="shared" si="9"/>
        <v>0</v>
      </c>
      <c r="K60" s="479">
        <f t="shared" si="10"/>
        <v>0</v>
      </c>
      <c r="L60" s="479">
        <f t="shared" si="11"/>
        <v>49544.770000000004</v>
      </c>
      <c r="M60" s="479">
        <f>SUM(Table210[[#This Row],[REQUISITION]:[EXPENDED]])</f>
        <v>49544.770000000004</v>
      </c>
      <c r="N60" s="479">
        <f t="shared" si="12"/>
        <v>192154.94</v>
      </c>
      <c r="O60" s="479">
        <f t="shared" si="13"/>
        <v>0</v>
      </c>
    </row>
    <row r="61" spans="4:15" x14ac:dyDescent="0.25">
      <c r="D61" s="547">
        <v>858</v>
      </c>
      <c r="E61" s="216"/>
      <c r="F61" s="217" t="s">
        <v>160</v>
      </c>
      <c r="G61" s="214">
        <f t="shared" si="7"/>
        <v>1</v>
      </c>
      <c r="H61" s="213"/>
      <c r="I61" s="479">
        <f t="shared" si="8"/>
        <v>104059.32</v>
      </c>
      <c r="J61" s="479">
        <f t="shared" si="9"/>
        <v>0</v>
      </c>
      <c r="K61" s="479">
        <f t="shared" si="10"/>
        <v>0</v>
      </c>
      <c r="L61" s="479">
        <f t="shared" si="11"/>
        <v>20447.670000000002</v>
      </c>
      <c r="M61" s="479">
        <f>SUM(Table210[[#This Row],[REQUISITION]:[EXPENDED]])</f>
        <v>20447.670000000002</v>
      </c>
      <c r="N61" s="479">
        <f t="shared" si="12"/>
        <v>104059.32</v>
      </c>
      <c r="O61" s="479">
        <f t="shared" si="13"/>
        <v>0</v>
      </c>
    </row>
    <row r="62" spans="4:15" x14ac:dyDescent="0.25">
      <c r="D62" s="548">
        <v>859</v>
      </c>
      <c r="E62" s="216"/>
      <c r="F62" s="218" t="s">
        <v>161</v>
      </c>
      <c r="G62" s="214">
        <f t="shared" si="7"/>
        <v>0</v>
      </c>
      <c r="H62" s="213"/>
      <c r="I62" s="479">
        <f t="shared" si="8"/>
        <v>0</v>
      </c>
      <c r="J62" s="479">
        <f t="shared" si="9"/>
        <v>0</v>
      </c>
      <c r="K62" s="479">
        <f t="shared" si="10"/>
        <v>0</v>
      </c>
      <c r="L62" s="479">
        <f t="shared" si="11"/>
        <v>0</v>
      </c>
      <c r="M62" s="479">
        <f>SUM(Table210[[#This Row],[REQUISITION]:[EXPENDED]])</f>
        <v>0</v>
      </c>
      <c r="N62" s="479">
        <f t="shared" si="12"/>
        <v>0</v>
      </c>
      <c r="O62" s="479">
        <f t="shared" si="13"/>
        <v>0</v>
      </c>
    </row>
    <row r="63" spans="4:15" x14ac:dyDescent="0.25">
      <c r="D63" s="547">
        <v>860</v>
      </c>
      <c r="E63" s="216"/>
      <c r="F63" s="217" t="s">
        <v>162</v>
      </c>
      <c r="G63" s="214">
        <f t="shared" si="7"/>
        <v>30</v>
      </c>
      <c r="H63" s="213"/>
      <c r="I63" s="479">
        <f t="shared" si="8"/>
        <v>4028613.8499999992</v>
      </c>
      <c r="J63" s="479">
        <f t="shared" si="9"/>
        <v>260335.84</v>
      </c>
      <c r="K63" s="479">
        <f t="shared" si="10"/>
        <v>0</v>
      </c>
      <c r="L63" s="479">
        <f t="shared" si="11"/>
        <v>1177756.3000000012</v>
      </c>
      <c r="M63" s="479">
        <f>SUM(Table210[[#This Row],[REQUISITION]:[EXPENDED]])</f>
        <v>1438092.1400000013</v>
      </c>
      <c r="N63" s="479">
        <f t="shared" si="12"/>
        <v>4553949.1100000003</v>
      </c>
      <c r="O63" s="479">
        <f t="shared" si="13"/>
        <v>-525335.26</v>
      </c>
    </row>
    <row r="64" spans="4:15" x14ac:dyDescent="0.25">
      <c r="D64" s="548">
        <v>861</v>
      </c>
      <c r="E64" s="216"/>
      <c r="F64" s="218" t="s">
        <v>163</v>
      </c>
      <c r="G64" s="214">
        <f t="shared" si="7"/>
        <v>17</v>
      </c>
      <c r="H64" s="213"/>
      <c r="I64" s="479">
        <f t="shared" si="8"/>
        <v>1593427.28</v>
      </c>
      <c r="J64" s="479">
        <f t="shared" si="9"/>
        <v>0</v>
      </c>
      <c r="K64" s="479">
        <f t="shared" si="10"/>
        <v>0</v>
      </c>
      <c r="L64" s="479">
        <f t="shared" si="11"/>
        <v>374698.79000000004</v>
      </c>
      <c r="M64" s="479">
        <f>SUM(Table210[[#This Row],[REQUISITION]:[EXPENDED]])</f>
        <v>374698.79000000004</v>
      </c>
      <c r="N64" s="479">
        <f t="shared" si="12"/>
        <v>1593427.28</v>
      </c>
      <c r="O64" s="479">
        <f t="shared" si="13"/>
        <v>0</v>
      </c>
    </row>
    <row r="65" spans="4:15" x14ac:dyDescent="0.25">
      <c r="D65" s="547">
        <v>862</v>
      </c>
      <c r="E65" s="216"/>
      <c r="F65" s="217" t="s">
        <v>164</v>
      </c>
      <c r="G65" s="214">
        <f t="shared" si="7"/>
        <v>0</v>
      </c>
      <c r="H65" s="213"/>
      <c r="I65" s="479">
        <f t="shared" si="8"/>
        <v>0</v>
      </c>
      <c r="J65" s="479">
        <f t="shared" si="9"/>
        <v>0</v>
      </c>
      <c r="K65" s="479">
        <f t="shared" si="10"/>
        <v>0</v>
      </c>
      <c r="L65" s="479">
        <f t="shared" si="11"/>
        <v>0</v>
      </c>
      <c r="M65" s="479">
        <f>SUM(Table210[[#This Row],[REQUISITION]:[EXPENDED]])</f>
        <v>0</v>
      </c>
      <c r="N65" s="479">
        <f t="shared" si="12"/>
        <v>0</v>
      </c>
      <c r="O65" s="479">
        <f t="shared" si="13"/>
        <v>0</v>
      </c>
    </row>
    <row r="66" spans="4:15" x14ac:dyDescent="0.25">
      <c r="D66" s="547">
        <v>863</v>
      </c>
      <c r="E66" s="216"/>
      <c r="F66" s="217" t="s">
        <v>165</v>
      </c>
      <c r="G66" s="214">
        <f t="shared" si="7"/>
        <v>7</v>
      </c>
      <c r="H66" s="213"/>
      <c r="I66" s="479">
        <f t="shared" si="8"/>
        <v>1684335.53</v>
      </c>
      <c r="J66" s="479">
        <f t="shared" si="9"/>
        <v>59294.609999999993</v>
      </c>
      <c r="K66" s="479">
        <f t="shared" si="10"/>
        <v>0</v>
      </c>
      <c r="L66" s="479">
        <f t="shared" si="11"/>
        <v>405558.75</v>
      </c>
      <c r="M66" s="479">
        <f>SUM(Table210[[#This Row],[REQUISITION]:[EXPENDED]])</f>
        <v>464853.36</v>
      </c>
      <c r="N66" s="479">
        <f t="shared" si="12"/>
        <v>1684335.53</v>
      </c>
      <c r="O66" s="479">
        <f t="shared" si="13"/>
        <v>0</v>
      </c>
    </row>
    <row r="67" spans="4:15" x14ac:dyDescent="0.25">
      <c r="D67" s="548">
        <v>864</v>
      </c>
      <c r="E67" s="216"/>
      <c r="F67" s="218" t="s">
        <v>166</v>
      </c>
      <c r="G67" s="214">
        <f t="shared" ref="G67:G98" si="14">SUMIF($D$127:$D$4732,$D67,$G$127:$G$4732)</f>
        <v>11</v>
      </c>
      <c r="H67" s="213"/>
      <c r="I67" s="479">
        <f t="shared" ref="I67:I98" si="15">SUMIF($D$127:$D$4077,$D67,$I$127:$I$4077)</f>
        <v>674436.25999999989</v>
      </c>
      <c r="J67" s="479">
        <f t="shared" ref="J67:J98" si="16">SUMIF($D$127:$D$4732,$D67,$J$127:$J$4732)</f>
        <v>0</v>
      </c>
      <c r="K67" s="479">
        <f t="shared" ref="K67:K98" si="17">SUMIF($D$127:$D$4732,$D67,$K$127:$K$4732)</f>
        <v>0</v>
      </c>
      <c r="L67" s="479">
        <f t="shared" ref="L67:L98" si="18">SUMIF($D$127:$D$4732,$D67,$L$127:$L$4732)</f>
        <v>130173.75</v>
      </c>
      <c r="M67" s="479">
        <f>SUM(Table210[[#This Row],[REQUISITION]:[EXPENDED]])</f>
        <v>130173.75</v>
      </c>
      <c r="N67" s="479">
        <f t="shared" ref="N67:N98" si="19">SUMIF($D$127:$D$4732,$D67,$N$127:$N$4732)</f>
        <v>674436.25999999989</v>
      </c>
      <c r="O67" s="479">
        <f t="shared" ref="O67:O98" si="20">SUMIF($D$127:$D$4732,$D67,$O$127:$O$4732)</f>
        <v>0</v>
      </c>
    </row>
    <row r="68" spans="4:15" x14ac:dyDescent="0.25">
      <c r="D68" s="547">
        <v>865</v>
      </c>
      <c r="E68" s="216"/>
      <c r="F68" s="217" t="s">
        <v>167</v>
      </c>
      <c r="G68" s="214">
        <f t="shared" si="14"/>
        <v>0</v>
      </c>
      <c r="H68" s="213"/>
      <c r="I68" s="479">
        <f t="shared" si="15"/>
        <v>900000</v>
      </c>
      <c r="J68" s="479">
        <f t="shared" si="16"/>
        <v>207653</v>
      </c>
      <c r="K68" s="479">
        <f t="shared" si="17"/>
        <v>0</v>
      </c>
      <c r="L68" s="479">
        <f t="shared" si="18"/>
        <v>62392</v>
      </c>
      <c r="M68" s="479">
        <f>SUM(Table210[[#This Row],[REQUISITION]:[EXPENDED]])</f>
        <v>270045</v>
      </c>
      <c r="N68" s="479">
        <f t="shared" si="19"/>
        <v>900000</v>
      </c>
      <c r="O68" s="479">
        <f t="shared" si="20"/>
        <v>0</v>
      </c>
    </row>
    <row r="69" spans="4:15" x14ac:dyDescent="0.25">
      <c r="D69" s="547">
        <v>866</v>
      </c>
      <c r="E69" s="216"/>
      <c r="F69" s="217" t="s">
        <v>168</v>
      </c>
      <c r="G69" s="214">
        <f t="shared" si="14"/>
        <v>7</v>
      </c>
      <c r="H69" s="213"/>
      <c r="I69" s="479">
        <f t="shared" si="15"/>
        <v>1294439</v>
      </c>
      <c r="J69" s="479">
        <f t="shared" si="16"/>
        <v>20610.830000000002</v>
      </c>
      <c r="K69" s="479">
        <f t="shared" si="17"/>
        <v>0</v>
      </c>
      <c r="L69" s="479">
        <f t="shared" si="18"/>
        <v>267282.32</v>
      </c>
      <c r="M69" s="479">
        <f>SUM(Table210[[#This Row],[REQUISITION]:[EXPENDED]])</f>
        <v>287893.15000000002</v>
      </c>
      <c r="N69" s="479">
        <f t="shared" si="19"/>
        <v>1294439</v>
      </c>
      <c r="O69" s="479">
        <f t="shared" si="20"/>
        <v>0</v>
      </c>
    </row>
    <row r="70" spans="4:15" x14ac:dyDescent="0.25">
      <c r="D70" s="548">
        <v>867</v>
      </c>
      <c r="E70" s="216"/>
      <c r="F70" s="218" t="s">
        <v>169</v>
      </c>
      <c r="G70" s="214">
        <f t="shared" si="14"/>
        <v>0</v>
      </c>
      <c r="H70" s="213"/>
      <c r="I70" s="479">
        <f t="shared" si="15"/>
        <v>32865.5</v>
      </c>
      <c r="J70" s="479">
        <f t="shared" si="16"/>
        <v>0</v>
      </c>
      <c r="K70" s="479">
        <f t="shared" si="17"/>
        <v>0</v>
      </c>
      <c r="L70" s="479">
        <f t="shared" si="18"/>
        <v>0</v>
      </c>
      <c r="M70" s="479">
        <f>SUM(Table210[[#This Row],[REQUISITION]:[EXPENDED]])</f>
        <v>0</v>
      </c>
      <c r="N70" s="479">
        <f t="shared" si="19"/>
        <v>32865.5</v>
      </c>
      <c r="O70" s="479">
        <f t="shared" si="20"/>
        <v>0</v>
      </c>
    </row>
    <row r="71" spans="4:15" x14ac:dyDescent="0.25">
      <c r="D71" s="547">
        <v>868</v>
      </c>
      <c r="E71" s="216"/>
      <c r="F71" s="217" t="s">
        <v>170</v>
      </c>
      <c r="G71" s="214">
        <f t="shared" si="14"/>
        <v>7</v>
      </c>
      <c r="H71" s="213"/>
      <c r="I71" s="479">
        <f t="shared" si="15"/>
        <v>834510.83000000007</v>
      </c>
      <c r="J71" s="479">
        <f t="shared" si="16"/>
        <v>0</v>
      </c>
      <c r="K71" s="479">
        <f t="shared" si="17"/>
        <v>0</v>
      </c>
      <c r="L71" s="479">
        <f t="shared" si="18"/>
        <v>242240.88000000003</v>
      </c>
      <c r="M71" s="479">
        <f>SUM(Table210[[#This Row],[REQUISITION]:[EXPENDED]])</f>
        <v>242240.88000000003</v>
      </c>
      <c r="N71" s="479">
        <f t="shared" si="19"/>
        <v>834510.83000000007</v>
      </c>
      <c r="O71" s="479">
        <f t="shared" si="20"/>
        <v>0</v>
      </c>
    </row>
    <row r="72" spans="4:15" x14ac:dyDescent="0.25">
      <c r="D72" s="548">
        <v>869</v>
      </c>
      <c r="E72" s="216"/>
      <c r="F72" s="218" t="s">
        <v>171</v>
      </c>
      <c r="G72" s="214">
        <f t="shared" si="14"/>
        <v>3</v>
      </c>
      <c r="H72" s="213"/>
      <c r="I72" s="479">
        <f t="shared" si="15"/>
        <v>1466577.17</v>
      </c>
      <c r="J72" s="479">
        <f t="shared" si="16"/>
        <v>542511.66</v>
      </c>
      <c r="K72" s="479">
        <f t="shared" si="17"/>
        <v>0</v>
      </c>
      <c r="L72" s="479">
        <f t="shared" si="18"/>
        <v>516124.12</v>
      </c>
      <c r="M72" s="479">
        <f>SUM(Table210[[#This Row],[REQUISITION]:[EXPENDED]])</f>
        <v>1058635.78</v>
      </c>
      <c r="N72" s="479">
        <f t="shared" si="19"/>
        <v>1466577.17</v>
      </c>
      <c r="O72" s="479">
        <f t="shared" si="20"/>
        <v>0</v>
      </c>
    </row>
    <row r="73" spans="4:15" x14ac:dyDescent="0.25">
      <c r="D73" s="547">
        <v>870</v>
      </c>
      <c r="E73" s="216"/>
      <c r="F73" s="217" t="s">
        <v>172</v>
      </c>
      <c r="G73" s="214">
        <f t="shared" si="14"/>
        <v>6</v>
      </c>
      <c r="H73" s="213"/>
      <c r="I73" s="479">
        <f t="shared" si="15"/>
        <v>637386.91999999993</v>
      </c>
      <c r="J73" s="479">
        <f t="shared" si="16"/>
        <v>0</v>
      </c>
      <c r="K73" s="479">
        <f t="shared" si="17"/>
        <v>0</v>
      </c>
      <c r="L73" s="479">
        <f t="shared" si="18"/>
        <v>208724.99</v>
      </c>
      <c r="M73" s="479">
        <f>SUM(Table210[[#This Row],[REQUISITION]:[EXPENDED]])</f>
        <v>208724.99</v>
      </c>
      <c r="N73" s="479">
        <f t="shared" si="19"/>
        <v>637386.91999999993</v>
      </c>
      <c r="O73" s="479">
        <f t="shared" si="20"/>
        <v>0</v>
      </c>
    </row>
    <row r="74" spans="4:15" x14ac:dyDescent="0.25">
      <c r="D74" s="548">
        <v>871</v>
      </c>
      <c r="E74" s="216"/>
      <c r="F74" s="218" t="s">
        <v>173</v>
      </c>
      <c r="G74" s="214">
        <f t="shared" si="14"/>
        <v>8</v>
      </c>
      <c r="H74" s="213"/>
      <c r="I74" s="479">
        <f t="shared" si="15"/>
        <v>732925.8899999999</v>
      </c>
      <c r="J74" s="479">
        <f t="shared" si="16"/>
        <v>0</v>
      </c>
      <c r="K74" s="479">
        <f t="shared" si="17"/>
        <v>0</v>
      </c>
      <c r="L74" s="479">
        <f t="shared" si="18"/>
        <v>208740.63</v>
      </c>
      <c r="M74" s="479">
        <f>SUM(Table210[[#This Row],[REQUISITION]:[EXPENDED]])</f>
        <v>208740.63</v>
      </c>
      <c r="N74" s="479">
        <f t="shared" si="19"/>
        <v>732925.8899999999</v>
      </c>
      <c r="O74" s="479">
        <f t="shared" si="20"/>
        <v>0</v>
      </c>
    </row>
    <row r="75" spans="4:15" x14ac:dyDescent="0.25">
      <c r="D75" s="547">
        <v>872</v>
      </c>
      <c r="E75" s="216"/>
      <c r="F75" s="217" t="s">
        <v>174</v>
      </c>
      <c r="G75" s="214">
        <f t="shared" si="14"/>
        <v>4</v>
      </c>
      <c r="H75" s="213"/>
      <c r="I75" s="479">
        <f t="shared" si="15"/>
        <v>379311.73000000004</v>
      </c>
      <c r="J75" s="479">
        <f t="shared" si="16"/>
        <v>0</v>
      </c>
      <c r="K75" s="479">
        <f t="shared" si="17"/>
        <v>0</v>
      </c>
      <c r="L75" s="479">
        <f t="shared" si="18"/>
        <v>115879.33000000002</v>
      </c>
      <c r="M75" s="479">
        <f>SUM(Table210[[#This Row],[REQUISITION]:[EXPENDED]])</f>
        <v>115879.33000000002</v>
      </c>
      <c r="N75" s="479">
        <f t="shared" si="19"/>
        <v>379311.73000000004</v>
      </c>
      <c r="O75" s="479">
        <f t="shared" si="20"/>
        <v>0</v>
      </c>
    </row>
    <row r="76" spans="4:15" x14ac:dyDescent="0.25">
      <c r="D76" s="548">
        <v>873</v>
      </c>
      <c r="E76" s="216"/>
      <c r="F76" s="218" t="s">
        <v>175</v>
      </c>
      <c r="G76" s="214">
        <f t="shared" si="14"/>
        <v>14</v>
      </c>
      <c r="H76" s="213"/>
      <c r="I76" s="479">
        <f t="shared" si="15"/>
        <v>4233816.34</v>
      </c>
      <c r="J76" s="479">
        <f t="shared" si="16"/>
        <v>266051.99</v>
      </c>
      <c r="K76" s="479">
        <f t="shared" si="17"/>
        <v>0</v>
      </c>
      <c r="L76" s="479">
        <f t="shared" si="18"/>
        <v>533935.79</v>
      </c>
      <c r="M76" s="479">
        <f>SUM(Table210[[#This Row],[REQUISITION]:[EXPENDED]])</f>
        <v>799987.78</v>
      </c>
      <c r="N76" s="479">
        <f t="shared" si="19"/>
        <v>3118966.3400000003</v>
      </c>
      <c r="O76" s="479">
        <f t="shared" si="20"/>
        <v>1114850</v>
      </c>
    </row>
    <row r="77" spans="4:15" x14ac:dyDescent="0.25">
      <c r="D77" s="547">
        <v>874</v>
      </c>
      <c r="E77" s="216"/>
      <c r="F77" s="217" t="s">
        <v>176</v>
      </c>
      <c r="G77" s="214">
        <f t="shared" si="14"/>
        <v>1</v>
      </c>
      <c r="H77" s="213"/>
      <c r="I77" s="479">
        <f t="shared" si="15"/>
        <v>70471.16</v>
      </c>
      <c r="J77" s="479">
        <f t="shared" si="16"/>
        <v>0</v>
      </c>
      <c r="K77" s="479">
        <f t="shared" si="17"/>
        <v>0</v>
      </c>
      <c r="L77" s="479">
        <f t="shared" si="18"/>
        <v>21309.600000000002</v>
      </c>
      <c r="M77" s="479">
        <f>SUM(Table210[[#This Row],[REQUISITION]:[EXPENDED]])</f>
        <v>21309.600000000002</v>
      </c>
      <c r="N77" s="479">
        <f t="shared" si="19"/>
        <v>70471.16</v>
      </c>
      <c r="O77" s="479">
        <f t="shared" si="20"/>
        <v>0</v>
      </c>
    </row>
    <row r="78" spans="4:15" x14ac:dyDescent="0.25">
      <c r="D78" s="548">
        <v>875</v>
      </c>
      <c r="E78" s="216"/>
      <c r="F78" s="218" t="s">
        <v>177</v>
      </c>
      <c r="G78" s="214">
        <f t="shared" si="14"/>
        <v>6</v>
      </c>
      <c r="H78" s="213"/>
      <c r="I78" s="479">
        <f t="shared" si="15"/>
        <v>3788114.3</v>
      </c>
      <c r="J78" s="479">
        <f t="shared" si="16"/>
        <v>214069.41999999998</v>
      </c>
      <c r="K78" s="479">
        <f t="shared" si="17"/>
        <v>0</v>
      </c>
      <c r="L78" s="479">
        <f t="shared" si="18"/>
        <v>151973.41</v>
      </c>
      <c r="M78" s="479">
        <f>SUM(Table210[[#This Row],[REQUISITION]:[EXPENDED]])</f>
        <v>366042.82999999996</v>
      </c>
      <c r="N78" s="479">
        <f t="shared" si="19"/>
        <v>7118403.46</v>
      </c>
      <c r="O78" s="479">
        <f t="shared" si="20"/>
        <v>-3330289.16</v>
      </c>
    </row>
    <row r="79" spans="4:15" x14ac:dyDescent="0.25">
      <c r="D79" s="547">
        <v>876</v>
      </c>
      <c r="E79" s="216"/>
      <c r="F79" s="217" t="s">
        <v>178</v>
      </c>
      <c r="G79" s="214">
        <f t="shared" si="14"/>
        <v>0</v>
      </c>
      <c r="H79" s="213"/>
      <c r="I79" s="479">
        <f t="shared" si="15"/>
        <v>1675810</v>
      </c>
      <c r="J79" s="479">
        <f t="shared" si="16"/>
        <v>130620</v>
      </c>
      <c r="K79" s="479">
        <f t="shared" si="17"/>
        <v>0</v>
      </c>
      <c r="L79" s="479">
        <f t="shared" si="18"/>
        <v>13380</v>
      </c>
      <c r="M79" s="479">
        <f>SUM(Table210[[#This Row],[REQUISITION]:[EXPENDED]])</f>
        <v>144000</v>
      </c>
      <c r="N79" s="479">
        <f t="shared" si="19"/>
        <v>1842298.53</v>
      </c>
      <c r="O79" s="479">
        <f t="shared" si="20"/>
        <v>-166488.53000000003</v>
      </c>
    </row>
    <row r="80" spans="4:15" x14ac:dyDescent="0.25">
      <c r="D80" s="548">
        <v>877</v>
      </c>
      <c r="E80" s="216"/>
      <c r="F80" s="218" t="s">
        <v>179</v>
      </c>
      <c r="G80" s="214">
        <f t="shared" si="14"/>
        <v>0</v>
      </c>
      <c r="H80" s="213"/>
      <c r="I80" s="479">
        <f t="shared" si="15"/>
        <v>7670143.0999999996</v>
      </c>
      <c r="J80" s="479">
        <f t="shared" si="16"/>
        <v>393445.26</v>
      </c>
      <c r="K80" s="479">
        <f t="shared" si="17"/>
        <v>0</v>
      </c>
      <c r="L80" s="479">
        <f t="shared" si="18"/>
        <v>587175.14</v>
      </c>
      <c r="M80" s="479">
        <f>SUM(Table210[[#This Row],[REQUISITION]:[EXPENDED]])</f>
        <v>980620.4</v>
      </c>
      <c r="N80" s="479">
        <f t="shared" si="19"/>
        <v>19561506.59</v>
      </c>
      <c r="O80" s="479">
        <f t="shared" si="20"/>
        <v>-11891363.49</v>
      </c>
    </row>
    <row r="81" spans="4:15" x14ac:dyDescent="0.25">
      <c r="D81" s="547">
        <v>878</v>
      </c>
      <c r="E81" s="216"/>
      <c r="F81" s="217" t="s">
        <v>180</v>
      </c>
      <c r="G81" s="214">
        <f t="shared" si="14"/>
        <v>0</v>
      </c>
      <c r="H81" s="213"/>
      <c r="I81" s="479">
        <f t="shared" si="15"/>
        <v>672197</v>
      </c>
      <c r="J81" s="479">
        <f t="shared" si="16"/>
        <v>51750</v>
      </c>
      <c r="K81" s="479">
        <f t="shared" si="17"/>
        <v>0</v>
      </c>
      <c r="L81" s="479">
        <f t="shared" si="18"/>
        <v>5250</v>
      </c>
      <c r="M81" s="479">
        <f>SUM(Table210[[#This Row],[REQUISITION]:[EXPENDED]])</f>
        <v>57000</v>
      </c>
      <c r="N81" s="479">
        <f t="shared" si="19"/>
        <v>722460.09</v>
      </c>
      <c r="O81" s="479">
        <f t="shared" si="20"/>
        <v>-50263.089999999967</v>
      </c>
    </row>
    <row r="82" spans="4:15" x14ac:dyDescent="0.25">
      <c r="D82" s="548">
        <v>879</v>
      </c>
      <c r="E82" s="216"/>
      <c r="F82" s="218" t="s">
        <v>181</v>
      </c>
      <c r="G82" s="214">
        <f t="shared" si="14"/>
        <v>0</v>
      </c>
      <c r="H82" s="213"/>
      <c r="I82" s="479">
        <f t="shared" si="15"/>
        <v>247972</v>
      </c>
      <c r="J82" s="479">
        <f t="shared" si="16"/>
        <v>0</v>
      </c>
      <c r="K82" s="479">
        <f t="shared" si="17"/>
        <v>0</v>
      </c>
      <c r="L82" s="479">
        <f t="shared" si="18"/>
        <v>0</v>
      </c>
      <c r="M82" s="479">
        <f>SUM(Table210[[#This Row],[REQUISITION]:[EXPENDED]])</f>
        <v>0</v>
      </c>
      <c r="N82" s="479">
        <f t="shared" si="19"/>
        <v>331238.03000000003</v>
      </c>
      <c r="O82" s="479">
        <f t="shared" si="20"/>
        <v>-83266.030000000028</v>
      </c>
    </row>
    <row r="83" spans="4:15" x14ac:dyDescent="0.25">
      <c r="D83" s="547">
        <v>880</v>
      </c>
      <c r="E83" s="216"/>
      <c r="F83" s="217" t="s">
        <v>182</v>
      </c>
      <c r="G83" s="214">
        <f t="shared" si="14"/>
        <v>0</v>
      </c>
      <c r="H83" s="213"/>
      <c r="I83" s="479">
        <f t="shared" si="15"/>
        <v>0</v>
      </c>
      <c r="J83" s="479">
        <f t="shared" si="16"/>
        <v>0</v>
      </c>
      <c r="K83" s="479">
        <f t="shared" si="17"/>
        <v>0</v>
      </c>
      <c r="L83" s="479">
        <f t="shared" si="18"/>
        <v>0</v>
      </c>
      <c r="M83" s="479">
        <f>SUM(Table210[[#This Row],[REQUISITION]:[EXPENDED]])</f>
        <v>0</v>
      </c>
      <c r="N83" s="479">
        <f t="shared" si="19"/>
        <v>0</v>
      </c>
      <c r="O83" s="479">
        <f t="shared" si="20"/>
        <v>0</v>
      </c>
    </row>
    <row r="84" spans="4:15" x14ac:dyDescent="0.25">
      <c r="D84" s="548">
        <v>881</v>
      </c>
      <c r="E84" s="216"/>
      <c r="F84" s="218" t="s">
        <v>183</v>
      </c>
      <c r="G84" s="214">
        <f t="shared" si="14"/>
        <v>0</v>
      </c>
      <c r="H84" s="213"/>
      <c r="I84" s="479">
        <f t="shared" si="15"/>
        <v>0</v>
      </c>
      <c r="J84" s="479">
        <f t="shared" si="16"/>
        <v>0</v>
      </c>
      <c r="K84" s="479">
        <f t="shared" si="17"/>
        <v>0</v>
      </c>
      <c r="L84" s="479">
        <f t="shared" si="18"/>
        <v>0</v>
      </c>
      <c r="M84" s="479">
        <f>SUM(Table210[[#This Row],[REQUISITION]:[EXPENDED]])</f>
        <v>0</v>
      </c>
      <c r="N84" s="479">
        <f t="shared" si="19"/>
        <v>0</v>
      </c>
      <c r="O84" s="479">
        <f t="shared" si="20"/>
        <v>0</v>
      </c>
    </row>
    <row r="85" spans="4:15" x14ac:dyDescent="0.25">
      <c r="D85" s="547">
        <v>882</v>
      </c>
      <c r="E85" s="216"/>
      <c r="F85" s="217" t="s">
        <v>184</v>
      </c>
      <c r="G85" s="214">
        <f t="shared" si="14"/>
        <v>1</v>
      </c>
      <c r="H85" s="213"/>
      <c r="I85" s="479">
        <f t="shared" si="15"/>
        <v>105039.2</v>
      </c>
      <c r="J85" s="479">
        <f t="shared" si="16"/>
        <v>0</v>
      </c>
      <c r="K85" s="479">
        <f t="shared" si="17"/>
        <v>0</v>
      </c>
      <c r="L85" s="479">
        <f t="shared" si="18"/>
        <v>31462.28</v>
      </c>
      <c r="M85" s="479">
        <f>SUM(Table210[[#This Row],[REQUISITION]:[EXPENDED]])</f>
        <v>31462.28</v>
      </c>
      <c r="N85" s="479">
        <f t="shared" si="19"/>
        <v>105039.2</v>
      </c>
      <c r="O85" s="479">
        <f t="shared" si="20"/>
        <v>0</v>
      </c>
    </row>
    <row r="86" spans="4:15" x14ac:dyDescent="0.25">
      <c r="D86" s="548">
        <v>883</v>
      </c>
      <c r="E86" s="216"/>
      <c r="F86" s="218" t="s">
        <v>185</v>
      </c>
      <c r="G86" s="214">
        <f t="shared" si="14"/>
        <v>76</v>
      </c>
      <c r="H86" s="213"/>
      <c r="I86" s="479">
        <f t="shared" si="15"/>
        <v>5187706.1500000022</v>
      </c>
      <c r="J86" s="479">
        <f t="shared" si="16"/>
        <v>279721.34999999998</v>
      </c>
      <c r="K86" s="479">
        <f t="shared" si="17"/>
        <v>0</v>
      </c>
      <c r="L86" s="479">
        <f t="shared" si="18"/>
        <v>1481975.4099999992</v>
      </c>
      <c r="M86" s="479">
        <f>SUM(Table210[[#This Row],[REQUISITION]:[EXPENDED]])</f>
        <v>1761696.7599999993</v>
      </c>
      <c r="N86" s="479">
        <f t="shared" si="19"/>
        <v>5187706.1500000022</v>
      </c>
      <c r="O86" s="479">
        <f t="shared" si="20"/>
        <v>0</v>
      </c>
    </row>
    <row r="87" spans="4:15" x14ac:dyDescent="0.25">
      <c r="D87" s="547">
        <v>883579</v>
      </c>
      <c r="E87" s="216"/>
      <c r="F87" s="217" t="s">
        <v>186</v>
      </c>
      <c r="G87" s="214">
        <f t="shared" si="14"/>
        <v>0</v>
      </c>
      <c r="H87" s="213"/>
      <c r="I87" s="479">
        <f t="shared" si="15"/>
        <v>0</v>
      </c>
      <c r="J87" s="479">
        <f t="shared" si="16"/>
        <v>0</v>
      </c>
      <c r="K87" s="479">
        <f t="shared" si="17"/>
        <v>0</v>
      </c>
      <c r="L87" s="479">
        <f t="shared" si="18"/>
        <v>0</v>
      </c>
      <c r="M87" s="479">
        <f>SUM(Table210[[#This Row],[REQUISITION]:[EXPENDED]])</f>
        <v>0</v>
      </c>
      <c r="N87" s="479">
        <f t="shared" si="19"/>
        <v>0</v>
      </c>
      <c r="O87" s="479">
        <f t="shared" si="20"/>
        <v>0</v>
      </c>
    </row>
    <row r="88" spans="4:15" x14ac:dyDescent="0.25">
      <c r="D88" s="548">
        <v>883855</v>
      </c>
      <c r="E88" s="216"/>
      <c r="F88" s="218" t="s">
        <v>187</v>
      </c>
      <c r="G88" s="214">
        <f t="shared" si="14"/>
        <v>0</v>
      </c>
      <c r="H88" s="213"/>
      <c r="I88" s="479">
        <f t="shared" si="15"/>
        <v>0</v>
      </c>
      <c r="J88" s="479">
        <f t="shared" si="16"/>
        <v>0</v>
      </c>
      <c r="K88" s="479">
        <f t="shared" si="17"/>
        <v>0</v>
      </c>
      <c r="L88" s="479">
        <f t="shared" si="18"/>
        <v>0</v>
      </c>
      <c r="M88" s="479">
        <f>SUM(Table210[[#This Row],[REQUISITION]:[EXPENDED]])</f>
        <v>0</v>
      </c>
      <c r="N88" s="479">
        <f t="shared" si="19"/>
        <v>0</v>
      </c>
      <c r="O88" s="479">
        <f t="shared" si="20"/>
        <v>0</v>
      </c>
    </row>
    <row r="89" spans="4:15" x14ac:dyDescent="0.25">
      <c r="D89" s="547">
        <v>884</v>
      </c>
      <c r="E89" s="216"/>
      <c r="F89" s="217" t="s">
        <v>188</v>
      </c>
      <c r="G89" s="214">
        <f t="shared" si="14"/>
        <v>3</v>
      </c>
      <c r="H89" s="213"/>
      <c r="I89" s="479">
        <f t="shared" si="15"/>
        <v>599012.6</v>
      </c>
      <c r="J89" s="479">
        <f t="shared" si="16"/>
        <v>0</v>
      </c>
      <c r="K89" s="479">
        <f t="shared" si="17"/>
        <v>0</v>
      </c>
      <c r="L89" s="479">
        <f t="shared" si="18"/>
        <v>192988.45000000004</v>
      </c>
      <c r="M89" s="479">
        <f>SUM(Table210[[#This Row],[REQUISITION]:[EXPENDED]])</f>
        <v>192988.45000000004</v>
      </c>
      <c r="N89" s="479">
        <f t="shared" si="19"/>
        <v>599012.6</v>
      </c>
      <c r="O89" s="479">
        <f t="shared" si="20"/>
        <v>0</v>
      </c>
    </row>
    <row r="90" spans="4:15" x14ac:dyDescent="0.25">
      <c r="D90" s="548">
        <v>885</v>
      </c>
      <c r="E90" s="216"/>
      <c r="F90" s="218" t="s">
        <v>189</v>
      </c>
      <c r="G90" s="214">
        <f t="shared" si="14"/>
        <v>2</v>
      </c>
      <c r="H90" s="213"/>
      <c r="I90" s="479">
        <f t="shared" si="15"/>
        <v>302125.8</v>
      </c>
      <c r="J90" s="479">
        <f t="shared" si="16"/>
        <v>0</v>
      </c>
      <c r="K90" s="479">
        <f t="shared" si="17"/>
        <v>0</v>
      </c>
      <c r="L90" s="479">
        <f t="shared" si="18"/>
        <v>94757.62</v>
      </c>
      <c r="M90" s="479">
        <f>SUM(Table210[[#This Row],[REQUISITION]:[EXPENDED]])</f>
        <v>94757.62</v>
      </c>
      <c r="N90" s="479">
        <f t="shared" si="19"/>
        <v>302125.8</v>
      </c>
      <c r="O90" s="479">
        <f t="shared" si="20"/>
        <v>0</v>
      </c>
    </row>
    <row r="91" spans="4:15" x14ac:dyDescent="0.25">
      <c r="D91" s="547">
        <v>886</v>
      </c>
      <c r="E91" s="216"/>
      <c r="F91" s="217" t="s">
        <v>190</v>
      </c>
      <c r="G91" s="214">
        <f t="shared" si="14"/>
        <v>21</v>
      </c>
      <c r="H91" s="213"/>
      <c r="I91" s="479">
        <f t="shared" si="15"/>
        <v>3023726.69</v>
      </c>
      <c r="J91" s="479">
        <f t="shared" si="16"/>
        <v>0</v>
      </c>
      <c r="K91" s="479">
        <f t="shared" si="17"/>
        <v>0</v>
      </c>
      <c r="L91" s="479">
        <f t="shared" si="18"/>
        <v>894845.37</v>
      </c>
      <c r="M91" s="479">
        <f>SUM(Table210[[#This Row],[REQUISITION]:[EXPENDED]])</f>
        <v>894845.37</v>
      </c>
      <c r="N91" s="479">
        <f t="shared" si="19"/>
        <v>3023726.69</v>
      </c>
      <c r="O91" s="479">
        <f t="shared" si="20"/>
        <v>0</v>
      </c>
    </row>
    <row r="92" spans="4:15" x14ac:dyDescent="0.25">
      <c r="D92" s="548">
        <v>887</v>
      </c>
      <c r="E92" s="216"/>
      <c r="F92" s="218" t="s">
        <v>191</v>
      </c>
      <c r="G92" s="214">
        <f t="shared" si="14"/>
        <v>151</v>
      </c>
      <c r="H92" s="213"/>
      <c r="I92" s="479">
        <f t="shared" si="15"/>
        <v>13304638.759999998</v>
      </c>
      <c r="J92" s="479">
        <f t="shared" si="16"/>
        <v>0</v>
      </c>
      <c r="K92" s="479">
        <f t="shared" si="17"/>
        <v>0</v>
      </c>
      <c r="L92" s="479">
        <f t="shared" si="18"/>
        <v>3971273.9599999981</v>
      </c>
      <c r="M92" s="479">
        <f>SUM(Table210[[#This Row],[REQUISITION]:[EXPENDED]])</f>
        <v>3971273.9599999981</v>
      </c>
      <c r="N92" s="479">
        <f t="shared" si="19"/>
        <v>13304638.759999998</v>
      </c>
      <c r="O92" s="479">
        <f t="shared" si="20"/>
        <v>0</v>
      </c>
    </row>
    <row r="93" spans="4:15" x14ac:dyDescent="0.25">
      <c r="D93" s="547">
        <v>887579</v>
      </c>
      <c r="E93" s="216"/>
      <c r="F93" s="217" t="s">
        <v>192</v>
      </c>
      <c r="G93" s="214">
        <f t="shared" si="14"/>
        <v>0</v>
      </c>
      <c r="H93" s="213"/>
      <c r="I93" s="479">
        <f t="shared" si="15"/>
        <v>0</v>
      </c>
      <c r="J93" s="479">
        <f t="shared" si="16"/>
        <v>0</v>
      </c>
      <c r="K93" s="479">
        <f t="shared" si="17"/>
        <v>0</v>
      </c>
      <c r="L93" s="479">
        <f t="shared" si="18"/>
        <v>0</v>
      </c>
      <c r="M93" s="479">
        <f>SUM(Table210[[#This Row],[REQUISITION]:[EXPENDED]])</f>
        <v>0</v>
      </c>
      <c r="N93" s="479">
        <f t="shared" si="19"/>
        <v>0</v>
      </c>
      <c r="O93" s="479">
        <f t="shared" si="20"/>
        <v>0</v>
      </c>
    </row>
    <row r="94" spans="4:15" x14ac:dyDescent="0.25">
      <c r="D94" s="548">
        <v>887855</v>
      </c>
      <c r="E94" s="216"/>
      <c r="F94" s="218" t="s">
        <v>193</v>
      </c>
      <c r="G94" s="214">
        <f t="shared" si="14"/>
        <v>0</v>
      </c>
      <c r="H94" s="213"/>
      <c r="I94" s="479">
        <f t="shared" si="15"/>
        <v>0</v>
      </c>
      <c r="J94" s="479">
        <f t="shared" si="16"/>
        <v>0</v>
      </c>
      <c r="K94" s="479">
        <f t="shared" si="17"/>
        <v>0</v>
      </c>
      <c r="L94" s="479">
        <f t="shared" si="18"/>
        <v>0</v>
      </c>
      <c r="M94" s="479">
        <f>SUM(Table210[[#This Row],[REQUISITION]:[EXPENDED]])</f>
        <v>0</v>
      </c>
      <c r="N94" s="479">
        <f t="shared" si="19"/>
        <v>0</v>
      </c>
      <c r="O94" s="479">
        <f t="shared" si="20"/>
        <v>0</v>
      </c>
    </row>
    <row r="95" spans="4:15" x14ac:dyDescent="0.25">
      <c r="D95" s="547">
        <v>888</v>
      </c>
      <c r="E95" s="216"/>
      <c r="F95" s="217" t="s">
        <v>194</v>
      </c>
      <c r="G95" s="214">
        <f t="shared" si="14"/>
        <v>6</v>
      </c>
      <c r="H95" s="213"/>
      <c r="I95" s="479">
        <f t="shared" si="15"/>
        <v>87937.989999999991</v>
      </c>
      <c r="J95" s="479">
        <f t="shared" si="16"/>
        <v>0</v>
      </c>
      <c r="K95" s="479">
        <f t="shared" si="17"/>
        <v>0</v>
      </c>
      <c r="L95" s="479">
        <f t="shared" si="18"/>
        <v>29089.299999999996</v>
      </c>
      <c r="M95" s="479">
        <f>SUM(Table210[[#This Row],[REQUISITION]:[EXPENDED]])</f>
        <v>29089.299999999996</v>
      </c>
      <c r="N95" s="479">
        <f t="shared" si="19"/>
        <v>87937.989999999991</v>
      </c>
      <c r="O95" s="479">
        <f t="shared" si="20"/>
        <v>0</v>
      </c>
    </row>
    <row r="96" spans="4:15" x14ac:dyDescent="0.25">
      <c r="D96" s="548">
        <v>889</v>
      </c>
      <c r="E96" s="216"/>
      <c r="F96" s="218" t="s">
        <v>195</v>
      </c>
      <c r="G96" s="214">
        <f t="shared" si="14"/>
        <v>0</v>
      </c>
      <c r="H96" s="213"/>
      <c r="I96" s="479">
        <f t="shared" si="15"/>
        <v>372928.76</v>
      </c>
      <c r="J96" s="479">
        <f t="shared" si="16"/>
        <v>0</v>
      </c>
      <c r="K96" s="479">
        <f t="shared" si="17"/>
        <v>0</v>
      </c>
      <c r="L96" s="479">
        <f t="shared" si="18"/>
        <v>89680.54</v>
      </c>
      <c r="M96" s="479">
        <f>SUM(Table210[[#This Row],[REQUISITION]:[EXPENDED]])</f>
        <v>89680.54</v>
      </c>
      <c r="N96" s="479">
        <f t="shared" si="19"/>
        <v>372928.76</v>
      </c>
      <c r="O96" s="479">
        <f t="shared" si="20"/>
        <v>0</v>
      </c>
    </row>
    <row r="97" spans="4:15" x14ac:dyDescent="0.25">
      <c r="D97" s="547">
        <v>890</v>
      </c>
      <c r="E97" s="216"/>
      <c r="F97" s="217" t="s">
        <v>196</v>
      </c>
      <c r="G97" s="214">
        <f t="shared" si="14"/>
        <v>0</v>
      </c>
      <c r="H97" s="213"/>
      <c r="I97" s="479">
        <f t="shared" si="15"/>
        <v>230572.38</v>
      </c>
      <c r="J97" s="479">
        <f t="shared" si="16"/>
        <v>53650.27</v>
      </c>
      <c r="K97" s="479">
        <f t="shared" si="17"/>
        <v>799.5</v>
      </c>
      <c r="L97" s="479">
        <f t="shared" si="18"/>
        <v>-13725.770000000002</v>
      </c>
      <c r="M97" s="479">
        <f>SUM(Table210[[#This Row],[REQUISITION]:[EXPENDED]])</f>
        <v>40723.999999999993</v>
      </c>
      <c r="N97" s="479">
        <f t="shared" si="19"/>
        <v>230572.38</v>
      </c>
      <c r="O97" s="479">
        <f t="shared" si="20"/>
        <v>0</v>
      </c>
    </row>
    <row r="98" spans="4:15" x14ac:dyDescent="0.25">
      <c r="D98" s="548">
        <v>891</v>
      </c>
      <c r="E98" s="216"/>
      <c r="F98" s="218" t="s">
        <v>197</v>
      </c>
      <c r="G98" s="214">
        <f t="shared" si="14"/>
        <v>0</v>
      </c>
      <c r="H98" s="213"/>
      <c r="I98" s="479">
        <f t="shared" si="15"/>
        <v>3558499.99</v>
      </c>
      <c r="J98" s="479">
        <f t="shared" si="16"/>
        <v>1337656.58</v>
      </c>
      <c r="K98" s="479">
        <f t="shared" si="17"/>
        <v>0</v>
      </c>
      <c r="L98" s="479">
        <f t="shared" si="18"/>
        <v>1277812.7</v>
      </c>
      <c r="M98" s="479">
        <f>SUM(Table210[[#This Row],[REQUISITION]:[EXPENDED]])</f>
        <v>2615469.2800000003</v>
      </c>
      <c r="N98" s="479">
        <f t="shared" si="19"/>
        <v>3558499.99</v>
      </c>
      <c r="O98" s="479">
        <f t="shared" si="20"/>
        <v>0</v>
      </c>
    </row>
    <row r="99" spans="4:15" x14ac:dyDescent="0.25">
      <c r="D99" s="547">
        <v>892</v>
      </c>
      <c r="E99" s="216"/>
      <c r="F99" s="217" t="s">
        <v>198</v>
      </c>
      <c r="G99" s="214">
        <f t="shared" ref="G99:G106" si="21">SUMIF($D$127:$D$4732,$D99,$G$127:$G$4732)</f>
        <v>0</v>
      </c>
      <c r="H99" s="213"/>
      <c r="I99" s="479">
        <f t="shared" ref="I99:I106" si="22">SUMIF($D$127:$D$4077,$D99,$I$127:$I$4077)</f>
        <v>407366.40000000002</v>
      </c>
      <c r="J99" s="479">
        <f t="shared" ref="J99:J106" si="23">SUMIF($D$127:$D$4732,$D99,$J$127:$J$4732)</f>
        <v>271576</v>
      </c>
      <c r="K99" s="479">
        <f t="shared" ref="K99:K106" si="24">SUMIF($D$127:$D$4732,$D99,$K$127:$K$4732)</f>
        <v>0</v>
      </c>
      <c r="L99" s="479">
        <f t="shared" ref="L99:L106" si="25">SUMIF($D$127:$D$4732,$D99,$L$127:$L$4732)</f>
        <v>135788</v>
      </c>
      <c r="M99" s="479">
        <f>SUM(Table210[[#This Row],[REQUISITION]:[EXPENDED]])</f>
        <v>407364</v>
      </c>
      <c r="N99" s="479">
        <f t="shared" ref="N99:N107" si="26">SUMIF($D$127:$D$4732,$D99,$N$127:$N$4732)</f>
        <v>407366.40000000002</v>
      </c>
      <c r="O99" s="479">
        <f t="shared" ref="O99:O107" si="27">SUMIF($D$127:$D$4732,$D99,$O$127:$O$4732)</f>
        <v>0</v>
      </c>
    </row>
    <row r="100" spans="4:15" x14ac:dyDescent="0.25">
      <c r="D100" s="548">
        <v>893</v>
      </c>
      <c r="E100" s="216"/>
      <c r="F100" s="218" t="s">
        <v>199</v>
      </c>
      <c r="G100" s="214">
        <f t="shared" si="21"/>
        <v>0</v>
      </c>
      <c r="H100" s="213"/>
      <c r="I100" s="479">
        <f t="shared" si="22"/>
        <v>389099.96</v>
      </c>
      <c r="J100" s="479">
        <f t="shared" si="23"/>
        <v>235276.19</v>
      </c>
      <c r="K100" s="479">
        <f t="shared" si="24"/>
        <v>0</v>
      </c>
      <c r="L100" s="479">
        <f t="shared" si="25"/>
        <v>151055.75</v>
      </c>
      <c r="M100" s="479">
        <f>SUM(Table210[[#This Row],[REQUISITION]:[EXPENDED]])</f>
        <v>386331.94</v>
      </c>
      <c r="N100" s="479">
        <f t="shared" si="26"/>
        <v>389099.96</v>
      </c>
      <c r="O100" s="479">
        <f t="shared" si="27"/>
        <v>0</v>
      </c>
    </row>
    <row r="101" spans="4:15" x14ac:dyDescent="0.25">
      <c r="D101" s="547">
        <v>894</v>
      </c>
      <c r="E101" s="216"/>
      <c r="F101" s="217" t="s">
        <v>200</v>
      </c>
      <c r="G101" s="214">
        <f t="shared" si="21"/>
        <v>0</v>
      </c>
      <c r="H101" s="213"/>
      <c r="I101" s="479">
        <f t="shared" si="22"/>
        <v>1156326.25</v>
      </c>
      <c r="J101" s="479">
        <f t="shared" si="23"/>
        <v>538885.87</v>
      </c>
      <c r="K101" s="479">
        <f t="shared" si="24"/>
        <v>4192.46</v>
      </c>
      <c r="L101" s="479">
        <f t="shared" si="25"/>
        <v>282539.86</v>
      </c>
      <c r="M101" s="479">
        <f>SUM(Table210[[#This Row],[REQUISITION]:[EXPENDED]])</f>
        <v>825618.19</v>
      </c>
      <c r="N101" s="479">
        <f t="shared" si="26"/>
        <v>1156326.25</v>
      </c>
      <c r="O101" s="479">
        <f t="shared" si="27"/>
        <v>0</v>
      </c>
    </row>
    <row r="102" spans="4:15" x14ac:dyDescent="0.25">
      <c r="D102" s="548">
        <v>895</v>
      </c>
      <c r="E102" s="216"/>
      <c r="F102" s="218" t="s">
        <v>201</v>
      </c>
      <c r="G102" s="214">
        <f t="shared" si="21"/>
        <v>0</v>
      </c>
      <c r="H102" s="213"/>
      <c r="I102" s="479">
        <f t="shared" si="22"/>
        <v>134410.62</v>
      </c>
      <c r="J102" s="479">
        <f t="shared" si="23"/>
        <v>38236.18</v>
      </c>
      <c r="K102" s="479">
        <f t="shared" si="24"/>
        <v>0</v>
      </c>
      <c r="L102" s="479">
        <f t="shared" si="25"/>
        <v>21169.379999999997</v>
      </c>
      <c r="M102" s="479">
        <f>SUM(Table210[[#This Row],[REQUISITION]:[EXPENDED]])</f>
        <v>59405.56</v>
      </c>
      <c r="N102" s="479">
        <f t="shared" si="26"/>
        <v>134410.62</v>
      </c>
      <c r="O102" s="479">
        <f t="shared" si="27"/>
        <v>0</v>
      </c>
    </row>
    <row r="103" spans="4:15" x14ac:dyDescent="0.25">
      <c r="D103" s="547">
        <v>896</v>
      </c>
      <c r="E103" s="216"/>
      <c r="F103" s="217" t="s">
        <v>202</v>
      </c>
      <c r="G103" s="214">
        <f t="shared" si="21"/>
        <v>0</v>
      </c>
      <c r="H103" s="213"/>
      <c r="I103" s="479">
        <f t="shared" si="22"/>
        <v>1264998.1800000002</v>
      </c>
      <c r="J103" s="479">
        <f t="shared" si="23"/>
        <v>875044.61</v>
      </c>
      <c r="K103" s="479">
        <f t="shared" si="24"/>
        <v>0</v>
      </c>
      <c r="L103" s="479">
        <f t="shared" si="25"/>
        <v>152530.84</v>
      </c>
      <c r="M103" s="479">
        <f>SUM(Table210[[#This Row],[REQUISITION]:[EXPENDED]])</f>
        <v>1027575.45</v>
      </c>
      <c r="N103" s="479">
        <f t="shared" si="26"/>
        <v>1965016.53</v>
      </c>
      <c r="O103" s="479">
        <f t="shared" si="27"/>
        <v>-700018.35</v>
      </c>
    </row>
    <row r="104" spans="4:15" x14ac:dyDescent="0.25">
      <c r="D104" s="548">
        <v>897</v>
      </c>
      <c r="E104" s="216"/>
      <c r="F104" s="219" t="s">
        <v>203</v>
      </c>
      <c r="G104" s="214">
        <f t="shared" si="21"/>
        <v>0</v>
      </c>
      <c r="H104" s="213"/>
      <c r="I104" s="479">
        <f t="shared" si="22"/>
        <v>0</v>
      </c>
      <c r="J104" s="479">
        <f t="shared" si="23"/>
        <v>0</v>
      </c>
      <c r="K104" s="479">
        <f t="shared" si="24"/>
        <v>0</v>
      </c>
      <c r="L104" s="479">
        <f t="shared" si="25"/>
        <v>0</v>
      </c>
      <c r="M104" s="479">
        <f>SUM(Table210[[#This Row],[REQUISITION]:[EXPENDED]])</f>
        <v>0</v>
      </c>
      <c r="N104" s="479">
        <f t="shared" si="26"/>
        <v>0</v>
      </c>
      <c r="O104" s="479">
        <f t="shared" si="27"/>
        <v>0</v>
      </c>
    </row>
    <row r="105" spans="4:15" x14ac:dyDescent="0.25">
      <c r="D105" s="547">
        <v>898</v>
      </c>
      <c r="E105" s="216"/>
      <c r="F105" s="217" t="s">
        <v>204</v>
      </c>
      <c r="G105" s="214">
        <f t="shared" si="21"/>
        <v>0</v>
      </c>
      <c r="H105" s="213"/>
      <c r="I105" s="479">
        <f t="shared" si="22"/>
        <v>5000</v>
      </c>
      <c r="J105" s="479">
        <f t="shared" si="23"/>
        <v>0</v>
      </c>
      <c r="K105" s="479">
        <f t="shared" si="24"/>
        <v>0</v>
      </c>
      <c r="L105" s="479">
        <f t="shared" si="25"/>
        <v>0</v>
      </c>
      <c r="M105" s="479">
        <f>SUM(Table210[[#This Row],[REQUISITION]:[EXPENDED]])</f>
        <v>0</v>
      </c>
      <c r="N105" s="479">
        <f t="shared" si="26"/>
        <v>5000</v>
      </c>
      <c r="O105" s="479">
        <f t="shared" si="27"/>
        <v>0</v>
      </c>
    </row>
    <row r="106" spans="4:15" x14ac:dyDescent="0.25">
      <c r="D106" s="548">
        <v>899</v>
      </c>
      <c r="E106" s="216"/>
      <c r="F106" s="218" t="s">
        <v>205</v>
      </c>
      <c r="G106" s="214">
        <f t="shared" si="21"/>
        <v>0</v>
      </c>
      <c r="H106" s="213"/>
      <c r="I106" s="479">
        <f t="shared" si="22"/>
        <v>0</v>
      </c>
      <c r="J106" s="479">
        <f t="shared" si="23"/>
        <v>0</v>
      </c>
      <c r="K106" s="479">
        <f t="shared" si="24"/>
        <v>0</v>
      </c>
      <c r="L106" s="479">
        <f t="shared" si="25"/>
        <v>0</v>
      </c>
      <c r="M106" s="479">
        <f>SUM(Table210[[#This Row],[REQUISITION]:[EXPENDED]])</f>
        <v>0</v>
      </c>
      <c r="N106" s="479">
        <f t="shared" si="26"/>
        <v>0</v>
      </c>
      <c r="O106" s="479">
        <f t="shared" si="27"/>
        <v>0</v>
      </c>
    </row>
    <row r="107" spans="4:15" x14ac:dyDescent="0.25">
      <c r="D107" s="220"/>
      <c r="E107" s="216"/>
      <c r="F107" s="216"/>
      <c r="G107" s="268"/>
      <c r="H107" s="213"/>
      <c r="I107" s="479"/>
      <c r="J107" s="479"/>
      <c r="K107" s="479"/>
      <c r="L107" s="479"/>
      <c r="M107" s="479"/>
      <c r="N107" s="479">
        <f t="shared" si="26"/>
        <v>0</v>
      </c>
      <c r="O107" s="479">
        <f t="shared" si="27"/>
        <v>0</v>
      </c>
    </row>
    <row r="108" spans="4:15" x14ac:dyDescent="0.25">
      <c r="D108" s="265" t="s">
        <v>54</v>
      </c>
      <c r="E108" s="266"/>
      <c r="F108" s="266"/>
      <c r="G108" s="269">
        <f>SUBTOTAL(109,Table210[FTE])</f>
        <v>1807.6999999999998</v>
      </c>
      <c r="H108" s="267"/>
      <c r="I108" s="490">
        <f>SUBTOTAL(109,Table210[BUDGET])</f>
        <v>242735981.81999999</v>
      </c>
      <c r="J108" s="490">
        <f>SUBTOTAL(109,Table210[REQUISITION])</f>
        <v>17346370.089999996</v>
      </c>
      <c r="K108" s="490">
        <f>SUBTOTAL(109,Table210[ENCUMBERED])</f>
        <v>80687.75</v>
      </c>
      <c r="L108" s="490">
        <f>SUBTOTAL(109,Table210[EXPENDED])</f>
        <v>63094959.410000011</v>
      </c>
      <c r="M108" s="490">
        <f>SUBTOTAL(109,Table210[TOTAL YTD])</f>
        <v>80522017.250000045</v>
      </c>
      <c r="N108" s="490">
        <f>SUBTOTAL(109,Table210[FORECAST])</f>
        <v>281388188.40999991</v>
      </c>
      <c r="O108" s="490">
        <f>SUBTOTAL(109,Table210[VARIANCE])</f>
        <v>-38652206.590000011</v>
      </c>
    </row>
    <row r="109" spans="4:15" x14ac:dyDescent="0.25">
      <c r="D109" s="206"/>
      <c r="E109" s="216"/>
      <c r="F109" s="216"/>
      <c r="G109" s="206"/>
      <c r="H109" s="213"/>
      <c r="I109" s="479"/>
      <c r="J109" s="479"/>
      <c r="K109" s="479"/>
      <c r="L109" s="479"/>
      <c r="M109" s="479"/>
    </row>
    <row r="110" spans="4:15" ht="15.75" thickBot="1" x14ac:dyDescent="0.3">
      <c r="D110" s="221" t="s">
        <v>207</v>
      </c>
      <c r="E110" s="221"/>
      <c r="F110" s="222" t="s">
        <v>208</v>
      </c>
      <c r="G110" s="223"/>
      <c r="H110" s="224"/>
      <c r="I110" s="225" t="s">
        <v>209</v>
      </c>
      <c r="J110" s="221" t="s">
        <v>210</v>
      </c>
      <c r="K110" s="221" t="s">
        <v>97</v>
      </c>
      <c r="L110" s="221" t="s">
        <v>211</v>
      </c>
      <c r="M110" s="221" t="s">
        <v>99</v>
      </c>
      <c r="N110" s="221" t="s">
        <v>100</v>
      </c>
      <c r="O110" s="221" t="s">
        <v>101</v>
      </c>
    </row>
    <row r="111" spans="4:15" x14ac:dyDescent="0.25">
      <c r="D111" s="226" t="s">
        <v>212</v>
      </c>
      <c r="E111" s="227"/>
      <c r="F111" s="228" t="s">
        <v>213</v>
      </c>
      <c r="G111" s="206"/>
      <c r="H111" s="213"/>
      <c r="I111" s="491">
        <f>SUM(I3:I53)</f>
        <v>168253851.61000001</v>
      </c>
      <c r="J111" s="491">
        <f>SUM(J3:J53)</f>
        <v>11569980.43</v>
      </c>
      <c r="K111" s="491">
        <f>SUM(K3:K53)</f>
        <v>75695.789999999994</v>
      </c>
      <c r="L111" s="491">
        <f>SUM(L3:L53)</f>
        <v>46941643.760000005</v>
      </c>
      <c r="M111" s="492">
        <f>SUM(J111:L111)</f>
        <v>58587319.980000004</v>
      </c>
      <c r="N111" s="493">
        <f>SUM(N3:N53)</f>
        <v>191273884.28999996</v>
      </c>
      <c r="O111" s="494">
        <f>I111-N111</f>
        <v>-23020032.679999948</v>
      </c>
    </row>
    <row r="112" spans="4:15" x14ac:dyDescent="0.25">
      <c r="D112" s="229" t="s">
        <v>214</v>
      </c>
      <c r="E112" s="230"/>
      <c r="F112" s="231" t="s">
        <v>215</v>
      </c>
      <c r="G112" s="206"/>
      <c r="H112" s="213"/>
      <c r="I112" s="495">
        <f>SUM(I54:I55)</f>
        <v>334717.49</v>
      </c>
      <c r="J112" s="495">
        <f>SUM(J54:J55)</f>
        <v>0</v>
      </c>
      <c r="K112" s="495">
        <f>SUM(K54:K55)</f>
        <v>0</v>
      </c>
      <c r="L112" s="495">
        <f>SUM(L54:L55)</f>
        <v>83823.899999999994</v>
      </c>
      <c r="M112" s="496">
        <f>SUM(J112:L112)</f>
        <v>83823.899999999994</v>
      </c>
      <c r="N112" s="497">
        <f>SUM(N54:N55)</f>
        <v>334717.49</v>
      </c>
      <c r="O112" s="498">
        <f>I112-N112</f>
        <v>0</v>
      </c>
    </row>
    <row r="113" spans="1:19" x14ac:dyDescent="0.25">
      <c r="D113" s="229" t="s">
        <v>216</v>
      </c>
      <c r="E113" s="230"/>
      <c r="F113" s="231" t="s">
        <v>217</v>
      </c>
      <c r="G113" s="206"/>
      <c r="H113" s="213"/>
      <c r="I113" s="495">
        <f>SUM(I56:I65)</f>
        <v>17022710.259999998</v>
      </c>
      <c r="J113" s="495">
        <f>SUM(J56:J65)</f>
        <v>260335.84</v>
      </c>
      <c r="K113" s="495">
        <f>SUM(K56:K65)</f>
        <v>0</v>
      </c>
      <c r="L113" s="495">
        <f>SUM(L56:L65)</f>
        <v>3806107.3500000015</v>
      </c>
      <c r="M113" s="496">
        <f>SUM(J113:L113)</f>
        <v>4066443.1900000013</v>
      </c>
      <c r="N113" s="497">
        <f>SUM(N56:N65)</f>
        <v>17548045.52</v>
      </c>
      <c r="O113" s="498">
        <f>I113-N113</f>
        <v>-525335.26000000164</v>
      </c>
    </row>
    <row r="114" spans="1:19" x14ac:dyDescent="0.25">
      <c r="D114" s="229" t="s">
        <v>218</v>
      </c>
      <c r="E114" s="230"/>
      <c r="F114" s="231" t="s">
        <v>219</v>
      </c>
      <c r="G114" s="206"/>
      <c r="H114" s="213"/>
      <c r="I114" s="495">
        <f>SUM(I66:I68)</f>
        <v>3258771.79</v>
      </c>
      <c r="J114" s="495">
        <f>SUM(J66:J68)</f>
        <v>266947.61</v>
      </c>
      <c r="K114" s="495">
        <f>SUM(K66:K68)</f>
        <v>0</v>
      </c>
      <c r="L114" s="495">
        <f>SUM(L66:L68)</f>
        <v>598124.5</v>
      </c>
      <c r="M114" s="496">
        <f>SUM(J114:L114)</f>
        <v>865072.11</v>
      </c>
      <c r="N114" s="497">
        <f>SUM(N66:N68)</f>
        <v>3258771.79</v>
      </c>
      <c r="O114" s="498">
        <f>I114-N114</f>
        <v>0</v>
      </c>
    </row>
    <row r="115" spans="1:19" ht="15.75" thickBot="1" x14ac:dyDescent="0.3">
      <c r="D115" s="232" t="s">
        <v>220</v>
      </c>
      <c r="E115" s="233"/>
      <c r="F115" s="234" t="s">
        <v>221</v>
      </c>
      <c r="G115" s="235"/>
      <c r="H115" s="236"/>
      <c r="I115" s="499">
        <f>SUM(I69:I106)</f>
        <v>53865930.670000002</v>
      </c>
      <c r="J115" s="499">
        <f>SUM(J69:J106)</f>
        <v>5249106.21</v>
      </c>
      <c r="K115" s="499">
        <f>SUM(K69:K106)</f>
        <v>4991.96</v>
      </c>
      <c r="L115" s="499">
        <f>SUM(L69:L106)</f>
        <v>11665259.899999997</v>
      </c>
      <c r="M115" s="496">
        <f>SUM(J115:L115)</f>
        <v>16919358.069999997</v>
      </c>
      <c r="N115" s="479">
        <f>SUM(N69:N106)</f>
        <v>68972769.320000008</v>
      </c>
      <c r="O115" s="498">
        <f>I115-N115</f>
        <v>-15106838.650000006</v>
      </c>
    </row>
    <row r="116" spans="1:19" ht="15.75" thickBot="1" x14ac:dyDescent="0.3">
      <c r="D116" s="237"/>
      <c r="E116" s="237"/>
      <c r="F116" s="237"/>
      <c r="G116" s="238" t="s">
        <v>206</v>
      </c>
      <c r="H116" s="238"/>
      <c r="I116" s="239">
        <f>SUM(I111:I115)</f>
        <v>242735981.81999999</v>
      </c>
      <c r="J116" s="239">
        <f t="shared" ref="J116:O116" si="28">SUM(J111:J115)</f>
        <v>17346370.09</v>
      </c>
      <c r="K116" s="239">
        <f t="shared" si="28"/>
        <v>80687.75</v>
      </c>
      <c r="L116" s="239">
        <f t="shared" si="28"/>
        <v>63094959.410000004</v>
      </c>
      <c r="M116" s="240">
        <f t="shared" si="28"/>
        <v>80522017.25</v>
      </c>
      <c r="N116" s="241">
        <f t="shared" si="28"/>
        <v>281388188.40999997</v>
      </c>
      <c r="O116" s="242">
        <f t="shared" si="28"/>
        <v>-38652206.589999959</v>
      </c>
    </row>
    <row r="117" spans="1:19" ht="15.75" thickBot="1" x14ac:dyDescent="0.3">
      <c r="A117" s="243"/>
      <c r="B117" s="243"/>
      <c r="C117" s="243"/>
      <c r="D117" s="243"/>
      <c r="E117" s="243"/>
      <c r="F117" s="243"/>
      <c r="G117" s="243"/>
      <c r="H117" s="243"/>
      <c r="I117" s="243"/>
      <c r="J117" s="243"/>
      <c r="K117" s="243"/>
      <c r="L117" s="243"/>
      <c r="M117" s="243"/>
      <c r="N117" s="243"/>
      <c r="O117" s="243"/>
    </row>
    <row r="118" spans="1:19" ht="15.75" thickBot="1" x14ac:dyDescent="0.3">
      <c r="A118" s="243"/>
      <c r="B118" s="243"/>
      <c r="C118" s="243"/>
      <c r="D118" s="243"/>
      <c r="E118" s="243"/>
      <c r="F118" s="243"/>
      <c r="G118" s="243"/>
      <c r="H118" s="243"/>
      <c r="I118" s="243"/>
      <c r="J118" s="243"/>
      <c r="K118" s="243" t="s">
        <v>222</v>
      </c>
      <c r="L118" s="243"/>
      <c r="M118" s="243"/>
      <c r="N118" s="143" t="s">
        <v>223</v>
      </c>
      <c r="O118" s="643"/>
    </row>
    <row r="119" spans="1:19" x14ac:dyDescent="0.25">
      <c r="A119" s="243"/>
      <c r="B119" s="243"/>
      <c r="C119" s="243"/>
      <c r="D119" s="243"/>
      <c r="E119" s="243"/>
      <c r="F119" s="243"/>
      <c r="G119" s="243"/>
      <c r="H119" s="243"/>
      <c r="I119" s="243"/>
      <c r="J119" s="243"/>
      <c r="K119" s="243" t="s">
        <v>222</v>
      </c>
      <c r="L119" s="243"/>
      <c r="M119" s="243"/>
      <c r="N119" s="254" t="s">
        <v>224</v>
      </c>
      <c r="O119" s="643">
        <f>O4120</f>
        <v>6555639</v>
      </c>
    </row>
    <row r="120" spans="1:19" x14ac:dyDescent="0.25">
      <c r="A120" s="243"/>
      <c r="B120" s="243"/>
      <c r="C120" s="243"/>
      <c r="D120" s="243"/>
      <c r="E120" s="243"/>
      <c r="F120" s="243"/>
      <c r="G120" s="243"/>
      <c r="H120" s="243"/>
      <c r="I120" s="243"/>
      <c r="J120" s="243"/>
      <c r="K120" s="243" t="s">
        <v>222</v>
      </c>
      <c r="L120" s="243"/>
      <c r="M120" s="243"/>
      <c r="N120" s="254" t="s">
        <v>2267</v>
      </c>
      <c r="O120" s="840">
        <f>O4124</f>
        <v>14000000</v>
      </c>
    </row>
    <row r="121" spans="1:19" ht="15.75" thickBot="1" x14ac:dyDescent="0.3">
      <c r="A121" s="243"/>
      <c r="B121" s="243"/>
      <c r="C121" s="243"/>
      <c r="D121" s="243"/>
      <c r="E121" s="243"/>
      <c r="F121" s="243"/>
      <c r="G121" s="243"/>
      <c r="H121" s="243"/>
      <c r="I121" s="243"/>
      <c r="J121" s="243"/>
      <c r="K121" s="243" t="s">
        <v>222</v>
      </c>
      <c r="L121" s="243"/>
      <c r="M121" s="243"/>
      <c r="N121" s="855" t="s">
        <v>2348</v>
      </c>
      <c r="O121" s="644">
        <f>O4126</f>
        <v>10300000</v>
      </c>
    </row>
    <row r="122" spans="1:19" ht="15.75" thickBot="1" x14ac:dyDescent="0.3">
      <c r="A122" s="243"/>
      <c r="B122" s="243"/>
      <c r="C122" s="243"/>
      <c r="D122" s="243"/>
      <c r="E122" s="243"/>
      <c r="F122" s="243"/>
      <c r="G122" s="243"/>
      <c r="H122" s="243"/>
      <c r="I122" s="243"/>
      <c r="J122" s="243"/>
      <c r="K122" s="244" t="s">
        <v>2349</v>
      </c>
      <c r="L122" s="244"/>
      <c r="M122" s="244"/>
      <c r="N122" s="242" t="s">
        <v>225</v>
      </c>
      <c r="O122" s="645">
        <f>SUM(O116:O121)</f>
        <v>-7796567.5899999589</v>
      </c>
    </row>
    <row r="123" spans="1:19" x14ac:dyDescent="0.25">
      <c r="A123" s="243"/>
      <c r="B123" s="243"/>
      <c r="C123" s="243"/>
      <c r="D123" s="243"/>
      <c r="E123" s="243"/>
      <c r="F123" s="243"/>
      <c r="G123" s="243"/>
      <c r="H123" s="243"/>
      <c r="I123" s="243"/>
      <c r="J123" s="243"/>
      <c r="K123" s="243"/>
      <c r="L123" s="243"/>
      <c r="M123" s="243"/>
      <c r="N123" s="243"/>
      <c r="O123" s="243"/>
    </row>
    <row r="124" spans="1:19" x14ac:dyDescent="0.25">
      <c r="A124" s="201" t="s">
        <v>234</v>
      </c>
      <c r="B124" s="201"/>
      <c r="Q124" s="246"/>
      <c r="R124" s="246"/>
      <c r="S124" s="246"/>
    </row>
    <row r="125" spans="1:19" x14ac:dyDescent="0.25">
      <c r="A125" s="203"/>
      <c r="B125" s="203"/>
      <c r="P125" s="246"/>
      <c r="Q125" s="246"/>
      <c r="R125" s="246"/>
      <c r="S125" s="246"/>
    </row>
    <row r="126" spans="1:19" s="252" customFormat="1" ht="19.5" customHeight="1" outlineLevel="2" x14ac:dyDescent="0.25">
      <c r="A126" s="247" t="s">
        <v>235</v>
      </c>
      <c r="B126" s="247" t="s">
        <v>236</v>
      </c>
      <c r="C126" s="248" t="s">
        <v>237</v>
      </c>
      <c r="D126" s="263" t="s">
        <v>238</v>
      </c>
      <c r="E126" s="263" t="s">
        <v>239</v>
      </c>
      <c r="F126" s="248" t="s">
        <v>240</v>
      </c>
      <c r="G126" s="264" t="s">
        <v>96</v>
      </c>
      <c r="H126" s="248" t="s">
        <v>241</v>
      </c>
      <c r="I126" s="249" t="s">
        <v>242</v>
      </c>
      <c r="J126" s="249" t="s">
        <v>243</v>
      </c>
      <c r="K126" s="249" t="s">
        <v>244</v>
      </c>
      <c r="L126" s="249" t="s">
        <v>245</v>
      </c>
      <c r="M126" s="250" t="s">
        <v>99</v>
      </c>
      <c r="N126" s="250" t="s">
        <v>100</v>
      </c>
      <c r="O126" s="251" t="s">
        <v>101</v>
      </c>
    </row>
    <row r="127" spans="1:19" outlineLevel="2" x14ac:dyDescent="0.25">
      <c r="A127" s="207" t="e">
        <f>VLOOKUP(RIGHT(E127,3)+0,SchLocTable!$A$2:$B$47,2,FALSE)</f>
        <v>#N/A</v>
      </c>
      <c r="B127" s="207" t="str">
        <f>VLOOKUP(VALUE(D127),$D$3:F$106,3,FALSE)</f>
        <v>Principals</v>
      </c>
      <c r="C127" s="751" t="s">
        <v>246</v>
      </c>
      <c r="D127" s="751" t="s">
        <v>247</v>
      </c>
      <c r="E127" s="751" t="s">
        <v>1990</v>
      </c>
      <c r="F127" s="751" t="s">
        <v>248</v>
      </c>
      <c r="G127" s="752">
        <v>3</v>
      </c>
      <c r="H127" s="753">
        <v>51000</v>
      </c>
      <c r="I127" s="754">
        <v>338116.3</v>
      </c>
      <c r="J127" s="754">
        <v>0</v>
      </c>
      <c r="K127" s="754">
        <v>0</v>
      </c>
      <c r="L127" s="754">
        <v>58484.87</v>
      </c>
      <c r="M127" s="754">
        <f t="shared" ref="M127:M190" si="29">SUM(J127:L127)</f>
        <v>58484.87</v>
      </c>
      <c r="N127" s="756">
        <v>338116.3</v>
      </c>
      <c r="O127" s="720">
        <f t="shared" ref="O127:O190" si="30">I127-N127</f>
        <v>0</v>
      </c>
      <c r="Q127" s="252"/>
      <c r="R127" s="252"/>
      <c r="S127" s="252"/>
    </row>
    <row r="128" spans="1:19" outlineLevel="2" x14ac:dyDescent="0.25">
      <c r="A128" s="207" t="e">
        <f>VLOOKUP(RIGHT(E128,3)+0,SchLocTable!$A$2:$B$47,2,FALSE)</f>
        <v>#N/A</v>
      </c>
      <c r="B128" s="207" t="str">
        <f>VLOOKUP(VALUE(D128),$D$3:F$106,3,FALSE)</f>
        <v>Principals</v>
      </c>
      <c r="C128" s="751" t="s">
        <v>246</v>
      </c>
      <c r="D128" s="751" t="s">
        <v>247</v>
      </c>
      <c r="E128" s="751" t="s">
        <v>1990</v>
      </c>
      <c r="F128" s="751" t="s">
        <v>250</v>
      </c>
      <c r="G128" s="752">
        <v>2</v>
      </c>
      <c r="H128" s="753">
        <v>51100</v>
      </c>
      <c r="I128" s="754">
        <v>0</v>
      </c>
      <c r="J128" s="754">
        <v>0</v>
      </c>
      <c r="K128" s="754">
        <v>0</v>
      </c>
      <c r="L128" s="754">
        <v>0</v>
      </c>
      <c r="M128" s="754">
        <f t="shared" si="29"/>
        <v>0</v>
      </c>
      <c r="N128" s="756">
        <v>0</v>
      </c>
      <c r="O128" s="720">
        <f t="shared" si="30"/>
        <v>0</v>
      </c>
      <c r="Q128" s="252"/>
      <c r="R128" s="252"/>
      <c r="S128" s="252"/>
    </row>
    <row r="129" spans="1:19" outlineLevel="2" x14ac:dyDescent="0.25">
      <c r="A129" s="207" t="e">
        <f>VLOOKUP(RIGHT(E129,3)+0,SchLocTable!$A$2:$B$47,2,FALSE)</f>
        <v>#N/A</v>
      </c>
      <c r="B129" s="207" t="str">
        <f>VLOOKUP(VALUE(D129),$D$3:F$106,3,FALSE)</f>
        <v>Principals</v>
      </c>
      <c r="C129" s="751" t="s">
        <v>246</v>
      </c>
      <c r="D129" s="751" t="s">
        <v>247</v>
      </c>
      <c r="E129" s="751" t="s">
        <v>1990</v>
      </c>
      <c r="F129" s="751" t="s">
        <v>257</v>
      </c>
      <c r="G129" s="752" t="s">
        <v>1681</v>
      </c>
      <c r="H129" s="753">
        <v>51140</v>
      </c>
      <c r="I129" s="754">
        <v>1300</v>
      </c>
      <c r="J129" s="754">
        <v>0</v>
      </c>
      <c r="K129" s="754">
        <v>0</v>
      </c>
      <c r="L129" s="754">
        <v>0</v>
      </c>
      <c r="M129" s="754">
        <f t="shared" si="29"/>
        <v>0</v>
      </c>
      <c r="N129" s="756">
        <v>1300</v>
      </c>
      <c r="O129" s="720">
        <f t="shared" si="30"/>
        <v>0</v>
      </c>
      <c r="Q129" s="252"/>
      <c r="R129" s="252"/>
      <c r="S129" s="252"/>
    </row>
    <row r="130" spans="1:19" outlineLevel="2" x14ac:dyDescent="0.25">
      <c r="A130" s="207" t="e">
        <f>VLOOKUP(RIGHT(E130,3)+0,SchLocTable!$A$2:$B$47,2,FALSE)</f>
        <v>#N/A</v>
      </c>
      <c r="B130" s="207" t="str">
        <f>VLOOKUP(VALUE(D130),$D$3:F$106,3,FALSE)</f>
        <v>Principals</v>
      </c>
      <c r="C130" s="751" t="s">
        <v>246</v>
      </c>
      <c r="D130" s="751" t="s">
        <v>247</v>
      </c>
      <c r="E130" s="751" t="s">
        <v>1990</v>
      </c>
      <c r="F130" s="751" t="s">
        <v>254</v>
      </c>
      <c r="G130" s="752" t="s">
        <v>1681</v>
      </c>
      <c r="H130" s="753">
        <v>52360</v>
      </c>
      <c r="I130" s="754">
        <v>4828.41</v>
      </c>
      <c r="J130" s="754">
        <v>0</v>
      </c>
      <c r="K130" s="754">
        <v>0</v>
      </c>
      <c r="L130" s="754">
        <v>773.75</v>
      </c>
      <c r="M130" s="754">
        <f t="shared" si="29"/>
        <v>773.75</v>
      </c>
      <c r="N130" s="756">
        <v>4828.41</v>
      </c>
      <c r="O130" s="720">
        <f t="shared" si="30"/>
        <v>0</v>
      </c>
      <c r="Q130" s="252"/>
      <c r="R130" s="252"/>
      <c r="S130" s="252"/>
    </row>
    <row r="131" spans="1:19" outlineLevel="2" x14ac:dyDescent="0.25">
      <c r="A131" s="207" t="e">
        <f>VLOOKUP(RIGHT(E131,3)+0,SchLocTable!$A$2:$B$47,2,FALSE)</f>
        <v>#N/A</v>
      </c>
      <c r="B131" s="207" t="str">
        <f>VLOOKUP(VALUE(D131),$D$3:F$106,3,FALSE)</f>
        <v>Principals</v>
      </c>
      <c r="C131" s="751" t="s">
        <v>246</v>
      </c>
      <c r="D131" s="751" t="s">
        <v>247</v>
      </c>
      <c r="E131" s="751" t="s">
        <v>1990</v>
      </c>
      <c r="F131" s="751" t="s">
        <v>259</v>
      </c>
      <c r="G131" s="752" t="s">
        <v>1681</v>
      </c>
      <c r="H131" s="753">
        <v>52917</v>
      </c>
      <c r="I131" s="754">
        <v>66393.52</v>
      </c>
      <c r="J131" s="754">
        <v>0</v>
      </c>
      <c r="K131" s="754">
        <v>0</v>
      </c>
      <c r="L131" s="754">
        <v>12769.19</v>
      </c>
      <c r="M131" s="754">
        <f t="shared" si="29"/>
        <v>12769.19</v>
      </c>
      <c r="N131" s="756">
        <v>66393.52</v>
      </c>
      <c r="O131" s="720">
        <f t="shared" si="30"/>
        <v>0</v>
      </c>
      <c r="Q131" s="252"/>
      <c r="R131" s="252"/>
      <c r="S131" s="252"/>
    </row>
    <row r="132" spans="1:19" outlineLevel="2" x14ac:dyDescent="0.25">
      <c r="A132" s="207" t="str">
        <f>VLOOKUP(RIGHT(E132,3)+0,SchLocTable!$A$2:$B$47,2,FALSE)</f>
        <v>Barnum</v>
      </c>
      <c r="B132" s="207" t="str">
        <f>VLOOKUP(VALUE(D132),$D$3:F$106,3,FALSE)</f>
        <v>Principals</v>
      </c>
      <c r="C132" s="751" t="s">
        <v>246</v>
      </c>
      <c r="D132" s="751" t="s">
        <v>247</v>
      </c>
      <c r="E132" s="751" t="s">
        <v>256</v>
      </c>
      <c r="F132" s="751" t="s">
        <v>248</v>
      </c>
      <c r="G132" s="752">
        <v>1</v>
      </c>
      <c r="H132" s="753">
        <v>51000</v>
      </c>
      <c r="I132" s="754">
        <v>144224.57999999999</v>
      </c>
      <c r="J132" s="754">
        <v>0</v>
      </c>
      <c r="K132" s="754">
        <v>0</v>
      </c>
      <c r="L132" s="754">
        <v>31172.7</v>
      </c>
      <c r="M132" s="754">
        <f t="shared" si="29"/>
        <v>31172.7</v>
      </c>
      <c r="N132" s="756">
        <v>144224.57999999999</v>
      </c>
      <c r="O132" s="720">
        <f t="shared" si="30"/>
        <v>0</v>
      </c>
      <c r="Q132" s="252"/>
      <c r="R132" s="252"/>
      <c r="S132" s="252"/>
    </row>
    <row r="133" spans="1:19" outlineLevel="2" x14ac:dyDescent="0.25">
      <c r="A133" s="207" t="str">
        <f>VLOOKUP(RIGHT(E133,3)+0,SchLocTable!$A$2:$B$47,2,FALSE)</f>
        <v>Barnum</v>
      </c>
      <c r="B133" s="207" t="str">
        <f>VLOOKUP(VALUE(D133),$D$3:F$106,3,FALSE)</f>
        <v>Principals</v>
      </c>
      <c r="C133" s="751" t="s">
        <v>246</v>
      </c>
      <c r="D133" s="751" t="s">
        <v>247</v>
      </c>
      <c r="E133" s="751" t="s">
        <v>256</v>
      </c>
      <c r="F133" s="751" t="s">
        <v>257</v>
      </c>
      <c r="G133" s="752" t="s">
        <v>1681</v>
      </c>
      <c r="H133" s="753">
        <v>51140</v>
      </c>
      <c r="I133" s="754">
        <v>2600</v>
      </c>
      <c r="J133" s="754">
        <v>0</v>
      </c>
      <c r="K133" s="754">
        <v>0</v>
      </c>
      <c r="L133" s="754">
        <v>0</v>
      </c>
      <c r="M133" s="754">
        <f t="shared" si="29"/>
        <v>0</v>
      </c>
      <c r="N133" s="756">
        <v>2600</v>
      </c>
      <c r="O133" s="720">
        <f t="shared" si="30"/>
        <v>0</v>
      </c>
      <c r="Q133" s="252"/>
      <c r="R133" s="252"/>
      <c r="S133" s="252"/>
    </row>
    <row r="134" spans="1:19" outlineLevel="2" x14ac:dyDescent="0.25">
      <c r="A134" s="207" t="str">
        <f>VLOOKUP(RIGHT(E134,3)+0,SchLocTable!$A$2:$B$47,2,FALSE)</f>
        <v>Barnum</v>
      </c>
      <c r="B134" s="207" t="str">
        <f>VLOOKUP(VALUE(D134),$D$3:F$106,3,FALSE)</f>
        <v>Principals</v>
      </c>
      <c r="C134" s="751" t="s">
        <v>246</v>
      </c>
      <c r="D134" s="751" t="s">
        <v>247</v>
      </c>
      <c r="E134" s="751" t="s">
        <v>256</v>
      </c>
      <c r="F134" s="751" t="s">
        <v>254</v>
      </c>
      <c r="G134" s="752" t="s">
        <v>1681</v>
      </c>
      <c r="H134" s="753">
        <v>52360</v>
      </c>
      <c r="I134" s="754">
        <v>2056.86</v>
      </c>
      <c r="J134" s="754">
        <v>0</v>
      </c>
      <c r="K134" s="754">
        <v>0</v>
      </c>
      <c r="L134" s="754">
        <v>417.61</v>
      </c>
      <c r="M134" s="754">
        <f t="shared" si="29"/>
        <v>417.61</v>
      </c>
      <c r="N134" s="756">
        <v>2056.86</v>
      </c>
      <c r="O134" s="720">
        <f t="shared" si="30"/>
        <v>0</v>
      </c>
      <c r="Q134" s="252"/>
      <c r="R134" s="252"/>
      <c r="S134" s="252"/>
    </row>
    <row r="135" spans="1:19" outlineLevel="2" x14ac:dyDescent="0.25">
      <c r="A135" s="207" t="str">
        <f>VLOOKUP(RIGHT(E135,3)+0,SchLocTable!$A$2:$B$47,2,FALSE)</f>
        <v>Barnum</v>
      </c>
      <c r="B135" s="207" t="str">
        <f>VLOOKUP(VALUE(D135),$D$3:F$106,3,FALSE)</f>
        <v>Principals</v>
      </c>
      <c r="C135" s="751" t="s">
        <v>246</v>
      </c>
      <c r="D135" s="751" t="s">
        <v>247</v>
      </c>
      <c r="E135" s="751" t="s">
        <v>256</v>
      </c>
      <c r="F135" s="751" t="s">
        <v>259</v>
      </c>
      <c r="G135" s="752" t="s">
        <v>1681</v>
      </c>
      <c r="H135" s="753">
        <v>52917</v>
      </c>
      <c r="I135" s="754">
        <v>28824.639999999999</v>
      </c>
      <c r="J135" s="754">
        <v>0</v>
      </c>
      <c r="K135" s="754">
        <v>0</v>
      </c>
      <c r="L135" s="754">
        <v>6239.1</v>
      </c>
      <c r="M135" s="754">
        <f t="shared" si="29"/>
        <v>6239.1</v>
      </c>
      <c r="N135" s="756">
        <v>28824.639999999999</v>
      </c>
      <c r="O135" s="720">
        <f t="shared" si="30"/>
        <v>0</v>
      </c>
      <c r="Q135" s="252"/>
      <c r="R135" s="252"/>
      <c r="S135" s="252"/>
    </row>
    <row r="136" spans="1:19" outlineLevel="2" x14ac:dyDescent="0.25">
      <c r="A136" s="207" t="str">
        <f>VLOOKUP(RIGHT(E136,3)+0,SchLocTable!$A$2:$B$47,2,FALSE)</f>
        <v>Beardsley</v>
      </c>
      <c r="B136" s="207" t="str">
        <f>VLOOKUP(VALUE(D136),$D$3:F$106,3,FALSE)</f>
        <v>Principals</v>
      </c>
      <c r="C136" s="755" t="s">
        <v>246</v>
      </c>
      <c r="D136" s="751" t="s">
        <v>247</v>
      </c>
      <c r="E136" s="751" t="s">
        <v>261</v>
      </c>
      <c r="F136" s="751" t="s">
        <v>248</v>
      </c>
      <c r="G136" s="752">
        <v>2</v>
      </c>
      <c r="H136" s="753">
        <v>51000</v>
      </c>
      <c r="I136" s="754">
        <v>246625.1</v>
      </c>
      <c r="J136" s="754">
        <v>0</v>
      </c>
      <c r="K136" s="754">
        <v>0</v>
      </c>
      <c r="L136" s="754">
        <v>65532.79</v>
      </c>
      <c r="M136" s="754">
        <f t="shared" si="29"/>
        <v>65532.79</v>
      </c>
      <c r="N136" s="756">
        <v>246625.1</v>
      </c>
      <c r="O136" s="720">
        <f t="shared" si="30"/>
        <v>0</v>
      </c>
      <c r="Q136" s="252"/>
      <c r="R136" s="252"/>
      <c r="S136" s="252"/>
    </row>
    <row r="137" spans="1:19" outlineLevel="2" x14ac:dyDescent="0.25">
      <c r="A137" s="207" t="str">
        <f>VLOOKUP(RIGHT(E137,3)+0,SchLocTable!$A$2:$B$47,2,FALSE)</f>
        <v>Beardsley</v>
      </c>
      <c r="B137" s="207" t="str">
        <f>VLOOKUP(VALUE(D137),$D$3:F$106,3,FALSE)</f>
        <v>Principals</v>
      </c>
      <c r="C137" s="751" t="s">
        <v>246</v>
      </c>
      <c r="D137" s="751" t="s">
        <v>247</v>
      </c>
      <c r="E137" s="751" t="s">
        <v>261</v>
      </c>
      <c r="F137" s="751" t="s">
        <v>257</v>
      </c>
      <c r="G137" s="752" t="s">
        <v>1681</v>
      </c>
      <c r="H137" s="753">
        <v>51140</v>
      </c>
      <c r="I137" s="754">
        <v>1300</v>
      </c>
      <c r="J137" s="754">
        <v>0</v>
      </c>
      <c r="K137" s="754">
        <v>0</v>
      </c>
      <c r="L137" s="754">
        <v>0</v>
      </c>
      <c r="M137" s="754">
        <f t="shared" si="29"/>
        <v>0</v>
      </c>
      <c r="N137" s="756">
        <v>1300</v>
      </c>
      <c r="O137" s="720">
        <f t="shared" si="30"/>
        <v>0</v>
      </c>
      <c r="Q137" s="252"/>
      <c r="R137" s="252"/>
      <c r="S137" s="252"/>
    </row>
    <row r="138" spans="1:19" outlineLevel="2" x14ac:dyDescent="0.25">
      <c r="A138" s="207" t="str">
        <f>VLOOKUP(RIGHT(E138,3)+0,SchLocTable!$A$2:$B$47,2,FALSE)</f>
        <v>Beardsley</v>
      </c>
      <c r="B138" s="207" t="str">
        <f>VLOOKUP(VALUE(D138),$D$3:F$106,3,FALSE)</f>
        <v>Principals</v>
      </c>
      <c r="C138" s="751" t="s">
        <v>246</v>
      </c>
      <c r="D138" s="751" t="s">
        <v>247</v>
      </c>
      <c r="E138" s="751" t="s">
        <v>261</v>
      </c>
      <c r="F138" s="751" t="s">
        <v>254</v>
      </c>
      <c r="G138" s="752" t="s">
        <v>1681</v>
      </c>
      <c r="H138" s="753">
        <v>52360</v>
      </c>
      <c r="I138" s="754">
        <v>3504.09</v>
      </c>
      <c r="J138" s="754">
        <v>0</v>
      </c>
      <c r="K138" s="754">
        <v>0</v>
      </c>
      <c r="L138" s="754">
        <v>878.25</v>
      </c>
      <c r="M138" s="754">
        <f t="shared" si="29"/>
        <v>878.25</v>
      </c>
      <c r="N138" s="756">
        <v>3504.09</v>
      </c>
      <c r="O138" s="720">
        <f t="shared" si="30"/>
        <v>0</v>
      </c>
      <c r="Q138" s="252"/>
      <c r="R138" s="252"/>
      <c r="S138" s="252"/>
    </row>
    <row r="139" spans="1:19" outlineLevel="2" x14ac:dyDescent="0.25">
      <c r="A139" s="207" t="str">
        <f>VLOOKUP(RIGHT(E139,3)+0,SchLocTable!$A$2:$B$47,2,FALSE)</f>
        <v>Beardsley</v>
      </c>
      <c r="B139" s="207" t="str">
        <f>VLOOKUP(VALUE(D139),$D$3:F$106,3,FALSE)</f>
        <v>Principals</v>
      </c>
      <c r="C139" s="751" t="s">
        <v>246</v>
      </c>
      <c r="D139" s="751" t="s">
        <v>247</v>
      </c>
      <c r="E139" s="751" t="s">
        <v>261</v>
      </c>
      <c r="F139" s="751" t="s">
        <v>292</v>
      </c>
      <c r="G139" s="752" t="s">
        <v>1681</v>
      </c>
      <c r="H139" s="753">
        <v>52385</v>
      </c>
      <c r="I139" s="754">
        <v>0</v>
      </c>
      <c r="J139" s="754">
        <v>0</v>
      </c>
      <c r="K139" s="754">
        <v>0</v>
      </c>
      <c r="L139" s="754">
        <v>0</v>
      </c>
      <c r="M139" s="754">
        <f t="shared" si="29"/>
        <v>0</v>
      </c>
      <c r="N139" s="756">
        <v>0</v>
      </c>
      <c r="O139" s="720">
        <f t="shared" si="30"/>
        <v>0</v>
      </c>
      <c r="Q139" s="252"/>
      <c r="R139" s="252"/>
      <c r="S139" s="252"/>
    </row>
    <row r="140" spans="1:19" outlineLevel="2" x14ac:dyDescent="0.25">
      <c r="A140" s="207" t="str">
        <f>VLOOKUP(RIGHT(E140,3)+0,SchLocTable!$A$2:$B$47,2,FALSE)</f>
        <v>Beardsley</v>
      </c>
      <c r="B140" s="207" t="str">
        <f>VLOOKUP(VALUE(D140),$D$3:F$106,3,FALSE)</f>
        <v>Principals</v>
      </c>
      <c r="C140" s="755" t="s">
        <v>246</v>
      </c>
      <c r="D140" s="751" t="s">
        <v>247</v>
      </c>
      <c r="E140" s="751" t="s">
        <v>261</v>
      </c>
      <c r="F140" s="751" t="s">
        <v>259</v>
      </c>
      <c r="G140" s="752" t="s">
        <v>1681</v>
      </c>
      <c r="H140" s="753">
        <v>52917</v>
      </c>
      <c r="I140" s="754">
        <v>51983.83</v>
      </c>
      <c r="J140" s="754">
        <v>0</v>
      </c>
      <c r="K140" s="754">
        <v>0</v>
      </c>
      <c r="L140" s="754">
        <v>12139.03</v>
      </c>
      <c r="M140" s="754">
        <f t="shared" si="29"/>
        <v>12139.03</v>
      </c>
      <c r="N140" s="756">
        <v>51983.83</v>
      </c>
      <c r="O140" s="720">
        <f t="shared" si="30"/>
        <v>0</v>
      </c>
      <c r="Q140" s="252"/>
      <c r="R140" s="252"/>
      <c r="S140" s="252"/>
    </row>
    <row r="141" spans="1:19" outlineLevel="2" x14ac:dyDescent="0.25">
      <c r="A141" s="207" t="str">
        <f>VLOOKUP(RIGHT(E141,3)+0,SchLocTable!$A$2:$B$47,2,FALSE)</f>
        <v>Black Rock</v>
      </c>
      <c r="B141" s="207" t="str">
        <f>VLOOKUP(VALUE(D141),$D$3:F$106,3,FALSE)</f>
        <v>Principals</v>
      </c>
      <c r="C141" s="751" t="s">
        <v>246</v>
      </c>
      <c r="D141" s="751" t="s">
        <v>247</v>
      </c>
      <c r="E141" s="751" t="s">
        <v>262</v>
      </c>
      <c r="F141" s="751" t="s">
        <v>248</v>
      </c>
      <c r="G141" s="752">
        <v>2</v>
      </c>
      <c r="H141" s="753">
        <v>51000</v>
      </c>
      <c r="I141" s="754">
        <v>262983.52</v>
      </c>
      <c r="J141" s="754">
        <v>0</v>
      </c>
      <c r="K141" s="754">
        <v>0</v>
      </c>
      <c r="L141" s="754">
        <v>79877.77</v>
      </c>
      <c r="M141" s="754">
        <f t="shared" si="29"/>
        <v>79877.77</v>
      </c>
      <c r="N141" s="756">
        <v>262983.52</v>
      </c>
      <c r="O141" s="720">
        <f t="shared" si="30"/>
        <v>0</v>
      </c>
      <c r="Q141" s="252"/>
      <c r="R141" s="252"/>
      <c r="S141" s="252"/>
    </row>
    <row r="142" spans="1:19" outlineLevel="2" x14ac:dyDescent="0.25">
      <c r="A142" s="207" t="str">
        <f>VLOOKUP(RIGHT(E142,3)+0,SchLocTable!$A$2:$B$47,2,FALSE)</f>
        <v>Black Rock</v>
      </c>
      <c r="B142" s="207" t="str">
        <f>VLOOKUP(VALUE(D142),$D$3:F$106,3,FALSE)</f>
        <v>Principals</v>
      </c>
      <c r="C142" s="751" t="s">
        <v>246</v>
      </c>
      <c r="D142" s="751" t="s">
        <v>247</v>
      </c>
      <c r="E142" s="751" t="s">
        <v>262</v>
      </c>
      <c r="F142" s="751" t="s">
        <v>257</v>
      </c>
      <c r="G142" s="752" t="s">
        <v>1681</v>
      </c>
      <c r="H142" s="753">
        <v>51140</v>
      </c>
      <c r="I142" s="754">
        <v>1300</v>
      </c>
      <c r="J142" s="754">
        <v>0</v>
      </c>
      <c r="K142" s="754">
        <v>0</v>
      </c>
      <c r="L142" s="754">
        <v>0</v>
      </c>
      <c r="M142" s="754">
        <f t="shared" si="29"/>
        <v>0</v>
      </c>
      <c r="N142" s="756">
        <v>1300</v>
      </c>
      <c r="O142" s="720">
        <f t="shared" si="30"/>
        <v>0</v>
      </c>
      <c r="Q142" s="252"/>
      <c r="R142" s="252"/>
      <c r="S142" s="252"/>
    </row>
    <row r="143" spans="1:19" outlineLevel="2" x14ac:dyDescent="0.25">
      <c r="A143" s="207" t="str">
        <f>VLOOKUP(RIGHT(E143,3)+0,SchLocTable!$A$2:$B$47,2,FALSE)</f>
        <v>Black Rock</v>
      </c>
      <c r="B143" s="207" t="str">
        <f>VLOOKUP(VALUE(D143),$D$3:F$106,3,FALSE)</f>
        <v>Principals</v>
      </c>
      <c r="C143" s="751" t="s">
        <v>246</v>
      </c>
      <c r="D143" s="751" t="s">
        <v>247</v>
      </c>
      <c r="E143" s="751" t="s">
        <v>262</v>
      </c>
      <c r="F143" s="751" t="s">
        <v>254</v>
      </c>
      <c r="G143" s="752" t="s">
        <v>1681</v>
      </c>
      <c r="H143" s="753">
        <v>52360</v>
      </c>
      <c r="I143" s="754">
        <v>3702.68</v>
      </c>
      <c r="J143" s="754">
        <v>0</v>
      </c>
      <c r="K143" s="754">
        <v>0</v>
      </c>
      <c r="L143" s="754">
        <v>1047.6500000000001</v>
      </c>
      <c r="M143" s="754">
        <f t="shared" si="29"/>
        <v>1047.6500000000001</v>
      </c>
      <c r="N143" s="756">
        <v>3702.68</v>
      </c>
      <c r="O143" s="720">
        <f t="shared" si="30"/>
        <v>0</v>
      </c>
      <c r="Q143" s="252"/>
      <c r="R143" s="252"/>
      <c r="S143" s="252"/>
    </row>
    <row r="144" spans="1:19" outlineLevel="2" x14ac:dyDescent="0.25">
      <c r="A144" s="207" t="str">
        <f>VLOOKUP(RIGHT(E144,3)+0,SchLocTable!$A$2:$B$47,2,FALSE)</f>
        <v>Black Rock</v>
      </c>
      <c r="B144" s="207" t="str">
        <f>VLOOKUP(VALUE(D144),$D$3:F$106,3,FALSE)</f>
        <v>Principals</v>
      </c>
      <c r="C144" s="751" t="s">
        <v>246</v>
      </c>
      <c r="D144" s="751" t="s">
        <v>247</v>
      </c>
      <c r="E144" s="751" t="s">
        <v>262</v>
      </c>
      <c r="F144" s="751" t="s">
        <v>259</v>
      </c>
      <c r="G144" s="752" t="s">
        <v>1681</v>
      </c>
      <c r="H144" s="753">
        <v>52917</v>
      </c>
      <c r="I144" s="754">
        <v>62144.480000000003</v>
      </c>
      <c r="J144" s="754">
        <v>0</v>
      </c>
      <c r="K144" s="754">
        <v>0</v>
      </c>
      <c r="L144" s="754">
        <v>18061.93</v>
      </c>
      <c r="M144" s="754">
        <f t="shared" si="29"/>
        <v>18061.93</v>
      </c>
      <c r="N144" s="756">
        <v>62144.480000000003</v>
      </c>
      <c r="O144" s="720">
        <f t="shared" si="30"/>
        <v>0</v>
      </c>
      <c r="Q144" s="252"/>
      <c r="R144" s="252"/>
      <c r="S144" s="252"/>
    </row>
    <row r="145" spans="1:19" outlineLevel="2" x14ac:dyDescent="0.25">
      <c r="A145" s="207" t="str">
        <f>VLOOKUP(RIGHT(E145,3)+0,SchLocTable!$A$2:$B$47,2,FALSE)</f>
        <v>Bryant</v>
      </c>
      <c r="B145" s="207" t="str">
        <f>VLOOKUP(VALUE(D145),$D$3:F$106,3,FALSE)</f>
        <v>Principals</v>
      </c>
      <c r="C145" s="751" t="s">
        <v>246</v>
      </c>
      <c r="D145" s="751" t="s">
        <v>247</v>
      </c>
      <c r="E145" s="751" t="s">
        <v>263</v>
      </c>
      <c r="F145" s="751" t="s">
        <v>248</v>
      </c>
      <c r="G145" s="752">
        <v>2</v>
      </c>
      <c r="H145" s="753">
        <v>51000</v>
      </c>
      <c r="I145" s="754">
        <v>270785.71000000002</v>
      </c>
      <c r="J145" s="754">
        <v>0</v>
      </c>
      <c r="K145" s="754">
        <v>0</v>
      </c>
      <c r="L145" s="754">
        <v>72730.98</v>
      </c>
      <c r="M145" s="754">
        <f t="shared" si="29"/>
        <v>72730.98</v>
      </c>
      <c r="N145" s="756">
        <v>270785.71000000002</v>
      </c>
      <c r="O145" s="720">
        <f t="shared" si="30"/>
        <v>0</v>
      </c>
      <c r="Q145" s="252"/>
      <c r="R145" s="252"/>
      <c r="S145" s="252"/>
    </row>
    <row r="146" spans="1:19" outlineLevel="2" x14ac:dyDescent="0.25">
      <c r="A146" s="207" t="str">
        <f>VLOOKUP(RIGHT(E146,3)+0,SchLocTable!$A$2:$B$47,2,FALSE)</f>
        <v>Bryant</v>
      </c>
      <c r="B146" s="207" t="str">
        <f>VLOOKUP(VALUE(D146),$D$3:F$106,3,FALSE)</f>
        <v>Principals</v>
      </c>
      <c r="C146" s="751" t="s">
        <v>246</v>
      </c>
      <c r="D146" s="751" t="s">
        <v>247</v>
      </c>
      <c r="E146" s="751" t="s">
        <v>263</v>
      </c>
      <c r="F146" s="751" t="s">
        <v>257</v>
      </c>
      <c r="G146" s="752" t="s">
        <v>1681</v>
      </c>
      <c r="H146" s="753">
        <v>51140</v>
      </c>
      <c r="I146" s="754">
        <v>1500</v>
      </c>
      <c r="J146" s="754">
        <v>0</v>
      </c>
      <c r="K146" s="754">
        <v>0</v>
      </c>
      <c r="L146" s="754">
        <v>0</v>
      </c>
      <c r="M146" s="754">
        <f t="shared" si="29"/>
        <v>0</v>
      </c>
      <c r="N146" s="756">
        <v>1500</v>
      </c>
      <c r="O146" s="720">
        <f t="shared" si="30"/>
        <v>0</v>
      </c>
      <c r="Q146" s="252"/>
      <c r="R146" s="252"/>
      <c r="S146" s="252"/>
    </row>
    <row r="147" spans="1:19" outlineLevel="2" x14ac:dyDescent="0.25">
      <c r="A147" s="207" t="str">
        <f>VLOOKUP(RIGHT(E147,3)+0,SchLocTable!$A$2:$B$47,2,FALSE)</f>
        <v>Bryant</v>
      </c>
      <c r="B147" s="207" t="str">
        <f>VLOOKUP(VALUE(D147),$D$3:F$106,3,FALSE)</f>
        <v>Principals</v>
      </c>
      <c r="C147" s="751" t="s">
        <v>246</v>
      </c>
      <c r="D147" s="751" t="s">
        <v>247</v>
      </c>
      <c r="E147" s="751" t="s">
        <v>263</v>
      </c>
      <c r="F147" s="751" t="s">
        <v>254</v>
      </c>
      <c r="G147" s="752" t="s">
        <v>1681</v>
      </c>
      <c r="H147" s="753">
        <v>52360</v>
      </c>
      <c r="I147" s="754">
        <v>3875.77</v>
      </c>
      <c r="J147" s="754">
        <v>0</v>
      </c>
      <c r="K147" s="754">
        <v>0</v>
      </c>
      <c r="L147" s="754">
        <v>1003.98</v>
      </c>
      <c r="M147" s="754">
        <f t="shared" si="29"/>
        <v>1003.98</v>
      </c>
      <c r="N147" s="756">
        <v>3875.77</v>
      </c>
      <c r="O147" s="720">
        <f t="shared" si="30"/>
        <v>0</v>
      </c>
      <c r="Q147" s="252"/>
      <c r="R147" s="252"/>
      <c r="S147" s="252"/>
    </row>
    <row r="148" spans="1:19" outlineLevel="2" x14ac:dyDescent="0.25">
      <c r="A148" s="207" t="str">
        <f>VLOOKUP(RIGHT(E148,3)+0,SchLocTable!$A$2:$B$47,2,FALSE)</f>
        <v>Bryant</v>
      </c>
      <c r="B148" s="207" t="str">
        <f>VLOOKUP(VALUE(D148),$D$3:F$106,3,FALSE)</f>
        <v>Principals</v>
      </c>
      <c r="C148" s="751" t="s">
        <v>246</v>
      </c>
      <c r="D148" s="751" t="s">
        <v>247</v>
      </c>
      <c r="E148" s="751" t="s">
        <v>263</v>
      </c>
      <c r="F148" s="751" t="s">
        <v>259</v>
      </c>
      <c r="G148" s="752" t="s">
        <v>1681</v>
      </c>
      <c r="H148" s="753">
        <v>52917</v>
      </c>
      <c r="I148" s="754">
        <v>39851.050000000003</v>
      </c>
      <c r="J148" s="754">
        <v>0</v>
      </c>
      <c r="K148" s="754">
        <v>0</v>
      </c>
      <c r="L148" s="754">
        <v>9431.4699999999993</v>
      </c>
      <c r="M148" s="754">
        <f t="shared" si="29"/>
        <v>9431.4699999999993</v>
      </c>
      <c r="N148" s="756">
        <v>39851.050000000003</v>
      </c>
      <c r="O148" s="720">
        <f t="shared" si="30"/>
        <v>0</v>
      </c>
      <c r="Q148" s="252"/>
      <c r="R148" s="252"/>
      <c r="S148" s="252"/>
    </row>
    <row r="149" spans="1:19" outlineLevel="2" x14ac:dyDescent="0.25">
      <c r="A149" s="207" t="str">
        <f>VLOOKUP(RIGHT(E149,3)+0,SchLocTable!$A$2:$B$47,2,FALSE)</f>
        <v>Columbus</v>
      </c>
      <c r="B149" s="207" t="str">
        <f>VLOOKUP(VALUE(D149),$D$3:F$106,3,FALSE)</f>
        <v>Principals</v>
      </c>
      <c r="C149" s="751" t="s">
        <v>246</v>
      </c>
      <c r="D149" s="751" t="s">
        <v>247</v>
      </c>
      <c r="E149" s="751" t="s">
        <v>264</v>
      </c>
      <c r="F149" s="751" t="s">
        <v>248</v>
      </c>
      <c r="G149" s="752">
        <v>2</v>
      </c>
      <c r="H149" s="753">
        <v>51000</v>
      </c>
      <c r="I149" s="754">
        <v>302925.63</v>
      </c>
      <c r="J149" s="754">
        <v>0</v>
      </c>
      <c r="K149" s="754">
        <v>0</v>
      </c>
      <c r="L149" s="754">
        <v>90462.04</v>
      </c>
      <c r="M149" s="754">
        <f t="shared" si="29"/>
        <v>90462.04</v>
      </c>
      <c r="N149" s="756">
        <v>302925.63</v>
      </c>
      <c r="O149" s="720">
        <f t="shared" si="30"/>
        <v>0</v>
      </c>
      <c r="Q149" s="252"/>
      <c r="R149" s="252"/>
      <c r="S149" s="252"/>
    </row>
    <row r="150" spans="1:19" outlineLevel="2" x14ac:dyDescent="0.25">
      <c r="A150" s="207" t="str">
        <f>VLOOKUP(RIGHT(E150,3)+0,SchLocTable!$A$2:$B$47,2,FALSE)</f>
        <v>Columbus</v>
      </c>
      <c r="B150" s="207" t="str">
        <f>VLOOKUP(VALUE(D150),$D$3:F$106,3,FALSE)</f>
        <v>Principals</v>
      </c>
      <c r="C150" s="751" t="s">
        <v>246</v>
      </c>
      <c r="D150" s="751" t="s">
        <v>247</v>
      </c>
      <c r="E150" s="751" t="s">
        <v>264</v>
      </c>
      <c r="F150" s="751" t="s">
        <v>257</v>
      </c>
      <c r="G150" s="752" t="s">
        <v>1681</v>
      </c>
      <c r="H150" s="753">
        <v>51140</v>
      </c>
      <c r="I150" s="754">
        <v>2700</v>
      </c>
      <c r="J150" s="754">
        <v>0</v>
      </c>
      <c r="K150" s="754">
        <v>0</v>
      </c>
      <c r="L150" s="754">
        <v>0</v>
      </c>
      <c r="M150" s="754">
        <f t="shared" si="29"/>
        <v>0</v>
      </c>
      <c r="N150" s="756">
        <v>2700</v>
      </c>
      <c r="O150" s="720">
        <f t="shared" si="30"/>
        <v>0</v>
      </c>
      <c r="Q150" s="252"/>
      <c r="R150" s="252"/>
      <c r="S150" s="252"/>
    </row>
    <row r="151" spans="1:19" outlineLevel="2" x14ac:dyDescent="0.25">
      <c r="A151" s="207" t="str">
        <f>VLOOKUP(RIGHT(E151,3)+0,SchLocTable!$A$2:$B$47,2,FALSE)</f>
        <v>Columbus</v>
      </c>
      <c r="B151" s="207" t="str">
        <f>VLOOKUP(VALUE(D151),$D$3:F$106,3,FALSE)</f>
        <v>Principals</v>
      </c>
      <c r="C151" s="755" t="s">
        <v>246</v>
      </c>
      <c r="D151" s="751" t="s">
        <v>247</v>
      </c>
      <c r="E151" s="751" t="s">
        <v>264</v>
      </c>
      <c r="F151" s="751" t="s">
        <v>254</v>
      </c>
      <c r="G151" s="752" t="s">
        <v>1681</v>
      </c>
      <c r="H151" s="753">
        <v>52360</v>
      </c>
      <c r="I151" s="754">
        <v>4308.67</v>
      </c>
      <c r="J151" s="754">
        <v>0</v>
      </c>
      <c r="K151" s="754">
        <v>0</v>
      </c>
      <c r="L151" s="754">
        <v>1227.95</v>
      </c>
      <c r="M151" s="754">
        <f t="shared" si="29"/>
        <v>1227.95</v>
      </c>
      <c r="N151" s="756">
        <v>4308.67</v>
      </c>
      <c r="O151" s="720">
        <f t="shared" si="30"/>
        <v>0</v>
      </c>
      <c r="Q151" s="252"/>
      <c r="R151" s="252"/>
      <c r="S151" s="252"/>
    </row>
    <row r="152" spans="1:19" outlineLevel="2" x14ac:dyDescent="0.25">
      <c r="A152" s="207" t="str">
        <f>VLOOKUP(RIGHT(E152,3)+0,SchLocTable!$A$2:$B$47,2,FALSE)</f>
        <v>Columbus</v>
      </c>
      <c r="B152" s="207" t="str">
        <f>VLOOKUP(VALUE(D152),$D$3:F$106,3,FALSE)</f>
        <v>Principals</v>
      </c>
      <c r="C152" s="751" t="s">
        <v>246</v>
      </c>
      <c r="D152" s="751" t="s">
        <v>247</v>
      </c>
      <c r="E152" s="751" t="s">
        <v>264</v>
      </c>
      <c r="F152" s="751" t="s">
        <v>259</v>
      </c>
      <c r="G152" s="752" t="s">
        <v>1681</v>
      </c>
      <c r="H152" s="753">
        <v>52917</v>
      </c>
      <c r="I152" s="754">
        <v>58151.11</v>
      </c>
      <c r="J152" s="754">
        <v>0</v>
      </c>
      <c r="K152" s="754">
        <v>0</v>
      </c>
      <c r="L152" s="754">
        <v>16907.36</v>
      </c>
      <c r="M152" s="754">
        <f t="shared" si="29"/>
        <v>16907.36</v>
      </c>
      <c r="N152" s="756">
        <v>58151.11</v>
      </c>
      <c r="O152" s="720">
        <f t="shared" si="30"/>
        <v>0</v>
      </c>
      <c r="Q152" s="252"/>
      <c r="R152" s="252"/>
      <c r="S152" s="252"/>
    </row>
    <row r="153" spans="1:19" outlineLevel="2" x14ac:dyDescent="0.25">
      <c r="A153" s="207" t="str">
        <f>VLOOKUP(RIGHT(E153,3)+0,SchLocTable!$A$2:$B$47,2,FALSE)</f>
        <v>Edison</v>
      </c>
      <c r="B153" s="207" t="str">
        <f>VLOOKUP(VALUE(D153),$D$3:F$106,3,FALSE)</f>
        <v>Principals</v>
      </c>
      <c r="C153" s="751" t="s">
        <v>246</v>
      </c>
      <c r="D153" s="751" t="s">
        <v>247</v>
      </c>
      <c r="E153" s="751" t="s">
        <v>265</v>
      </c>
      <c r="F153" s="751" t="s">
        <v>248</v>
      </c>
      <c r="G153" s="752">
        <v>1</v>
      </c>
      <c r="H153" s="753">
        <v>51000</v>
      </c>
      <c r="I153" s="754">
        <v>247308.99</v>
      </c>
      <c r="J153" s="754">
        <v>0</v>
      </c>
      <c r="K153" s="754">
        <v>0</v>
      </c>
      <c r="L153" s="754">
        <v>67502.679999999993</v>
      </c>
      <c r="M153" s="754">
        <f t="shared" si="29"/>
        <v>67502.679999999993</v>
      </c>
      <c r="N153" s="756">
        <v>247308.99</v>
      </c>
      <c r="O153" s="720">
        <f t="shared" si="30"/>
        <v>0</v>
      </c>
      <c r="Q153" s="252"/>
      <c r="R153" s="252"/>
      <c r="S153" s="252"/>
    </row>
    <row r="154" spans="1:19" outlineLevel="2" x14ac:dyDescent="0.25">
      <c r="A154" s="207" t="str">
        <f>VLOOKUP(RIGHT(E154,3)+0,SchLocTable!$A$2:$B$47,2,FALSE)</f>
        <v>Edison</v>
      </c>
      <c r="B154" s="207" t="str">
        <f>VLOOKUP(VALUE(D154),$D$3:F$106,3,FALSE)</f>
        <v>Principals</v>
      </c>
      <c r="C154" s="751" t="s">
        <v>246</v>
      </c>
      <c r="D154" s="751" t="s">
        <v>247</v>
      </c>
      <c r="E154" s="751" t="s">
        <v>265</v>
      </c>
      <c r="F154" s="751" t="s">
        <v>257</v>
      </c>
      <c r="G154" s="752" t="s">
        <v>1681</v>
      </c>
      <c r="H154" s="753">
        <v>51140</v>
      </c>
      <c r="I154" s="754">
        <v>1500</v>
      </c>
      <c r="J154" s="754">
        <v>0</v>
      </c>
      <c r="K154" s="754">
        <v>0</v>
      </c>
      <c r="L154" s="754">
        <v>0</v>
      </c>
      <c r="M154" s="754">
        <f t="shared" si="29"/>
        <v>0</v>
      </c>
      <c r="N154" s="756">
        <v>1500</v>
      </c>
      <c r="O154" s="720">
        <f t="shared" si="30"/>
        <v>0</v>
      </c>
      <c r="Q154" s="252"/>
      <c r="R154" s="252"/>
      <c r="S154" s="252"/>
    </row>
    <row r="155" spans="1:19" outlineLevel="2" x14ac:dyDescent="0.25">
      <c r="A155" s="207" t="str">
        <f>VLOOKUP(RIGHT(E155,3)+0,SchLocTable!$A$2:$B$47,2,FALSE)</f>
        <v>Edison</v>
      </c>
      <c r="B155" s="207" t="str">
        <f>VLOOKUP(VALUE(D155),$D$3:F$106,3,FALSE)</f>
        <v>Principals</v>
      </c>
      <c r="C155" s="751" t="s">
        <v>246</v>
      </c>
      <c r="D155" s="751" t="s">
        <v>247</v>
      </c>
      <c r="E155" s="751" t="s">
        <v>265</v>
      </c>
      <c r="F155" s="751" t="s">
        <v>252</v>
      </c>
      <c r="G155" s="752" t="s">
        <v>1681</v>
      </c>
      <c r="H155" s="753">
        <v>51154</v>
      </c>
      <c r="I155" s="754">
        <v>49172.85</v>
      </c>
      <c r="J155" s="754">
        <v>0</v>
      </c>
      <c r="K155" s="754">
        <v>0</v>
      </c>
      <c r="L155" s="754">
        <v>49172.85</v>
      </c>
      <c r="M155" s="754">
        <f t="shared" si="29"/>
        <v>49172.85</v>
      </c>
      <c r="N155" s="756">
        <v>49172.85</v>
      </c>
      <c r="O155" s="720">
        <f t="shared" si="30"/>
        <v>0</v>
      </c>
      <c r="Q155" s="252"/>
      <c r="R155" s="252"/>
      <c r="S155" s="252"/>
    </row>
    <row r="156" spans="1:19" outlineLevel="2" x14ac:dyDescent="0.25">
      <c r="A156" s="207" t="str">
        <f>VLOOKUP(RIGHT(E156,3)+0,SchLocTable!$A$2:$B$47,2,FALSE)</f>
        <v>Edison</v>
      </c>
      <c r="B156" s="207" t="str">
        <f>VLOOKUP(VALUE(D156),$D$3:F$106,3,FALSE)</f>
        <v>Principals</v>
      </c>
      <c r="C156" s="751" t="s">
        <v>246</v>
      </c>
      <c r="D156" s="751" t="s">
        <v>247</v>
      </c>
      <c r="E156" s="751" t="s">
        <v>265</v>
      </c>
      <c r="F156" s="751" t="s">
        <v>254</v>
      </c>
      <c r="G156" s="752" t="s">
        <v>1681</v>
      </c>
      <c r="H156" s="753">
        <v>52360</v>
      </c>
      <c r="I156" s="754">
        <v>4279.71</v>
      </c>
      <c r="J156" s="754">
        <v>0</v>
      </c>
      <c r="K156" s="754">
        <v>0</v>
      </c>
      <c r="L156" s="754">
        <v>1672.52</v>
      </c>
      <c r="M156" s="754">
        <f t="shared" si="29"/>
        <v>1672.52</v>
      </c>
      <c r="N156" s="756">
        <v>4279.71</v>
      </c>
      <c r="O156" s="720">
        <f t="shared" si="30"/>
        <v>0</v>
      </c>
      <c r="Q156" s="252"/>
      <c r="R156" s="252"/>
      <c r="S156" s="252"/>
    </row>
    <row r="157" spans="1:19" outlineLevel="2" x14ac:dyDescent="0.25">
      <c r="A157" s="207" t="str">
        <f>VLOOKUP(RIGHT(E157,3)+0,SchLocTable!$A$2:$B$47,2,FALSE)</f>
        <v>Edison</v>
      </c>
      <c r="B157" s="207" t="str">
        <f>VLOOKUP(VALUE(D157),$D$3:F$106,3,FALSE)</f>
        <v>Principals</v>
      </c>
      <c r="C157" s="751" t="s">
        <v>246</v>
      </c>
      <c r="D157" s="751" t="s">
        <v>247</v>
      </c>
      <c r="E157" s="751" t="s">
        <v>265</v>
      </c>
      <c r="F157" s="751" t="s">
        <v>259</v>
      </c>
      <c r="G157" s="752" t="s">
        <v>1681</v>
      </c>
      <c r="H157" s="753">
        <v>52917</v>
      </c>
      <c r="I157" s="754">
        <v>17298.54</v>
      </c>
      <c r="J157" s="754">
        <v>0</v>
      </c>
      <c r="K157" s="754">
        <v>0</v>
      </c>
      <c r="L157" s="754">
        <v>5625.13</v>
      </c>
      <c r="M157" s="754">
        <f t="shared" si="29"/>
        <v>5625.13</v>
      </c>
      <c r="N157" s="756">
        <v>17298.54</v>
      </c>
      <c r="O157" s="720">
        <f t="shared" si="30"/>
        <v>0</v>
      </c>
      <c r="Q157" s="252"/>
      <c r="R157" s="252"/>
      <c r="S157" s="252"/>
    </row>
    <row r="158" spans="1:19" outlineLevel="2" x14ac:dyDescent="0.25">
      <c r="A158" s="207" t="str">
        <f>VLOOKUP(RIGHT(E158,3)+0,SchLocTable!$A$2:$B$47,2,FALSE)</f>
        <v>Marin</v>
      </c>
      <c r="B158" s="207" t="str">
        <f>VLOOKUP(VALUE(D158),$D$3:F$106,3,FALSE)</f>
        <v>Principals</v>
      </c>
      <c r="C158" s="751" t="s">
        <v>246</v>
      </c>
      <c r="D158" s="751" t="s">
        <v>247</v>
      </c>
      <c r="E158" s="751" t="s">
        <v>266</v>
      </c>
      <c r="F158" s="751" t="s">
        <v>248</v>
      </c>
      <c r="G158" s="752">
        <v>2</v>
      </c>
      <c r="H158" s="753">
        <v>51000</v>
      </c>
      <c r="I158" s="754">
        <v>295595.37</v>
      </c>
      <c r="J158" s="754">
        <v>0</v>
      </c>
      <c r="K158" s="754">
        <v>0</v>
      </c>
      <c r="L158" s="754">
        <v>97791.69</v>
      </c>
      <c r="M158" s="754">
        <f t="shared" si="29"/>
        <v>97791.69</v>
      </c>
      <c r="N158" s="756">
        <v>295595.37</v>
      </c>
      <c r="O158" s="720">
        <f t="shared" si="30"/>
        <v>0</v>
      </c>
      <c r="Q158" s="252"/>
      <c r="R158" s="252"/>
      <c r="S158" s="252"/>
    </row>
    <row r="159" spans="1:19" outlineLevel="2" x14ac:dyDescent="0.25">
      <c r="A159" s="207" t="str">
        <f>VLOOKUP(RIGHT(E159,3)+0,SchLocTable!$A$2:$B$47,2,FALSE)</f>
        <v>Marin</v>
      </c>
      <c r="B159" s="207" t="str">
        <f>VLOOKUP(VALUE(D159),$D$3:F$106,3,FALSE)</f>
        <v>Principals</v>
      </c>
      <c r="C159" s="755" t="s">
        <v>246</v>
      </c>
      <c r="D159" s="751" t="s">
        <v>247</v>
      </c>
      <c r="E159" s="751" t="s">
        <v>266</v>
      </c>
      <c r="F159" s="751" t="s">
        <v>257</v>
      </c>
      <c r="G159" s="752" t="s">
        <v>1681</v>
      </c>
      <c r="H159" s="753">
        <v>51140</v>
      </c>
      <c r="I159" s="754">
        <v>2700</v>
      </c>
      <c r="J159" s="754">
        <v>0</v>
      </c>
      <c r="K159" s="754">
        <v>0</v>
      </c>
      <c r="L159" s="754">
        <v>0</v>
      </c>
      <c r="M159" s="754">
        <f t="shared" si="29"/>
        <v>0</v>
      </c>
      <c r="N159" s="756">
        <v>2700</v>
      </c>
      <c r="O159" s="720">
        <f t="shared" si="30"/>
        <v>0</v>
      </c>
      <c r="Q159" s="252"/>
      <c r="R159" s="252"/>
      <c r="S159" s="252"/>
    </row>
    <row r="160" spans="1:19" outlineLevel="2" x14ac:dyDescent="0.25">
      <c r="A160" s="207" t="str">
        <f>VLOOKUP(RIGHT(E160,3)+0,SchLocTable!$A$2:$B$47,2,FALSE)</f>
        <v>Marin</v>
      </c>
      <c r="B160" s="207" t="str">
        <f>VLOOKUP(VALUE(D160),$D$3:F$106,3,FALSE)</f>
        <v>Principals</v>
      </c>
      <c r="C160" s="755" t="s">
        <v>246</v>
      </c>
      <c r="D160" s="751" t="s">
        <v>247</v>
      </c>
      <c r="E160" s="751" t="s">
        <v>266</v>
      </c>
      <c r="F160" s="751" t="s">
        <v>254</v>
      </c>
      <c r="G160" s="752" t="s">
        <v>1681</v>
      </c>
      <c r="H160" s="753">
        <v>52360</v>
      </c>
      <c r="I160" s="754">
        <v>4202.09</v>
      </c>
      <c r="J160" s="754">
        <v>0</v>
      </c>
      <c r="K160" s="754">
        <v>0</v>
      </c>
      <c r="L160" s="754">
        <v>1333.94</v>
      </c>
      <c r="M160" s="754">
        <f t="shared" si="29"/>
        <v>1333.94</v>
      </c>
      <c r="N160" s="756">
        <v>4202.09</v>
      </c>
      <c r="O160" s="720">
        <f t="shared" si="30"/>
        <v>0</v>
      </c>
      <c r="Q160" s="252"/>
      <c r="R160" s="252"/>
      <c r="S160" s="252"/>
    </row>
    <row r="161" spans="1:19" outlineLevel="2" x14ac:dyDescent="0.25">
      <c r="A161" s="207" t="str">
        <f>VLOOKUP(RIGHT(E161,3)+0,SchLocTable!$A$2:$B$47,2,FALSE)</f>
        <v>Marin</v>
      </c>
      <c r="B161" s="207" t="str">
        <f>VLOOKUP(VALUE(D161),$D$3:F$106,3,FALSE)</f>
        <v>Principals</v>
      </c>
      <c r="C161" s="751" t="s">
        <v>246</v>
      </c>
      <c r="D161" s="751" t="s">
        <v>247</v>
      </c>
      <c r="E161" s="751" t="s">
        <v>266</v>
      </c>
      <c r="F161" s="751" t="s">
        <v>259</v>
      </c>
      <c r="G161" s="752" t="s">
        <v>1681</v>
      </c>
      <c r="H161" s="753">
        <v>52917</v>
      </c>
      <c r="I161" s="754">
        <v>39841.440000000002</v>
      </c>
      <c r="J161" s="754">
        <v>0</v>
      </c>
      <c r="K161" s="754">
        <v>0</v>
      </c>
      <c r="L161" s="754">
        <v>14183.24</v>
      </c>
      <c r="M161" s="754">
        <f t="shared" si="29"/>
        <v>14183.24</v>
      </c>
      <c r="N161" s="756">
        <v>39841.440000000002</v>
      </c>
      <c r="O161" s="720">
        <f t="shared" si="30"/>
        <v>0</v>
      </c>
      <c r="Q161" s="252"/>
      <c r="R161" s="252"/>
      <c r="S161" s="252"/>
    </row>
    <row r="162" spans="1:19" outlineLevel="2" x14ac:dyDescent="0.25">
      <c r="A162" s="207" t="str">
        <f>VLOOKUP(RIGHT(E162,3)+0,SchLocTable!$A$2:$B$47,2,FALSE)</f>
        <v>Hall</v>
      </c>
      <c r="B162" s="207" t="str">
        <f>VLOOKUP(VALUE(D162),$D$3:F$106,3,FALSE)</f>
        <v>Principals</v>
      </c>
      <c r="C162" s="751" t="s">
        <v>246</v>
      </c>
      <c r="D162" s="751" t="s">
        <v>247</v>
      </c>
      <c r="E162" s="751" t="s">
        <v>267</v>
      </c>
      <c r="F162" s="751" t="s">
        <v>248</v>
      </c>
      <c r="G162" s="752">
        <v>1</v>
      </c>
      <c r="H162" s="753">
        <v>51000</v>
      </c>
      <c r="I162" s="754">
        <v>239800.35</v>
      </c>
      <c r="J162" s="754">
        <v>0</v>
      </c>
      <c r="K162" s="754">
        <v>0</v>
      </c>
      <c r="L162" s="754">
        <v>69929.320000000007</v>
      </c>
      <c r="M162" s="754">
        <f t="shared" si="29"/>
        <v>69929.320000000007</v>
      </c>
      <c r="N162" s="756">
        <v>239800.35</v>
      </c>
      <c r="O162" s="720">
        <f t="shared" si="30"/>
        <v>0</v>
      </c>
      <c r="Q162" s="252"/>
      <c r="R162" s="252"/>
      <c r="S162" s="252"/>
    </row>
    <row r="163" spans="1:19" outlineLevel="2" x14ac:dyDescent="0.25">
      <c r="A163" s="207" t="str">
        <f>VLOOKUP(RIGHT(E163,3)+0,SchLocTable!$A$2:$B$47,2,FALSE)</f>
        <v>Hall</v>
      </c>
      <c r="B163" s="207" t="str">
        <f>VLOOKUP(VALUE(D163),$D$3:F$106,3,FALSE)</f>
        <v>Principals</v>
      </c>
      <c r="C163" s="755" t="s">
        <v>246</v>
      </c>
      <c r="D163" s="751" t="s">
        <v>247</v>
      </c>
      <c r="E163" s="751" t="s">
        <v>267</v>
      </c>
      <c r="F163" s="751" t="s">
        <v>257</v>
      </c>
      <c r="G163" s="752" t="s">
        <v>1681</v>
      </c>
      <c r="H163" s="753">
        <v>51140</v>
      </c>
      <c r="I163" s="754">
        <v>1400</v>
      </c>
      <c r="J163" s="754">
        <v>0</v>
      </c>
      <c r="K163" s="754">
        <v>0</v>
      </c>
      <c r="L163" s="754">
        <v>0</v>
      </c>
      <c r="M163" s="754">
        <f t="shared" si="29"/>
        <v>0</v>
      </c>
      <c r="N163" s="756">
        <v>1400</v>
      </c>
      <c r="O163" s="720">
        <f t="shared" si="30"/>
        <v>0</v>
      </c>
      <c r="Q163" s="252"/>
      <c r="R163" s="252"/>
      <c r="S163" s="252"/>
    </row>
    <row r="164" spans="1:19" outlineLevel="2" x14ac:dyDescent="0.25">
      <c r="A164" s="207" t="str">
        <f>VLOOKUP(RIGHT(E164,3)+0,SchLocTable!$A$2:$B$47,2,FALSE)</f>
        <v>Hall</v>
      </c>
      <c r="B164" s="207" t="str">
        <f>VLOOKUP(VALUE(D164),$D$3:F$106,3,FALSE)</f>
        <v>Principals</v>
      </c>
      <c r="C164" s="755" t="s">
        <v>246</v>
      </c>
      <c r="D164" s="751" t="s">
        <v>247</v>
      </c>
      <c r="E164" s="751" t="s">
        <v>267</v>
      </c>
      <c r="F164" s="751" t="s">
        <v>254</v>
      </c>
      <c r="G164" s="752" t="s">
        <v>1681</v>
      </c>
      <c r="H164" s="753">
        <v>52360</v>
      </c>
      <c r="I164" s="754">
        <v>3412.48</v>
      </c>
      <c r="J164" s="754">
        <v>0</v>
      </c>
      <c r="K164" s="754">
        <v>0</v>
      </c>
      <c r="L164" s="754">
        <v>949.35</v>
      </c>
      <c r="M164" s="754">
        <f t="shared" si="29"/>
        <v>949.35</v>
      </c>
      <c r="N164" s="756">
        <v>3412.48</v>
      </c>
      <c r="O164" s="720">
        <f t="shared" si="30"/>
        <v>0</v>
      </c>
      <c r="Q164" s="252"/>
      <c r="R164" s="252"/>
      <c r="S164" s="252"/>
    </row>
    <row r="165" spans="1:19" outlineLevel="2" x14ac:dyDescent="0.25">
      <c r="A165" s="207" t="str">
        <f>VLOOKUP(RIGHT(E165,3)+0,SchLocTable!$A$2:$B$47,2,FALSE)</f>
        <v>Hall</v>
      </c>
      <c r="B165" s="207" t="str">
        <f>VLOOKUP(VALUE(D165),$D$3:F$106,3,FALSE)</f>
        <v>Principals</v>
      </c>
      <c r="C165" s="751" t="s">
        <v>246</v>
      </c>
      <c r="D165" s="751" t="s">
        <v>247</v>
      </c>
      <c r="E165" s="751" t="s">
        <v>267</v>
      </c>
      <c r="F165" s="751" t="s">
        <v>259</v>
      </c>
      <c r="G165" s="752" t="s">
        <v>1681</v>
      </c>
      <c r="H165" s="753">
        <v>52917</v>
      </c>
      <c r="I165" s="754">
        <v>31675.25</v>
      </c>
      <c r="J165" s="754">
        <v>0</v>
      </c>
      <c r="K165" s="754">
        <v>0</v>
      </c>
      <c r="L165" s="754">
        <v>9199.2099999999991</v>
      </c>
      <c r="M165" s="754">
        <f t="shared" si="29"/>
        <v>9199.2099999999991</v>
      </c>
      <c r="N165" s="756">
        <v>31675.25</v>
      </c>
      <c r="O165" s="720">
        <f t="shared" si="30"/>
        <v>0</v>
      </c>
      <c r="Q165" s="252"/>
      <c r="R165" s="252"/>
      <c r="S165" s="252"/>
    </row>
    <row r="166" spans="1:19" outlineLevel="2" x14ac:dyDescent="0.25">
      <c r="A166" s="207" t="str">
        <f>VLOOKUP(RIGHT(E166,3)+0,SchLocTable!$A$2:$B$47,2,FALSE)</f>
        <v>Hallen</v>
      </c>
      <c r="B166" s="207" t="str">
        <f>VLOOKUP(VALUE(D166),$D$3:F$106,3,FALSE)</f>
        <v>Principals</v>
      </c>
      <c r="C166" s="751" t="s">
        <v>246</v>
      </c>
      <c r="D166" s="751" t="s">
        <v>247</v>
      </c>
      <c r="E166" s="751" t="s">
        <v>268</v>
      </c>
      <c r="F166" s="751" t="s">
        <v>248</v>
      </c>
      <c r="G166" s="752">
        <v>2</v>
      </c>
      <c r="H166" s="753">
        <v>51000</v>
      </c>
      <c r="I166" s="754">
        <v>262787.90999999997</v>
      </c>
      <c r="J166" s="754">
        <v>0</v>
      </c>
      <c r="K166" s="754">
        <v>0</v>
      </c>
      <c r="L166" s="754">
        <v>67207.64</v>
      </c>
      <c r="M166" s="754">
        <f t="shared" si="29"/>
        <v>67207.64</v>
      </c>
      <c r="N166" s="756">
        <v>262787.90999999997</v>
      </c>
      <c r="O166" s="720">
        <f t="shared" si="30"/>
        <v>0</v>
      </c>
      <c r="Q166" s="252"/>
      <c r="R166" s="252"/>
      <c r="S166" s="252"/>
    </row>
    <row r="167" spans="1:19" outlineLevel="2" x14ac:dyDescent="0.25">
      <c r="A167" s="207" t="str">
        <f>VLOOKUP(RIGHT(E167,3)+0,SchLocTable!$A$2:$B$47,2,FALSE)</f>
        <v>Hallen</v>
      </c>
      <c r="B167" s="207" t="str">
        <f>VLOOKUP(VALUE(D167),$D$3:F$106,3,FALSE)</f>
        <v>Principals</v>
      </c>
      <c r="C167" s="751" t="s">
        <v>246</v>
      </c>
      <c r="D167" s="751" t="s">
        <v>247</v>
      </c>
      <c r="E167" s="751" t="s">
        <v>268</v>
      </c>
      <c r="F167" s="751" t="s">
        <v>257</v>
      </c>
      <c r="G167" s="752" t="s">
        <v>1681</v>
      </c>
      <c r="H167" s="753">
        <v>51140</v>
      </c>
      <c r="I167" s="754">
        <v>1400</v>
      </c>
      <c r="J167" s="754">
        <v>0</v>
      </c>
      <c r="K167" s="754">
        <v>0</v>
      </c>
      <c r="L167" s="754">
        <v>0</v>
      </c>
      <c r="M167" s="754">
        <f t="shared" si="29"/>
        <v>0</v>
      </c>
      <c r="N167" s="756">
        <v>1400</v>
      </c>
      <c r="O167" s="720">
        <f t="shared" si="30"/>
        <v>0</v>
      </c>
      <c r="Q167" s="252"/>
      <c r="R167" s="252"/>
      <c r="S167" s="252"/>
    </row>
    <row r="168" spans="1:19" outlineLevel="2" x14ac:dyDescent="0.25">
      <c r="A168" s="207" t="str">
        <f>VLOOKUP(RIGHT(E168,3)+0,SchLocTable!$A$2:$B$47,2,FALSE)</f>
        <v>Hallen</v>
      </c>
      <c r="B168" s="207" t="str">
        <f>VLOOKUP(VALUE(D168),$D$3:F$106,3,FALSE)</f>
        <v>Principals</v>
      </c>
      <c r="C168" s="751" t="s">
        <v>246</v>
      </c>
      <c r="D168" s="751" t="s">
        <v>247</v>
      </c>
      <c r="E168" s="751" t="s">
        <v>268</v>
      </c>
      <c r="F168" s="751" t="s">
        <v>254</v>
      </c>
      <c r="G168" s="752" t="s">
        <v>1681</v>
      </c>
      <c r="H168" s="753">
        <v>52360</v>
      </c>
      <c r="I168" s="754">
        <v>3742.09</v>
      </c>
      <c r="J168" s="754">
        <v>0</v>
      </c>
      <c r="K168" s="754">
        <v>0</v>
      </c>
      <c r="L168" s="754">
        <v>906.18</v>
      </c>
      <c r="M168" s="754">
        <f t="shared" si="29"/>
        <v>906.18</v>
      </c>
      <c r="N168" s="756">
        <v>3742.09</v>
      </c>
      <c r="O168" s="720">
        <f t="shared" si="30"/>
        <v>0</v>
      </c>
      <c r="Q168" s="252"/>
      <c r="R168" s="252"/>
      <c r="S168" s="252"/>
    </row>
    <row r="169" spans="1:19" outlineLevel="2" x14ac:dyDescent="0.25">
      <c r="A169" s="207" t="str">
        <f>VLOOKUP(RIGHT(E169,3)+0,SchLocTable!$A$2:$B$47,2,FALSE)</f>
        <v>Hallen</v>
      </c>
      <c r="B169" s="207" t="str">
        <f>VLOOKUP(VALUE(D169),$D$3:F$106,3,FALSE)</f>
        <v>Principals</v>
      </c>
      <c r="C169" s="751" t="s">
        <v>246</v>
      </c>
      <c r="D169" s="751" t="s">
        <v>247</v>
      </c>
      <c r="E169" s="751" t="s">
        <v>268</v>
      </c>
      <c r="F169" s="751" t="s">
        <v>259</v>
      </c>
      <c r="G169" s="752" t="s">
        <v>1681</v>
      </c>
      <c r="H169" s="753">
        <v>52917</v>
      </c>
      <c r="I169" s="754">
        <v>43620.91</v>
      </c>
      <c r="J169" s="754">
        <v>0</v>
      </c>
      <c r="K169" s="754">
        <v>0</v>
      </c>
      <c r="L169" s="754">
        <v>11419.2</v>
      </c>
      <c r="M169" s="754">
        <f t="shared" si="29"/>
        <v>11419.2</v>
      </c>
      <c r="N169" s="756">
        <v>43620.91</v>
      </c>
      <c r="O169" s="720">
        <f t="shared" si="30"/>
        <v>0</v>
      </c>
      <c r="Q169" s="252"/>
      <c r="R169" s="252"/>
      <c r="S169" s="252"/>
    </row>
    <row r="170" spans="1:19" outlineLevel="2" x14ac:dyDescent="0.25">
      <c r="A170" s="207" t="str">
        <f>VLOOKUP(RIGHT(E170,3)+0,SchLocTable!$A$2:$B$47,2,FALSE)</f>
        <v>Hooker</v>
      </c>
      <c r="B170" s="207" t="str">
        <f>VLOOKUP(VALUE(D170),$D$3:F$106,3,FALSE)</f>
        <v>Principals</v>
      </c>
      <c r="C170" s="751" t="s">
        <v>246</v>
      </c>
      <c r="D170" s="751" t="s">
        <v>247</v>
      </c>
      <c r="E170" s="751" t="s">
        <v>269</v>
      </c>
      <c r="F170" s="751" t="s">
        <v>248</v>
      </c>
      <c r="G170" s="752">
        <v>2</v>
      </c>
      <c r="H170" s="753">
        <v>51000</v>
      </c>
      <c r="I170" s="754">
        <v>270126.5</v>
      </c>
      <c r="J170" s="754">
        <v>0</v>
      </c>
      <c r="K170" s="754">
        <v>0</v>
      </c>
      <c r="L170" s="754">
        <v>72730.98</v>
      </c>
      <c r="M170" s="754">
        <f t="shared" si="29"/>
        <v>72730.98</v>
      </c>
      <c r="N170" s="756">
        <v>270126.5</v>
      </c>
      <c r="O170" s="720">
        <f t="shared" si="30"/>
        <v>0</v>
      </c>
      <c r="Q170" s="252"/>
      <c r="R170" s="252"/>
      <c r="S170" s="252"/>
    </row>
    <row r="171" spans="1:19" outlineLevel="2" x14ac:dyDescent="0.25">
      <c r="A171" s="207" t="str">
        <f>VLOOKUP(RIGHT(E171,3)+0,SchLocTable!$A$2:$B$47,2,FALSE)</f>
        <v>Hooker</v>
      </c>
      <c r="B171" s="207" t="str">
        <f>VLOOKUP(VALUE(D171),$D$3:F$106,3,FALSE)</f>
        <v>Principals</v>
      </c>
      <c r="C171" s="751" t="s">
        <v>246</v>
      </c>
      <c r="D171" s="751" t="s">
        <v>247</v>
      </c>
      <c r="E171" s="751" t="s">
        <v>269</v>
      </c>
      <c r="F171" s="751" t="s">
        <v>257</v>
      </c>
      <c r="G171" s="752" t="s">
        <v>1681</v>
      </c>
      <c r="H171" s="753">
        <v>51140</v>
      </c>
      <c r="I171" s="754">
        <v>1100</v>
      </c>
      <c r="J171" s="754">
        <v>0</v>
      </c>
      <c r="K171" s="754">
        <v>0</v>
      </c>
      <c r="L171" s="754">
        <v>0</v>
      </c>
      <c r="M171" s="754">
        <f t="shared" si="29"/>
        <v>0</v>
      </c>
      <c r="N171" s="756">
        <v>1100</v>
      </c>
      <c r="O171" s="720">
        <f t="shared" si="30"/>
        <v>0</v>
      </c>
      <c r="Q171" s="252"/>
      <c r="R171" s="252"/>
      <c r="S171" s="252"/>
    </row>
    <row r="172" spans="1:19" outlineLevel="2" x14ac:dyDescent="0.25">
      <c r="A172" s="207" t="str">
        <f>VLOOKUP(RIGHT(E172,3)+0,SchLocTable!$A$2:$B$47,2,FALSE)</f>
        <v>Hooker</v>
      </c>
      <c r="B172" s="207" t="str">
        <f>VLOOKUP(VALUE(D172),$D$3:F$106,3,FALSE)</f>
        <v>Principals</v>
      </c>
      <c r="C172" s="751" t="s">
        <v>246</v>
      </c>
      <c r="D172" s="755" t="s">
        <v>247</v>
      </c>
      <c r="E172" s="751" t="s">
        <v>269</v>
      </c>
      <c r="F172" s="751" t="s">
        <v>402</v>
      </c>
      <c r="G172" s="752" t="s">
        <v>1681</v>
      </c>
      <c r="H172" s="753">
        <v>51400</v>
      </c>
      <c r="I172" s="754">
        <v>927</v>
      </c>
      <c r="J172" s="754">
        <v>0</v>
      </c>
      <c r="K172" s="754">
        <v>0</v>
      </c>
      <c r="L172" s="754">
        <v>0</v>
      </c>
      <c r="M172" s="754">
        <f t="shared" si="29"/>
        <v>0</v>
      </c>
      <c r="N172" s="756">
        <v>927</v>
      </c>
      <c r="O172" s="720">
        <f t="shared" si="30"/>
        <v>0</v>
      </c>
      <c r="Q172" s="252"/>
      <c r="R172" s="252"/>
      <c r="S172" s="252"/>
    </row>
    <row r="173" spans="1:19" outlineLevel="2" x14ac:dyDescent="0.25">
      <c r="A173" s="207" t="str">
        <f>VLOOKUP(RIGHT(E173,3)+0,SchLocTable!$A$2:$B$47,2,FALSE)</f>
        <v>Hooker</v>
      </c>
      <c r="B173" s="207" t="str">
        <f>VLOOKUP(VALUE(D173),$D$3:F$106,3,FALSE)</f>
        <v>Principals</v>
      </c>
      <c r="C173" s="751" t="s">
        <v>246</v>
      </c>
      <c r="D173" s="751" t="s">
        <v>247</v>
      </c>
      <c r="E173" s="751" t="s">
        <v>269</v>
      </c>
      <c r="F173" s="751" t="s">
        <v>254</v>
      </c>
      <c r="G173" s="752" t="s">
        <v>1681</v>
      </c>
      <c r="H173" s="753">
        <v>52360</v>
      </c>
      <c r="I173" s="754">
        <v>3836.78</v>
      </c>
      <c r="J173" s="754">
        <v>0</v>
      </c>
      <c r="K173" s="754">
        <v>0</v>
      </c>
      <c r="L173" s="754">
        <v>974.54</v>
      </c>
      <c r="M173" s="754">
        <f t="shared" si="29"/>
        <v>974.54</v>
      </c>
      <c r="N173" s="756">
        <v>3836.78</v>
      </c>
      <c r="O173" s="720">
        <f t="shared" si="30"/>
        <v>0</v>
      </c>
      <c r="Q173" s="252"/>
      <c r="R173" s="252"/>
      <c r="S173" s="252"/>
    </row>
    <row r="174" spans="1:19" outlineLevel="2" x14ac:dyDescent="0.25">
      <c r="A174" s="207" t="str">
        <f>VLOOKUP(RIGHT(E174,3)+0,SchLocTable!$A$2:$B$47,2,FALSE)</f>
        <v>Hooker</v>
      </c>
      <c r="B174" s="207" t="str">
        <f>VLOOKUP(VALUE(D174),$D$3:F$106,3,FALSE)</f>
        <v>Principals</v>
      </c>
      <c r="C174" s="751" t="s">
        <v>246</v>
      </c>
      <c r="D174" s="751" t="s">
        <v>247</v>
      </c>
      <c r="E174" s="751" t="s">
        <v>269</v>
      </c>
      <c r="F174" s="751" t="s">
        <v>259</v>
      </c>
      <c r="G174" s="752" t="s">
        <v>1681</v>
      </c>
      <c r="H174" s="753">
        <v>52917</v>
      </c>
      <c r="I174" s="754">
        <v>59102.62</v>
      </c>
      <c r="J174" s="754">
        <v>0</v>
      </c>
      <c r="K174" s="754">
        <v>0</v>
      </c>
      <c r="L174" s="754">
        <v>14221.32</v>
      </c>
      <c r="M174" s="754">
        <f t="shared" si="29"/>
        <v>14221.32</v>
      </c>
      <c r="N174" s="756">
        <v>59102.62</v>
      </c>
      <c r="O174" s="720">
        <f t="shared" si="30"/>
        <v>0</v>
      </c>
      <c r="Q174" s="252"/>
      <c r="R174" s="252"/>
      <c r="S174" s="252"/>
    </row>
    <row r="175" spans="1:19" outlineLevel="2" x14ac:dyDescent="0.25">
      <c r="A175" s="207" t="str">
        <f>VLOOKUP(RIGHT(E175,3)+0,SchLocTable!$A$2:$B$47,2,FALSE)</f>
        <v>Batalla</v>
      </c>
      <c r="B175" s="207" t="str">
        <f>VLOOKUP(VALUE(D175),$D$3:F$106,3,FALSE)</f>
        <v>Principals</v>
      </c>
      <c r="C175" s="751" t="s">
        <v>246</v>
      </c>
      <c r="D175" s="751" t="s">
        <v>247</v>
      </c>
      <c r="E175" s="751" t="s">
        <v>270</v>
      </c>
      <c r="F175" s="751" t="s">
        <v>248</v>
      </c>
      <c r="G175" s="752">
        <v>3</v>
      </c>
      <c r="H175" s="753">
        <v>51000</v>
      </c>
      <c r="I175" s="754">
        <v>461390.53</v>
      </c>
      <c r="J175" s="754">
        <v>0</v>
      </c>
      <c r="K175" s="754">
        <v>0</v>
      </c>
      <c r="L175" s="754">
        <v>135894.57</v>
      </c>
      <c r="M175" s="754">
        <f t="shared" si="29"/>
        <v>135894.57</v>
      </c>
      <c r="N175" s="756">
        <v>461390.53</v>
      </c>
      <c r="O175" s="720">
        <f t="shared" si="30"/>
        <v>0</v>
      </c>
      <c r="Q175" s="252"/>
      <c r="R175" s="252"/>
      <c r="S175" s="252"/>
    </row>
    <row r="176" spans="1:19" outlineLevel="2" x14ac:dyDescent="0.25">
      <c r="A176" s="207" t="str">
        <f>VLOOKUP(RIGHT(E176,3)+0,SchLocTable!$A$2:$B$47,2,FALSE)</f>
        <v>Batalla</v>
      </c>
      <c r="B176" s="207" t="str">
        <f>VLOOKUP(VALUE(D176),$D$3:F$106,3,FALSE)</f>
        <v>Principals</v>
      </c>
      <c r="C176" s="751" t="s">
        <v>246</v>
      </c>
      <c r="D176" s="751" t="s">
        <v>247</v>
      </c>
      <c r="E176" s="751" t="s">
        <v>270</v>
      </c>
      <c r="F176" s="751" t="s">
        <v>257</v>
      </c>
      <c r="G176" s="752" t="s">
        <v>1681</v>
      </c>
      <c r="H176" s="753">
        <v>51140</v>
      </c>
      <c r="I176" s="754">
        <v>0</v>
      </c>
      <c r="J176" s="754">
        <v>0</v>
      </c>
      <c r="K176" s="754">
        <v>0</v>
      </c>
      <c r="L176" s="754">
        <v>0</v>
      </c>
      <c r="M176" s="754">
        <f t="shared" si="29"/>
        <v>0</v>
      </c>
      <c r="N176" s="756">
        <v>0</v>
      </c>
      <c r="O176" s="720">
        <f t="shared" si="30"/>
        <v>0</v>
      </c>
      <c r="Q176" s="252"/>
      <c r="R176" s="252"/>
      <c r="S176" s="252"/>
    </row>
    <row r="177" spans="1:19" outlineLevel="2" x14ac:dyDescent="0.25">
      <c r="A177" s="207" t="str">
        <f>VLOOKUP(RIGHT(E177,3)+0,SchLocTable!$A$2:$B$47,2,FALSE)</f>
        <v>Batalla</v>
      </c>
      <c r="B177" s="207" t="str">
        <f>VLOOKUP(VALUE(D177),$D$3:F$106,3,FALSE)</f>
        <v>Principals</v>
      </c>
      <c r="C177" s="751" t="s">
        <v>246</v>
      </c>
      <c r="D177" s="751" t="s">
        <v>247</v>
      </c>
      <c r="E177" s="751" t="s">
        <v>270</v>
      </c>
      <c r="F177" s="751" t="s">
        <v>254</v>
      </c>
      <c r="G177" s="752" t="s">
        <v>1681</v>
      </c>
      <c r="H177" s="753">
        <v>52360</v>
      </c>
      <c r="I177" s="754">
        <v>6610.44</v>
      </c>
      <c r="J177" s="754">
        <v>0</v>
      </c>
      <c r="K177" s="754">
        <v>0</v>
      </c>
      <c r="L177" s="754">
        <v>1890.75</v>
      </c>
      <c r="M177" s="754">
        <f t="shared" si="29"/>
        <v>1890.75</v>
      </c>
      <c r="N177" s="756">
        <v>6610.44</v>
      </c>
      <c r="O177" s="720">
        <f t="shared" si="30"/>
        <v>0</v>
      </c>
      <c r="Q177" s="252"/>
      <c r="R177" s="252"/>
      <c r="S177" s="252"/>
    </row>
    <row r="178" spans="1:19" outlineLevel="2" x14ac:dyDescent="0.25">
      <c r="A178" s="207" t="str">
        <f>VLOOKUP(RIGHT(E178,3)+0,SchLocTable!$A$2:$B$47,2,FALSE)</f>
        <v>Batalla</v>
      </c>
      <c r="B178" s="207" t="str">
        <f>VLOOKUP(VALUE(D178),$D$3:F$106,3,FALSE)</f>
        <v>Principals</v>
      </c>
      <c r="C178" s="751" t="s">
        <v>246</v>
      </c>
      <c r="D178" s="751" t="s">
        <v>247</v>
      </c>
      <c r="E178" s="751" t="s">
        <v>270</v>
      </c>
      <c r="F178" s="751" t="s">
        <v>259</v>
      </c>
      <c r="G178" s="752" t="s">
        <v>1681</v>
      </c>
      <c r="H178" s="753">
        <v>52917</v>
      </c>
      <c r="I178" s="754">
        <v>51183.58</v>
      </c>
      <c r="J178" s="754">
        <v>0</v>
      </c>
      <c r="K178" s="754">
        <v>0</v>
      </c>
      <c r="L178" s="754">
        <v>14351.36</v>
      </c>
      <c r="M178" s="754">
        <f t="shared" si="29"/>
        <v>14351.36</v>
      </c>
      <c r="N178" s="756">
        <v>51183.58</v>
      </c>
      <c r="O178" s="720">
        <f t="shared" si="30"/>
        <v>0</v>
      </c>
      <c r="Q178" s="252"/>
      <c r="R178" s="252"/>
      <c r="S178" s="252"/>
    </row>
    <row r="179" spans="1:19" outlineLevel="2" x14ac:dyDescent="0.25">
      <c r="A179" s="207" t="str">
        <f>VLOOKUP(RIGHT(E179,3)+0,SchLocTable!$A$2:$B$47,2,FALSE)</f>
        <v>Info Tech HS</v>
      </c>
      <c r="B179" s="207" t="str">
        <f>VLOOKUP(VALUE(D179),$D$3:F$106,3,FALSE)</f>
        <v>Principals</v>
      </c>
      <c r="C179" s="751" t="s">
        <v>246</v>
      </c>
      <c r="D179" s="751" t="s">
        <v>247</v>
      </c>
      <c r="E179" s="751" t="s">
        <v>2083</v>
      </c>
      <c r="F179" s="751" t="s">
        <v>257</v>
      </c>
      <c r="G179" s="752" t="s">
        <v>1681</v>
      </c>
      <c r="H179" s="753">
        <v>51140</v>
      </c>
      <c r="I179" s="754">
        <v>2900</v>
      </c>
      <c r="J179" s="754">
        <v>0</v>
      </c>
      <c r="K179" s="754">
        <v>0</v>
      </c>
      <c r="L179" s="754">
        <v>0</v>
      </c>
      <c r="M179" s="754">
        <f t="shared" si="29"/>
        <v>0</v>
      </c>
      <c r="N179" s="756">
        <v>2900</v>
      </c>
      <c r="O179" s="720">
        <f t="shared" si="30"/>
        <v>0</v>
      </c>
      <c r="Q179" s="252"/>
      <c r="R179" s="252"/>
      <c r="S179" s="252"/>
    </row>
    <row r="180" spans="1:19" outlineLevel="2" x14ac:dyDescent="0.25">
      <c r="A180" s="207" t="str">
        <f>VLOOKUP(RIGHT(E180,3)+0,SchLocTable!$A$2:$B$47,2,FALSE)</f>
        <v>Info Tech HS</v>
      </c>
      <c r="B180" s="207" t="str">
        <f>VLOOKUP(VALUE(D180),$D$3:F$106,3,FALSE)</f>
        <v>Principals</v>
      </c>
      <c r="C180" s="751" t="s">
        <v>246</v>
      </c>
      <c r="D180" s="751" t="s">
        <v>247</v>
      </c>
      <c r="E180" s="751" t="s">
        <v>2083</v>
      </c>
      <c r="F180" s="751" t="s">
        <v>254</v>
      </c>
      <c r="G180" s="752" t="s">
        <v>1681</v>
      </c>
      <c r="H180" s="753">
        <v>52360</v>
      </c>
      <c r="I180" s="754">
        <v>0</v>
      </c>
      <c r="J180" s="754">
        <v>0</v>
      </c>
      <c r="K180" s="754">
        <v>0</v>
      </c>
      <c r="L180" s="754">
        <v>0</v>
      </c>
      <c r="M180" s="754">
        <f t="shared" si="29"/>
        <v>0</v>
      </c>
      <c r="N180" s="756">
        <v>0</v>
      </c>
      <c r="O180" s="720">
        <f t="shared" si="30"/>
        <v>0</v>
      </c>
      <c r="Q180" s="252"/>
      <c r="R180" s="252"/>
      <c r="S180" s="252"/>
    </row>
    <row r="181" spans="1:19" outlineLevel="2" x14ac:dyDescent="0.25">
      <c r="A181" s="207" t="str">
        <f>VLOOKUP(RIGHT(E181,3)+0,SchLocTable!$A$2:$B$47,2,FALSE)</f>
        <v>BMA HS</v>
      </c>
      <c r="B181" s="207" t="str">
        <f>VLOOKUP(VALUE(D181),$D$3:F$106,3,FALSE)</f>
        <v>Principals</v>
      </c>
      <c r="C181" s="751" t="s">
        <v>246</v>
      </c>
      <c r="D181" s="751" t="s">
        <v>247</v>
      </c>
      <c r="E181" s="751" t="s">
        <v>271</v>
      </c>
      <c r="F181" s="751" t="s">
        <v>248</v>
      </c>
      <c r="G181" s="752">
        <v>2</v>
      </c>
      <c r="H181" s="753">
        <v>51000</v>
      </c>
      <c r="I181" s="754">
        <v>275846.13</v>
      </c>
      <c r="J181" s="754">
        <v>0</v>
      </c>
      <c r="K181" s="754">
        <v>0</v>
      </c>
      <c r="L181" s="754">
        <v>74624.27</v>
      </c>
      <c r="M181" s="754">
        <f t="shared" si="29"/>
        <v>74624.27</v>
      </c>
      <c r="N181" s="756">
        <v>275846.13</v>
      </c>
      <c r="O181" s="720">
        <f t="shared" si="30"/>
        <v>0</v>
      </c>
      <c r="Q181" s="252"/>
      <c r="R181" s="252"/>
      <c r="S181" s="252"/>
    </row>
    <row r="182" spans="1:19" outlineLevel="2" x14ac:dyDescent="0.25">
      <c r="A182" s="207" t="str">
        <f>VLOOKUP(RIGHT(E182,3)+0,SchLocTable!$A$2:$B$47,2,FALSE)</f>
        <v>BMA HS</v>
      </c>
      <c r="B182" s="207" t="str">
        <f>VLOOKUP(VALUE(D182),$D$3:F$106,3,FALSE)</f>
        <v>Principals</v>
      </c>
      <c r="C182" s="755" t="s">
        <v>246</v>
      </c>
      <c r="D182" s="751" t="s">
        <v>247</v>
      </c>
      <c r="E182" s="751" t="s">
        <v>271</v>
      </c>
      <c r="F182" s="751" t="s">
        <v>257</v>
      </c>
      <c r="G182" s="752" t="s">
        <v>1681</v>
      </c>
      <c r="H182" s="753">
        <v>51140</v>
      </c>
      <c r="I182" s="754">
        <v>1400</v>
      </c>
      <c r="J182" s="754">
        <v>0</v>
      </c>
      <c r="K182" s="754">
        <v>0</v>
      </c>
      <c r="L182" s="754">
        <v>0</v>
      </c>
      <c r="M182" s="754">
        <f t="shared" si="29"/>
        <v>0</v>
      </c>
      <c r="N182" s="756">
        <v>1400</v>
      </c>
      <c r="O182" s="720">
        <f t="shared" si="30"/>
        <v>0</v>
      </c>
      <c r="Q182" s="252"/>
      <c r="R182" s="252"/>
      <c r="S182" s="252"/>
    </row>
    <row r="183" spans="1:19" outlineLevel="2" x14ac:dyDescent="0.25">
      <c r="A183" s="207" t="str">
        <f>VLOOKUP(RIGHT(E183,3)+0,SchLocTable!$A$2:$B$47,2,FALSE)</f>
        <v>BMA HS</v>
      </c>
      <c r="B183" s="207" t="str">
        <f>VLOOKUP(VALUE(D183),$D$3:F$106,3,FALSE)</f>
        <v>Principals</v>
      </c>
      <c r="C183" s="751" t="s">
        <v>246</v>
      </c>
      <c r="D183" s="751" t="s">
        <v>247</v>
      </c>
      <c r="E183" s="751" t="s">
        <v>271</v>
      </c>
      <c r="F183" s="751" t="s">
        <v>254</v>
      </c>
      <c r="G183" s="752" t="s">
        <v>1681</v>
      </c>
      <c r="H183" s="753">
        <v>52360</v>
      </c>
      <c r="I183" s="754">
        <v>3907.31</v>
      </c>
      <c r="J183" s="754">
        <v>0</v>
      </c>
      <c r="K183" s="754">
        <v>0</v>
      </c>
      <c r="L183" s="754">
        <v>989.59</v>
      </c>
      <c r="M183" s="754">
        <f t="shared" si="29"/>
        <v>989.59</v>
      </c>
      <c r="N183" s="756">
        <v>3907.31</v>
      </c>
      <c r="O183" s="720">
        <f t="shared" si="30"/>
        <v>0</v>
      </c>
      <c r="Q183" s="252"/>
      <c r="R183" s="252"/>
      <c r="S183" s="252"/>
    </row>
    <row r="184" spans="1:19" outlineLevel="2" x14ac:dyDescent="0.25">
      <c r="A184" s="207" t="str">
        <f>VLOOKUP(RIGHT(E184,3)+0,SchLocTable!$A$2:$B$47,2,FALSE)</f>
        <v>BMA HS</v>
      </c>
      <c r="B184" s="207" t="str">
        <f>VLOOKUP(VALUE(D184),$D$3:F$106,3,FALSE)</f>
        <v>Principals</v>
      </c>
      <c r="C184" s="755" t="s">
        <v>246</v>
      </c>
      <c r="D184" s="751" t="s">
        <v>247</v>
      </c>
      <c r="E184" s="751" t="s">
        <v>271</v>
      </c>
      <c r="F184" s="751" t="s">
        <v>259</v>
      </c>
      <c r="G184" s="752" t="s">
        <v>1681</v>
      </c>
      <c r="H184" s="753">
        <v>52917</v>
      </c>
      <c r="I184" s="754">
        <v>60298.5</v>
      </c>
      <c r="J184" s="754">
        <v>0</v>
      </c>
      <c r="K184" s="754">
        <v>0</v>
      </c>
      <c r="L184" s="754">
        <v>14932.48</v>
      </c>
      <c r="M184" s="754">
        <f t="shared" si="29"/>
        <v>14932.48</v>
      </c>
      <c r="N184" s="756">
        <v>60298.5</v>
      </c>
      <c r="O184" s="720">
        <f t="shared" si="30"/>
        <v>0</v>
      </c>
      <c r="Q184" s="252"/>
      <c r="R184" s="252"/>
      <c r="S184" s="252"/>
    </row>
    <row r="185" spans="1:19" outlineLevel="2" x14ac:dyDescent="0.25">
      <c r="A185" s="207" t="str">
        <f>VLOOKUP(RIGHT(E185,3)+0,SchLocTable!$A$2:$B$47,2,FALSE)</f>
        <v>Park City Magnet</v>
      </c>
      <c r="B185" s="207" t="str">
        <f>VLOOKUP(VALUE(D185),$D$3:F$106,3,FALSE)</f>
        <v>Principals</v>
      </c>
      <c r="C185" s="751" t="s">
        <v>246</v>
      </c>
      <c r="D185" s="751" t="s">
        <v>247</v>
      </c>
      <c r="E185" s="751" t="s">
        <v>272</v>
      </c>
      <c r="F185" s="751" t="s">
        <v>248</v>
      </c>
      <c r="G185" s="752">
        <v>2</v>
      </c>
      <c r="H185" s="753">
        <v>51000</v>
      </c>
      <c r="I185" s="754">
        <v>249216.63</v>
      </c>
      <c r="J185" s="754">
        <v>0</v>
      </c>
      <c r="K185" s="754">
        <v>0</v>
      </c>
      <c r="L185" s="754">
        <v>66319.39</v>
      </c>
      <c r="M185" s="754">
        <f t="shared" si="29"/>
        <v>66319.39</v>
      </c>
      <c r="N185" s="756">
        <v>249216.63</v>
      </c>
      <c r="O185" s="720">
        <f t="shared" si="30"/>
        <v>0</v>
      </c>
      <c r="Q185" s="252"/>
      <c r="R185" s="252"/>
      <c r="S185" s="252"/>
    </row>
    <row r="186" spans="1:19" outlineLevel="2" x14ac:dyDescent="0.25">
      <c r="A186" s="207" t="str">
        <f>VLOOKUP(RIGHT(E186,3)+0,SchLocTable!$A$2:$B$47,2,FALSE)</f>
        <v>Park City Magnet</v>
      </c>
      <c r="B186" s="207" t="str">
        <f>VLOOKUP(VALUE(D186),$D$3:F$106,3,FALSE)</f>
        <v>Principals</v>
      </c>
      <c r="C186" s="751" t="s">
        <v>246</v>
      </c>
      <c r="D186" s="751" t="s">
        <v>247</v>
      </c>
      <c r="E186" s="751" t="s">
        <v>272</v>
      </c>
      <c r="F186" s="751" t="s">
        <v>254</v>
      </c>
      <c r="G186" s="752" t="s">
        <v>1681</v>
      </c>
      <c r="H186" s="753">
        <v>52360</v>
      </c>
      <c r="I186" s="754">
        <v>3548.08</v>
      </c>
      <c r="J186" s="754">
        <v>0</v>
      </c>
      <c r="K186" s="754">
        <v>0</v>
      </c>
      <c r="L186" s="754">
        <v>896.07</v>
      </c>
      <c r="M186" s="754">
        <f t="shared" si="29"/>
        <v>896.07</v>
      </c>
      <c r="N186" s="756">
        <v>3548.08</v>
      </c>
      <c r="O186" s="720">
        <f t="shared" si="30"/>
        <v>0</v>
      </c>
      <c r="Q186" s="252"/>
      <c r="R186" s="252"/>
      <c r="S186" s="252"/>
    </row>
    <row r="187" spans="1:19" outlineLevel="2" x14ac:dyDescent="0.25">
      <c r="A187" s="207" t="str">
        <f>VLOOKUP(RIGHT(E187,3)+0,SchLocTable!$A$2:$B$47,2,FALSE)</f>
        <v>Park City Magnet</v>
      </c>
      <c r="B187" s="207" t="str">
        <f>VLOOKUP(VALUE(D187),$D$3:F$106,3,FALSE)</f>
        <v>Principals</v>
      </c>
      <c r="C187" s="751" t="s">
        <v>246</v>
      </c>
      <c r="D187" s="751" t="s">
        <v>247</v>
      </c>
      <c r="E187" s="751" t="s">
        <v>272</v>
      </c>
      <c r="F187" s="751" t="s">
        <v>259</v>
      </c>
      <c r="G187" s="752" t="s">
        <v>1681</v>
      </c>
      <c r="H187" s="753">
        <v>52917</v>
      </c>
      <c r="I187" s="754">
        <v>40732.79</v>
      </c>
      <c r="J187" s="754">
        <v>0</v>
      </c>
      <c r="K187" s="754">
        <v>0</v>
      </c>
      <c r="L187" s="754">
        <v>11137.12</v>
      </c>
      <c r="M187" s="754">
        <f t="shared" si="29"/>
        <v>11137.12</v>
      </c>
      <c r="N187" s="756">
        <v>40732.79</v>
      </c>
      <c r="O187" s="720">
        <f t="shared" si="30"/>
        <v>0</v>
      </c>
      <c r="Q187" s="252"/>
      <c r="R187" s="252"/>
      <c r="S187" s="252"/>
    </row>
    <row r="188" spans="1:19" outlineLevel="2" x14ac:dyDescent="0.25">
      <c r="A188" s="207" t="str">
        <f>VLOOKUP(RIGHT(E188,3)+0,SchLocTable!$A$2:$B$47,2,FALSE)</f>
        <v>Madison</v>
      </c>
      <c r="B188" s="207" t="str">
        <f>VLOOKUP(VALUE(D188),$D$3:F$106,3,FALSE)</f>
        <v>Principals</v>
      </c>
      <c r="C188" s="751" t="s">
        <v>246</v>
      </c>
      <c r="D188" s="751" t="s">
        <v>247</v>
      </c>
      <c r="E188" s="751" t="s">
        <v>273</v>
      </c>
      <c r="F188" s="751" t="s">
        <v>248</v>
      </c>
      <c r="G188" s="752">
        <v>2</v>
      </c>
      <c r="H188" s="753">
        <v>51000</v>
      </c>
      <c r="I188" s="754">
        <v>258825.49</v>
      </c>
      <c r="J188" s="754">
        <v>0</v>
      </c>
      <c r="K188" s="754">
        <v>0</v>
      </c>
      <c r="L188" s="754">
        <v>59027.55</v>
      </c>
      <c r="M188" s="754">
        <f t="shared" si="29"/>
        <v>59027.55</v>
      </c>
      <c r="N188" s="756">
        <v>258825.49</v>
      </c>
      <c r="O188" s="720">
        <f t="shared" si="30"/>
        <v>0</v>
      </c>
      <c r="Q188" s="252"/>
      <c r="R188" s="252"/>
      <c r="S188" s="252"/>
    </row>
    <row r="189" spans="1:19" outlineLevel="2" x14ac:dyDescent="0.25">
      <c r="A189" s="207" t="str">
        <f>VLOOKUP(RIGHT(E189,3)+0,SchLocTable!$A$2:$B$47,2,FALSE)</f>
        <v>Madison</v>
      </c>
      <c r="B189" s="207" t="str">
        <f>VLOOKUP(VALUE(D189),$D$3:F$106,3,FALSE)</f>
        <v>Principals</v>
      </c>
      <c r="C189" s="751" t="s">
        <v>246</v>
      </c>
      <c r="D189" s="751" t="s">
        <v>247</v>
      </c>
      <c r="E189" s="751" t="s">
        <v>273</v>
      </c>
      <c r="F189" s="751" t="s">
        <v>257</v>
      </c>
      <c r="G189" s="752" t="s">
        <v>1681</v>
      </c>
      <c r="H189" s="753">
        <v>51140</v>
      </c>
      <c r="I189" s="754">
        <v>1300</v>
      </c>
      <c r="J189" s="754">
        <v>0</v>
      </c>
      <c r="K189" s="754">
        <v>0</v>
      </c>
      <c r="L189" s="754">
        <v>0</v>
      </c>
      <c r="M189" s="754">
        <f t="shared" si="29"/>
        <v>0</v>
      </c>
      <c r="N189" s="756">
        <v>1300</v>
      </c>
      <c r="O189" s="720">
        <f t="shared" si="30"/>
        <v>0</v>
      </c>
      <c r="Q189" s="252"/>
      <c r="R189" s="252"/>
      <c r="S189" s="252"/>
    </row>
    <row r="190" spans="1:19" outlineLevel="2" x14ac:dyDescent="0.25">
      <c r="A190" s="207" t="str">
        <f>VLOOKUP(RIGHT(E190,3)+0,SchLocTable!$A$2:$B$47,2,FALSE)</f>
        <v>Madison</v>
      </c>
      <c r="B190" s="207" t="str">
        <f>VLOOKUP(VALUE(D190),$D$3:F$106,3,FALSE)</f>
        <v>Principals</v>
      </c>
      <c r="C190" s="751" t="s">
        <v>246</v>
      </c>
      <c r="D190" s="751" t="s">
        <v>247</v>
      </c>
      <c r="E190" s="751" t="s">
        <v>273</v>
      </c>
      <c r="F190" s="751" t="s">
        <v>254</v>
      </c>
      <c r="G190" s="752" t="s">
        <v>1681</v>
      </c>
      <c r="H190" s="753">
        <v>52360</v>
      </c>
      <c r="I190" s="754">
        <v>3755.9</v>
      </c>
      <c r="J190" s="754">
        <v>0</v>
      </c>
      <c r="K190" s="754">
        <v>0</v>
      </c>
      <c r="L190" s="754">
        <v>858.83</v>
      </c>
      <c r="M190" s="754">
        <f t="shared" si="29"/>
        <v>858.83</v>
      </c>
      <c r="N190" s="756">
        <v>3755.9</v>
      </c>
      <c r="O190" s="720">
        <f t="shared" si="30"/>
        <v>0</v>
      </c>
      <c r="Q190" s="252"/>
      <c r="R190" s="252"/>
      <c r="S190" s="252"/>
    </row>
    <row r="191" spans="1:19" outlineLevel="2" x14ac:dyDescent="0.25">
      <c r="A191" s="207" t="str">
        <f>VLOOKUP(RIGHT(E191,3)+0,SchLocTable!$A$2:$B$47,2,FALSE)</f>
        <v>Classical Studies Academy</v>
      </c>
      <c r="B191" s="207" t="str">
        <f>VLOOKUP(VALUE(D191),$D$3:F$106,3,FALSE)</f>
        <v>Principals</v>
      </c>
      <c r="C191" s="751" t="s">
        <v>246</v>
      </c>
      <c r="D191" s="751" t="s">
        <v>247</v>
      </c>
      <c r="E191" s="751" t="s">
        <v>274</v>
      </c>
      <c r="F191" s="751" t="s">
        <v>248</v>
      </c>
      <c r="G191" s="752">
        <v>3</v>
      </c>
      <c r="H191" s="753">
        <v>51000</v>
      </c>
      <c r="I191" s="754">
        <v>437438.17</v>
      </c>
      <c r="J191" s="754">
        <v>0</v>
      </c>
      <c r="K191" s="754">
        <v>0</v>
      </c>
      <c r="L191" s="754">
        <v>122240.61</v>
      </c>
      <c r="M191" s="754">
        <f t="shared" ref="M191:M254" si="31">SUM(J191:L191)</f>
        <v>122240.61</v>
      </c>
      <c r="N191" s="756">
        <v>437438.17</v>
      </c>
      <c r="O191" s="720">
        <f t="shared" ref="O191:O254" si="32">I191-N191</f>
        <v>0</v>
      </c>
      <c r="Q191" s="252"/>
      <c r="R191" s="252"/>
      <c r="S191" s="252"/>
    </row>
    <row r="192" spans="1:19" outlineLevel="2" x14ac:dyDescent="0.25">
      <c r="A192" s="207" t="str">
        <f>VLOOKUP(RIGHT(E192,3)+0,SchLocTable!$A$2:$B$47,2,FALSE)</f>
        <v>Classical Studies Academy</v>
      </c>
      <c r="B192" s="207" t="str">
        <f>VLOOKUP(VALUE(D192),$D$3:F$106,3,FALSE)</f>
        <v>Principals</v>
      </c>
      <c r="C192" s="751" t="s">
        <v>246</v>
      </c>
      <c r="D192" s="751" t="s">
        <v>247</v>
      </c>
      <c r="E192" s="751" t="s">
        <v>274</v>
      </c>
      <c r="F192" s="751" t="s">
        <v>257</v>
      </c>
      <c r="G192" s="752" t="s">
        <v>1681</v>
      </c>
      <c r="H192" s="753">
        <v>51140</v>
      </c>
      <c r="I192" s="754">
        <v>1500</v>
      </c>
      <c r="J192" s="754">
        <v>0</v>
      </c>
      <c r="K192" s="754">
        <v>0</v>
      </c>
      <c r="L192" s="754">
        <v>0</v>
      </c>
      <c r="M192" s="754">
        <f t="shared" si="31"/>
        <v>0</v>
      </c>
      <c r="N192" s="756">
        <v>1500</v>
      </c>
      <c r="O192" s="720">
        <f t="shared" si="32"/>
        <v>0</v>
      </c>
      <c r="Q192" s="252"/>
      <c r="R192" s="252"/>
      <c r="S192" s="252"/>
    </row>
    <row r="193" spans="1:19" outlineLevel="2" x14ac:dyDescent="0.25">
      <c r="A193" s="207" t="str">
        <f>VLOOKUP(RIGHT(E193,3)+0,SchLocTable!$A$2:$B$47,2,FALSE)</f>
        <v>Classical Studies Academy</v>
      </c>
      <c r="B193" s="207" t="str">
        <f>VLOOKUP(VALUE(D193),$D$3:F$106,3,FALSE)</f>
        <v>Principals</v>
      </c>
      <c r="C193" s="755" t="s">
        <v>246</v>
      </c>
      <c r="D193" s="751" t="s">
        <v>247</v>
      </c>
      <c r="E193" s="751" t="s">
        <v>274</v>
      </c>
      <c r="F193" s="751" t="s">
        <v>254</v>
      </c>
      <c r="G193" s="752" t="s">
        <v>1681</v>
      </c>
      <c r="H193" s="753">
        <v>52360</v>
      </c>
      <c r="I193" s="754">
        <v>6301.19</v>
      </c>
      <c r="J193" s="754">
        <v>0</v>
      </c>
      <c r="K193" s="754">
        <v>0</v>
      </c>
      <c r="L193" s="754">
        <v>1730.83</v>
      </c>
      <c r="M193" s="754">
        <f t="shared" si="31"/>
        <v>1730.83</v>
      </c>
      <c r="N193" s="756">
        <v>6301.19</v>
      </c>
      <c r="O193" s="720">
        <f t="shared" si="32"/>
        <v>0</v>
      </c>
      <c r="Q193" s="252"/>
      <c r="R193" s="252"/>
      <c r="S193" s="252"/>
    </row>
    <row r="194" spans="1:19" outlineLevel="2" x14ac:dyDescent="0.25">
      <c r="A194" s="207" t="str">
        <f>VLOOKUP(RIGHT(E194,3)+0,SchLocTable!$A$2:$B$47,2,FALSE)</f>
        <v>Classical Studies Academy</v>
      </c>
      <c r="B194" s="207" t="str">
        <f>VLOOKUP(VALUE(D194),$D$3:F$106,3,FALSE)</f>
        <v>Principals</v>
      </c>
      <c r="C194" s="751" t="s">
        <v>246</v>
      </c>
      <c r="D194" s="751" t="s">
        <v>247</v>
      </c>
      <c r="E194" s="751" t="s">
        <v>274</v>
      </c>
      <c r="F194" s="751" t="s">
        <v>259</v>
      </c>
      <c r="G194" s="752" t="s">
        <v>1681</v>
      </c>
      <c r="H194" s="753">
        <v>52917</v>
      </c>
      <c r="I194" s="754">
        <v>49381.04</v>
      </c>
      <c r="J194" s="754">
        <v>0</v>
      </c>
      <c r="K194" s="754">
        <v>0</v>
      </c>
      <c r="L194" s="754">
        <v>12659.76</v>
      </c>
      <c r="M194" s="754">
        <f t="shared" si="31"/>
        <v>12659.76</v>
      </c>
      <c r="N194" s="756">
        <v>49381.04</v>
      </c>
      <c r="O194" s="720">
        <f t="shared" si="32"/>
        <v>0</v>
      </c>
      <c r="Q194" s="252"/>
      <c r="R194" s="252"/>
      <c r="S194" s="252"/>
    </row>
    <row r="195" spans="1:19" outlineLevel="2" x14ac:dyDescent="0.25">
      <c r="A195" s="207" t="str">
        <f>VLOOKUP(RIGHT(E195,3)+0,SchLocTable!$A$2:$B$47,2,FALSE)</f>
        <v>Tisdale</v>
      </c>
      <c r="B195" s="207" t="str">
        <f>VLOOKUP(VALUE(D195),$D$3:F$106,3,FALSE)</f>
        <v>Principals</v>
      </c>
      <c r="C195" s="751" t="s">
        <v>246</v>
      </c>
      <c r="D195" s="751" t="s">
        <v>247</v>
      </c>
      <c r="E195" s="751" t="s">
        <v>275</v>
      </c>
      <c r="F195" s="751" t="s">
        <v>248</v>
      </c>
      <c r="G195" s="752">
        <v>2</v>
      </c>
      <c r="H195" s="753">
        <v>51000</v>
      </c>
      <c r="I195" s="754">
        <v>308775.2</v>
      </c>
      <c r="J195" s="754">
        <v>0</v>
      </c>
      <c r="K195" s="754">
        <v>0</v>
      </c>
      <c r="L195" s="754">
        <v>84031.41</v>
      </c>
      <c r="M195" s="754">
        <f t="shared" si="31"/>
        <v>84031.41</v>
      </c>
      <c r="N195" s="756">
        <v>308775.2</v>
      </c>
      <c r="O195" s="720">
        <f t="shared" si="32"/>
        <v>0</v>
      </c>
      <c r="Q195" s="252"/>
      <c r="R195" s="252"/>
      <c r="S195" s="252"/>
    </row>
    <row r="196" spans="1:19" outlineLevel="2" x14ac:dyDescent="0.25">
      <c r="A196" s="207" t="str">
        <f>VLOOKUP(RIGHT(E196,3)+0,SchLocTable!$A$2:$B$47,2,FALSE)</f>
        <v>Tisdale</v>
      </c>
      <c r="B196" s="207" t="str">
        <f>VLOOKUP(VALUE(D196),$D$3:F$106,3,FALSE)</f>
        <v>Principals</v>
      </c>
      <c r="C196" s="751" t="s">
        <v>246</v>
      </c>
      <c r="D196" s="751" t="s">
        <v>247</v>
      </c>
      <c r="E196" s="751" t="s">
        <v>275</v>
      </c>
      <c r="F196" s="751" t="s">
        <v>257</v>
      </c>
      <c r="G196" s="752" t="s">
        <v>1681</v>
      </c>
      <c r="H196" s="753">
        <v>51140</v>
      </c>
      <c r="I196" s="754">
        <v>2700</v>
      </c>
      <c r="J196" s="754">
        <v>0</v>
      </c>
      <c r="K196" s="754">
        <v>0</v>
      </c>
      <c r="L196" s="754">
        <v>0</v>
      </c>
      <c r="M196" s="754">
        <f t="shared" si="31"/>
        <v>0</v>
      </c>
      <c r="N196" s="756">
        <v>2700</v>
      </c>
      <c r="O196" s="720">
        <f t="shared" si="32"/>
        <v>0</v>
      </c>
      <c r="Q196" s="252"/>
      <c r="R196" s="252"/>
      <c r="S196" s="252"/>
    </row>
    <row r="197" spans="1:19" outlineLevel="2" x14ac:dyDescent="0.25">
      <c r="A197" s="207" t="str">
        <f>VLOOKUP(RIGHT(E197,3)+0,SchLocTable!$A$2:$B$47,2,FALSE)</f>
        <v>Tisdale</v>
      </c>
      <c r="B197" s="207" t="str">
        <f>VLOOKUP(VALUE(D197),$D$3:F$106,3,FALSE)</f>
        <v>Principals</v>
      </c>
      <c r="C197" s="751" t="s">
        <v>246</v>
      </c>
      <c r="D197" s="751" t="s">
        <v>247</v>
      </c>
      <c r="E197" s="751" t="s">
        <v>275</v>
      </c>
      <c r="F197" s="751" t="s">
        <v>254</v>
      </c>
      <c r="G197" s="752" t="s">
        <v>1681</v>
      </c>
      <c r="H197" s="753">
        <v>52360</v>
      </c>
      <c r="I197" s="754">
        <v>4425.79</v>
      </c>
      <c r="J197" s="754">
        <v>0</v>
      </c>
      <c r="K197" s="754">
        <v>0</v>
      </c>
      <c r="L197" s="754">
        <v>1167.01</v>
      </c>
      <c r="M197" s="754">
        <f t="shared" si="31"/>
        <v>1167.01</v>
      </c>
      <c r="N197" s="756">
        <v>4425.79</v>
      </c>
      <c r="O197" s="720">
        <f t="shared" si="32"/>
        <v>0</v>
      </c>
      <c r="Q197" s="252"/>
      <c r="R197" s="252"/>
      <c r="S197" s="252"/>
    </row>
    <row r="198" spans="1:19" outlineLevel="2" x14ac:dyDescent="0.25">
      <c r="A198" s="207" t="str">
        <f>VLOOKUP(RIGHT(E198,3)+0,SchLocTable!$A$2:$B$47,2,FALSE)</f>
        <v>Tisdale</v>
      </c>
      <c r="B198" s="207" t="str">
        <f>VLOOKUP(VALUE(D198),$D$3:F$106,3,FALSE)</f>
        <v>Principals</v>
      </c>
      <c r="C198" s="751" t="s">
        <v>246</v>
      </c>
      <c r="D198" s="751" t="s">
        <v>247</v>
      </c>
      <c r="E198" s="751" t="s">
        <v>275</v>
      </c>
      <c r="F198" s="751" t="s">
        <v>259</v>
      </c>
      <c r="G198" s="752" t="s">
        <v>1681</v>
      </c>
      <c r="H198" s="753">
        <v>52917</v>
      </c>
      <c r="I198" s="754">
        <v>41004.449999999997</v>
      </c>
      <c r="J198" s="754">
        <v>0</v>
      </c>
      <c r="K198" s="754">
        <v>0</v>
      </c>
      <c r="L198" s="754">
        <v>11454.72</v>
      </c>
      <c r="M198" s="754">
        <f t="shared" si="31"/>
        <v>11454.72</v>
      </c>
      <c r="N198" s="756">
        <v>41004.449999999997</v>
      </c>
      <c r="O198" s="720">
        <f t="shared" si="32"/>
        <v>0</v>
      </c>
      <c r="Q198" s="252"/>
      <c r="R198" s="252"/>
      <c r="S198" s="252"/>
    </row>
    <row r="199" spans="1:19" outlineLevel="2" x14ac:dyDescent="0.25">
      <c r="A199" s="207" t="str">
        <f>VLOOKUP(RIGHT(E199,3)+0,SchLocTable!$A$2:$B$47,2,FALSE)</f>
        <v>Read</v>
      </c>
      <c r="B199" s="207" t="str">
        <f>VLOOKUP(VALUE(D199),$D$3:F$106,3,FALSE)</f>
        <v>Principals</v>
      </c>
      <c r="C199" s="751" t="s">
        <v>246</v>
      </c>
      <c r="D199" s="751" t="s">
        <v>247</v>
      </c>
      <c r="E199" s="751" t="s">
        <v>276</v>
      </c>
      <c r="F199" s="751" t="s">
        <v>248</v>
      </c>
      <c r="G199" s="752">
        <v>3</v>
      </c>
      <c r="H199" s="753">
        <v>51000</v>
      </c>
      <c r="I199" s="754">
        <v>412406.81</v>
      </c>
      <c r="J199" s="754">
        <v>0</v>
      </c>
      <c r="K199" s="754">
        <v>0</v>
      </c>
      <c r="L199" s="754">
        <v>115644.46</v>
      </c>
      <c r="M199" s="754">
        <f t="shared" si="31"/>
        <v>115644.46</v>
      </c>
      <c r="N199" s="756">
        <v>412406.81</v>
      </c>
      <c r="O199" s="720">
        <f t="shared" si="32"/>
        <v>0</v>
      </c>
      <c r="Q199" s="252"/>
      <c r="R199" s="252"/>
      <c r="S199" s="252"/>
    </row>
    <row r="200" spans="1:19" outlineLevel="2" x14ac:dyDescent="0.25">
      <c r="A200" s="207" t="str">
        <f>VLOOKUP(RIGHT(E200,3)+0,SchLocTable!$A$2:$B$47,2,FALSE)</f>
        <v>Read</v>
      </c>
      <c r="B200" s="207" t="str">
        <f>VLOOKUP(VALUE(D200),$D$3:F$106,3,FALSE)</f>
        <v>Principals</v>
      </c>
      <c r="C200" s="751" t="s">
        <v>246</v>
      </c>
      <c r="D200" s="751" t="s">
        <v>247</v>
      </c>
      <c r="E200" s="751" t="s">
        <v>276</v>
      </c>
      <c r="F200" s="751" t="s">
        <v>257</v>
      </c>
      <c r="G200" s="752" t="s">
        <v>1681</v>
      </c>
      <c r="H200" s="753">
        <v>51140</v>
      </c>
      <c r="I200" s="754">
        <v>1400</v>
      </c>
      <c r="J200" s="754">
        <v>0</v>
      </c>
      <c r="K200" s="754">
        <v>0</v>
      </c>
      <c r="L200" s="754">
        <v>0</v>
      </c>
      <c r="M200" s="754">
        <f t="shared" si="31"/>
        <v>0</v>
      </c>
      <c r="N200" s="756">
        <v>1400</v>
      </c>
      <c r="O200" s="720">
        <f t="shared" si="32"/>
        <v>0</v>
      </c>
      <c r="Q200" s="252"/>
      <c r="R200" s="252"/>
      <c r="S200" s="252"/>
    </row>
    <row r="201" spans="1:19" outlineLevel="2" x14ac:dyDescent="0.25">
      <c r="A201" s="207" t="str">
        <f>VLOOKUP(RIGHT(E201,3)+0,SchLocTable!$A$2:$B$47,2,FALSE)</f>
        <v>Read</v>
      </c>
      <c r="B201" s="207" t="str">
        <f>VLOOKUP(VALUE(D201),$D$3:F$106,3,FALSE)</f>
        <v>Principals</v>
      </c>
      <c r="C201" s="751" t="s">
        <v>246</v>
      </c>
      <c r="D201" s="751" t="s">
        <v>247</v>
      </c>
      <c r="E201" s="751" t="s">
        <v>276</v>
      </c>
      <c r="F201" s="751" t="s">
        <v>254</v>
      </c>
      <c r="G201" s="752" t="s">
        <v>1681</v>
      </c>
      <c r="H201" s="753">
        <v>52360</v>
      </c>
      <c r="I201" s="754">
        <v>5884.78</v>
      </c>
      <c r="J201" s="754">
        <v>0</v>
      </c>
      <c r="K201" s="754">
        <v>0</v>
      </c>
      <c r="L201" s="754">
        <v>1581.73</v>
      </c>
      <c r="M201" s="754">
        <f t="shared" si="31"/>
        <v>1581.73</v>
      </c>
      <c r="N201" s="756">
        <v>5884.78</v>
      </c>
      <c r="O201" s="720">
        <f t="shared" si="32"/>
        <v>0</v>
      </c>
      <c r="Q201" s="252"/>
      <c r="R201" s="252"/>
      <c r="S201" s="252"/>
    </row>
    <row r="202" spans="1:19" outlineLevel="2" x14ac:dyDescent="0.25">
      <c r="A202" s="207" t="str">
        <f>VLOOKUP(RIGHT(E202,3)+0,SchLocTable!$A$2:$B$47,2,FALSE)</f>
        <v>Read</v>
      </c>
      <c r="B202" s="207" t="str">
        <f>VLOOKUP(VALUE(D202),$D$3:F$106,3,FALSE)</f>
        <v>Principals</v>
      </c>
      <c r="C202" s="751" t="s">
        <v>246</v>
      </c>
      <c r="D202" s="751" t="s">
        <v>247</v>
      </c>
      <c r="E202" s="751" t="s">
        <v>276</v>
      </c>
      <c r="F202" s="751" t="s">
        <v>259</v>
      </c>
      <c r="G202" s="752" t="s">
        <v>1681</v>
      </c>
      <c r="H202" s="753">
        <v>52917</v>
      </c>
      <c r="I202" s="754">
        <v>62852.74</v>
      </c>
      <c r="J202" s="754">
        <v>0</v>
      </c>
      <c r="K202" s="754">
        <v>0</v>
      </c>
      <c r="L202" s="754">
        <v>17402.189999999999</v>
      </c>
      <c r="M202" s="754">
        <f t="shared" si="31"/>
        <v>17402.189999999999</v>
      </c>
      <c r="N202" s="756">
        <v>62852.74</v>
      </c>
      <c r="O202" s="720">
        <f t="shared" si="32"/>
        <v>0</v>
      </c>
      <c r="Q202" s="252"/>
      <c r="R202" s="252"/>
      <c r="S202" s="252"/>
    </row>
    <row r="203" spans="1:19" outlineLevel="2" x14ac:dyDescent="0.25">
      <c r="A203" s="207" t="str">
        <f>VLOOKUP(RIGHT(E203,3)+0,SchLocTable!$A$2:$B$47,2,FALSE)</f>
        <v>Roosevelt</v>
      </c>
      <c r="B203" s="207" t="str">
        <f>VLOOKUP(VALUE(D203),$D$3:F$106,3,FALSE)</f>
        <v>Principals</v>
      </c>
      <c r="C203" s="751" t="s">
        <v>246</v>
      </c>
      <c r="D203" s="751" t="s">
        <v>247</v>
      </c>
      <c r="E203" s="751" t="s">
        <v>277</v>
      </c>
      <c r="F203" s="751" t="s">
        <v>248</v>
      </c>
      <c r="G203" s="752">
        <v>2</v>
      </c>
      <c r="H203" s="753">
        <v>51000</v>
      </c>
      <c r="I203" s="754">
        <v>304803.62</v>
      </c>
      <c r="J203" s="754">
        <v>0</v>
      </c>
      <c r="K203" s="754">
        <v>0</v>
      </c>
      <c r="L203" s="754">
        <v>92423.11</v>
      </c>
      <c r="M203" s="754">
        <f t="shared" si="31"/>
        <v>92423.11</v>
      </c>
      <c r="N203" s="756">
        <v>304803.62</v>
      </c>
      <c r="O203" s="720">
        <f t="shared" si="32"/>
        <v>0</v>
      </c>
      <c r="Q203" s="252"/>
      <c r="R203" s="252"/>
      <c r="S203" s="252"/>
    </row>
    <row r="204" spans="1:19" outlineLevel="2" x14ac:dyDescent="0.25">
      <c r="A204" s="207" t="str">
        <f>VLOOKUP(RIGHT(E204,3)+0,SchLocTable!$A$2:$B$47,2,FALSE)</f>
        <v>Roosevelt</v>
      </c>
      <c r="B204" s="207" t="str">
        <f>VLOOKUP(VALUE(D204),$D$3:F$106,3,FALSE)</f>
        <v>Principals</v>
      </c>
      <c r="C204" s="751" t="s">
        <v>246</v>
      </c>
      <c r="D204" s="751" t="s">
        <v>247</v>
      </c>
      <c r="E204" s="751" t="s">
        <v>277</v>
      </c>
      <c r="F204" s="751" t="s">
        <v>257</v>
      </c>
      <c r="G204" s="752" t="s">
        <v>1681</v>
      </c>
      <c r="H204" s="753">
        <v>51140</v>
      </c>
      <c r="I204" s="754">
        <v>2800</v>
      </c>
      <c r="J204" s="754">
        <v>0</v>
      </c>
      <c r="K204" s="754">
        <v>0</v>
      </c>
      <c r="L204" s="754">
        <v>0</v>
      </c>
      <c r="M204" s="754">
        <f t="shared" si="31"/>
        <v>0</v>
      </c>
      <c r="N204" s="756">
        <v>2800</v>
      </c>
      <c r="O204" s="720">
        <f t="shared" si="32"/>
        <v>0</v>
      </c>
      <c r="Q204" s="252"/>
      <c r="R204" s="252"/>
      <c r="S204" s="252"/>
    </row>
    <row r="205" spans="1:19" outlineLevel="2" x14ac:dyDescent="0.25">
      <c r="A205" s="207" t="str">
        <f>VLOOKUP(RIGHT(E205,3)+0,SchLocTable!$A$2:$B$47,2,FALSE)</f>
        <v>Roosevelt</v>
      </c>
      <c r="B205" s="207" t="str">
        <f>VLOOKUP(VALUE(D205),$D$3:F$106,3,FALSE)</f>
        <v>Principals</v>
      </c>
      <c r="C205" s="751" t="s">
        <v>246</v>
      </c>
      <c r="D205" s="751" t="s">
        <v>247</v>
      </c>
      <c r="E205" s="751" t="s">
        <v>277</v>
      </c>
      <c r="F205" s="751" t="s">
        <v>254</v>
      </c>
      <c r="G205" s="752" t="s">
        <v>1681</v>
      </c>
      <c r="H205" s="753">
        <v>52360</v>
      </c>
      <c r="I205" s="754">
        <v>4388.8500000000004</v>
      </c>
      <c r="J205" s="754">
        <v>0</v>
      </c>
      <c r="K205" s="754">
        <v>0</v>
      </c>
      <c r="L205" s="754">
        <v>1309.33</v>
      </c>
      <c r="M205" s="754">
        <f t="shared" si="31"/>
        <v>1309.33</v>
      </c>
      <c r="N205" s="756">
        <v>4388.8500000000004</v>
      </c>
      <c r="O205" s="720">
        <f t="shared" si="32"/>
        <v>0</v>
      </c>
      <c r="Q205" s="252"/>
      <c r="R205" s="252"/>
      <c r="S205" s="252"/>
    </row>
    <row r="206" spans="1:19" outlineLevel="2" x14ac:dyDescent="0.25">
      <c r="A206" s="207" t="str">
        <f>VLOOKUP(RIGHT(E206,3)+0,SchLocTable!$A$2:$B$47,2,FALSE)</f>
        <v>Roosevelt</v>
      </c>
      <c r="B206" s="207" t="str">
        <f>VLOOKUP(VALUE(D206),$D$3:F$106,3,FALSE)</f>
        <v>Principals</v>
      </c>
      <c r="C206" s="751" t="s">
        <v>246</v>
      </c>
      <c r="D206" s="751" t="s">
        <v>247</v>
      </c>
      <c r="E206" s="751" t="s">
        <v>277</v>
      </c>
      <c r="F206" s="751" t="s">
        <v>259</v>
      </c>
      <c r="G206" s="752" t="s">
        <v>1681</v>
      </c>
      <c r="H206" s="753">
        <v>52917</v>
      </c>
      <c r="I206" s="754">
        <v>25682.59</v>
      </c>
      <c r="J206" s="754">
        <v>0</v>
      </c>
      <c r="K206" s="754">
        <v>0</v>
      </c>
      <c r="L206" s="754">
        <v>7456.25</v>
      </c>
      <c r="M206" s="754">
        <f t="shared" si="31"/>
        <v>7456.25</v>
      </c>
      <c r="N206" s="756">
        <v>25682.59</v>
      </c>
      <c r="O206" s="720">
        <f t="shared" si="32"/>
        <v>0</v>
      </c>
      <c r="Q206" s="252"/>
      <c r="R206" s="252"/>
      <c r="S206" s="252"/>
    </row>
    <row r="207" spans="1:19" outlineLevel="2" x14ac:dyDescent="0.25">
      <c r="A207" s="207" t="str">
        <f>VLOOKUP(RIGHT(E207,3)+0,SchLocTable!$A$2:$B$47,2,FALSE)</f>
        <v>Waltersville</v>
      </c>
      <c r="B207" s="207" t="str">
        <f>VLOOKUP(VALUE(D207),$D$3:F$106,3,FALSE)</f>
        <v>Principals</v>
      </c>
      <c r="C207" s="751" t="s">
        <v>246</v>
      </c>
      <c r="D207" s="751" t="s">
        <v>247</v>
      </c>
      <c r="E207" s="751" t="s">
        <v>278</v>
      </c>
      <c r="F207" s="751" t="s">
        <v>248</v>
      </c>
      <c r="G207" s="752">
        <v>2</v>
      </c>
      <c r="H207" s="753">
        <v>51000</v>
      </c>
      <c r="I207" s="754">
        <v>258782.54</v>
      </c>
      <c r="J207" s="754">
        <v>0</v>
      </c>
      <c r="K207" s="754">
        <v>0</v>
      </c>
      <c r="L207" s="754">
        <v>58798.17</v>
      </c>
      <c r="M207" s="754">
        <f t="shared" si="31"/>
        <v>58798.17</v>
      </c>
      <c r="N207" s="756">
        <v>258782.54</v>
      </c>
      <c r="O207" s="720">
        <f t="shared" si="32"/>
        <v>0</v>
      </c>
      <c r="Q207" s="252"/>
      <c r="R207" s="252"/>
      <c r="S207" s="252"/>
    </row>
    <row r="208" spans="1:19" outlineLevel="2" x14ac:dyDescent="0.25">
      <c r="A208" s="207" t="str">
        <f>VLOOKUP(RIGHT(E208,3)+0,SchLocTable!$A$2:$B$47,2,FALSE)</f>
        <v>Waltersville</v>
      </c>
      <c r="B208" s="207" t="str">
        <f>VLOOKUP(VALUE(D208),$D$3:F$106,3,FALSE)</f>
        <v>Principals</v>
      </c>
      <c r="C208" s="751" t="s">
        <v>246</v>
      </c>
      <c r="D208" s="751" t="s">
        <v>247</v>
      </c>
      <c r="E208" s="751" t="s">
        <v>278</v>
      </c>
      <c r="F208" s="751" t="s">
        <v>257</v>
      </c>
      <c r="G208" s="752" t="s">
        <v>1681</v>
      </c>
      <c r="H208" s="753">
        <v>51140</v>
      </c>
      <c r="I208" s="754">
        <v>1400</v>
      </c>
      <c r="J208" s="754">
        <v>0</v>
      </c>
      <c r="K208" s="754">
        <v>0</v>
      </c>
      <c r="L208" s="754">
        <v>0</v>
      </c>
      <c r="M208" s="754">
        <f t="shared" si="31"/>
        <v>0</v>
      </c>
      <c r="N208" s="756">
        <v>1400</v>
      </c>
      <c r="O208" s="720">
        <f t="shared" si="32"/>
        <v>0</v>
      </c>
      <c r="Q208" s="252"/>
      <c r="R208" s="252"/>
      <c r="S208" s="252"/>
    </row>
    <row r="209" spans="1:19" outlineLevel="2" x14ac:dyDescent="0.25">
      <c r="A209" s="207" t="str">
        <f>VLOOKUP(RIGHT(E209,3)+0,SchLocTable!$A$2:$B$47,2,FALSE)</f>
        <v>Waltersville</v>
      </c>
      <c r="B209" s="207" t="str">
        <f>VLOOKUP(VALUE(D209),$D$3:F$106,3,FALSE)</f>
        <v>Principals</v>
      </c>
      <c r="C209" s="751" t="s">
        <v>246</v>
      </c>
      <c r="D209" s="751" t="s">
        <v>247</v>
      </c>
      <c r="E209" s="751" t="s">
        <v>278</v>
      </c>
      <c r="F209" s="751" t="s">
        <v>254</v>
      </c>
      <c r="G209" s="752" t="s">
        <v>1681</v>
      </c>
      <c r="H209" s="753">
        <v>52360</v>
      </c>
      <c r="I209" s="754">
        <v>3741.1</v>
      </c>
      <c r="J209" s="754">
        <v>0</v>
      </c>
      <c r="K209" s="754">
        <v>0</v>
      </c>
      <c r="L209" s="754">
        <v>841.33</v>
      </c>
      <c r="M209" s="754">
        <f t="shared" si="31"/>
        <v>841.33</v>
      </c>
      <c r="N209" s="756">
        <v>3741.1</v>
      </c>
      <c r="O209" s="720">
        <f t="shared" si="32"/>
        <v>0</v>
      </c>
      <c r="Q209" s="252"/>
      <c r="R209" s="252"/>
      <c r="S209" s="252"/>
    </row>
    <row r="210" spans="1:19" outlineLevel="2" x14ac:dyDescent="0.25">
      <c r="A210" s="207" t="str">
        <f>VLOOKUP(RIGHT(E210,3)+0,SchLocTable!$A$2:$B$47,2,FALSE)</f>
        <v>Waltersville</v>
      </c>
      <c r="B210" s="207" t="str">
        <f>VLOOKUP(VALUE(D210),$D$3:F$106,3,FALSE)</f>
        <v>Principals</v>
      </c>
      <c r="C210" s="755" t="s">
        <v>246</v>
      </c>
      <c r="D210" s="751" t="s">
        <v>247</v>
      </c>
      <c r="E210" s="751" t="s">
        <v>278</v>
      </c>
      <c r="F210" s="751" t="s">
        <v>259</v>
      </c>
      <c r="G210" s="752" t="s">
        <v>1681</v>
      </c>
      <c r="H210" s="753">
        <v>52917</v>
      </c>
      <c r="I210" s="754">
        <v>30795.31</v>
      </c>
      <c r="J210" s="754">
        <v>0</v>
      </c>
      <c r="K210" s="754">
        <v>0</v>
      </c>
      <c r="L210" s="754">
        <v>5137.1099999999997</v>
      </c>
      <c r="M210" s="754">
        <f t="shared" si="31"/>
        <v>5137.1099999999997</v>
      </c>
      <c r="N210" s="756">
        <v>30795.31</v>
      </c>
      <c r="O210" s="720">
        <f t="shared" si="32"/>
        <v>0</v>
      </c>
      <c r="Q210" s="252"/>
      <c r="R210" s="252"/>
      <c r="S210" s="252"/>
    </row>
    <row r="211" spans="1:19" outlineLevel="2" x14ac:dyDescent="0.25">
      <c r="A211" s="207" t="str">
        <f>VLOOKUP(RIGHT(E211,3)+0,SchLocTable!$A$2:$B$47,2,FALSE)</f>
        <v>Claytor</v>
      </c>
      <c r="B211" s="207" t="str">
        <f>VLOOKUP(VALUE(D211),$D$3:F$106,3,FALSE)</f>
        <v>Principals</v>
      </c>
      <c r="C211" s="751" t="s">
        <v>246</v>
      </c>
      <c r="D211" s="751" t="s">
        <v>247</v>
      </c>
      <c r="E211" s="751" t="s">
        <v>279</v>
      </c>
      <c r="F211" s="751" t="s">
        <v>248</v>
      </c>
      <c r="G211" s="752">
        <v>2</v>
      </c>
      <c r="H211" s="753">
        <v>51000</v>
      </c>
      <c r="I211" s="754">
        <v>290579.93</v>
      </c>
      <c r="J211" s="754">
        <v>0</v>
      </c>
      <c r="K211" s="754">
        <v>0</v>
      </c>
      <c r="L211" s="754">
        <v>88182.65</v>
      </c>
      <c r="M211" s="754">
        <f t="shared" si="31"/>
        <v>88182.65</v>
      </c>
      <c r="N211" s="756">
        <v>290579.93</v>
      </c>
      <c r="O211" s="720">
        <f t="shared" si="32"/>
        <v>0</v>
      </c>
      <c r="Q211" s="252"/>
      <c r="R211" s="252"/>
      <c r="S211" s="252"/>
    </row>
    <row r="212" spans="1:19" outlineLevel="2" x14ac:dyDescent="0.25">
      <c r="A212" s="207" t="str">
        <f>VLOOKUP(RIGHT(E212,3)+0,SchLocTable!$A$2:$B$47,2,FALSE)</f>
        <v>Claytor</v>
      </c>
      <c r="B212" s="207" t="str">
        <f>VLOOKUP(VALUE(D212),$D$3:F$106,3,FALSE)</f>
        <v>Principals</v>
      </c>
      <c r="C212" s="751" t="s">
        <v>246</v>
      </c>
      <c r="D212" s="751" t="s">
        <v>247</v>
      </c>
      <c r="E212" s="751" t="s">
        <v>279</v>
      </c>
      <c r="F212" s="751" t="s">
        <v>257</v>
      </c>
      <c r="G212" s="752" t="s">
        <v>1681</v>
      </c>
      <c r="H212" s="753">
        <v>51140</v>
      </c>
      <c r="I212" s="754">
        <v>1100</v>
      </c>
      <c r="J212" s="754">
        <v>0</v>
      </c>
      <c r="K212" s="754">
        <v>0</v>
      </c>
      <c r="L212" s="754">
        <v>0</v>
      </c>
      <c r="M212" s="754">
        <f t="shared" si="31"/>
        <v>0</v>
      </c>
      <c r="N212" s="756">
        <v>1100</v>
      </c>
      <c r="O212" s="720">
        <f t="shared" si="32"/>
        <v>0</v>
      </c>
      <c r="Q212" s="252"/>
      <c r="R212" s="252"/>
      <c r="S212" s="252"/>
    </row>
    <row r="213" spans="1:19" outlineLevel="2" x14ac:dyDescent="0.25">
      <c r="A213" s="207" t="str">
        <f>VLOOKUP(RIGHT(E213,3)+0,SchLocTable!$A$2:$B$47,2,FALSE)</f>
        <v>Claytor</v>
      </c>
      <c r="B213" s="207" t="str">
        <f>VLOOKUP(VALUE(D213),$D$3:F$106,3,FALSE)</f>
        <v>Principals</v>
      </c>
      <c r="C213" s="751" t="s">
        <v>246</v>
      </c>
      <c r="D213" s="751" t="s">
        <v>247</v>
      </c>
      <c r="E213" s="751" t="s">
        <v>279</v>
      </c>
      <c r="F213" s="751" t="s">
        <v>254</v>
      </c>
      <c r="G213" s="752" t="s">
        <v>1681</v>
      </c>
      <c r="H213" s="753">
        <v>52360</v>
      </c>
      <c r="I213" s="754">
        <v>4119.62</v>
      </c>
      <c r="J213" s="754">
        <v>0</v>
      </c>
      <c r="K213" s="754">
        <v>0</v>
      </c>
      <c r="L213" s="754">
        <v>1184.8599999999999</v>
      </c>
      <c r="M213" s="754">
        <f t="shared" si="31"/>
        <v>1184.8599999999999</v>
      </c>
      <c r="N213" s="756">
        <v>4119.62</v>
      </c>
      <c r="O213" s="720">
        <f t="shared" si="32"/>
        <v>0</v>
      </c>
      <c r="Q213" s="252"/>
      <c r="R213" s="252"/>
      <c r="S213" s="252"/>
    </row>
    <row r="214" spans="1:19" outlineLevel="2" x14ac:dyDescent="0.25">
      <c r="A214" s="207" t="str">
        <f>VLOOKUP(RIGHT(E214,3)+0,SchLocTable!$A$2:$B$47,2,FALSE)</f>
        <v>Claytor</v>
      </c>
      <c r="B214" s="207" t="str">
        <f>VLOOKUP(VALUE(D214),$D$3:F$106,3,FALSE)</f>
        <v>Principals</v>
      </c>
      <c r="C214" s="751" t="s">
        <v>246</v>
      </c>
      <c r="D214" s="751" t="s">
        <v>247</v>
      </c>
      <c r="E214" s="751" t="s">
        <v>279</v>
      </c>
      <c r="F214" s="751" t="s">
        <v>259</v>
      </c>
      <c r="G214" s="752" t="s">
        <v>1681</v>
      </c>
      <c r="H214" s="753">
        <v>52917</v>
      </c>
      <c r="I214" s="754">
        <v>57260.22</v>
      </c>
      <c r="J214" s="754">
        <v>0</v>
      </c>
      <c r="K214" s="754">
        <v>0</v>
      </c>
      <c r="L214" s="754">
        <v>16648.71</v>
      </c>
      <c r="M214" s="754">
        <f t="shared" si="31"/>
        <v>16648.71</v>
      </c>
      <c r="N214" s="756">
        <v>57260.22</v>
      </c>
      <c r="O214" s="720">
        <f t="shared" si="32"/>
        <v>0</v>
      </c>
      <c r="Q214" s="252"/>
      <c r="R214" s="252"/>
      <c r="S214" s="252"/>
    </row>
    <row r="215" spans="1:19" outlineLevel="2" x14ac:dyDescent="0.25">
      <c r="A215" s="207" t="str">
        <f>VLOOKUP(RIGHT(E215,3)+0,SchLocTable!$A$2:$B$47,2,FALSE)</f>
        <v>Johnson</v>
      </c>
      <c r="B215" s="207" t="str">
        <f>VLOOKUP(VALUE(D215),$D$3:F$106,3,FALSE)</f>
        <v>Principals</v>
      </c>
      <c r="C215" s="751" t="s">
        <v>246</v>
      </c>
      <c r="D215" s="751" t="s">
        <v>247</v>
      </c>
      <c r="E215" s="751" t="s">
        <v>280</v>
      </c>
      <c r="F215" s="751" t="s">
        <v>248</v>
      </c>
      <c r="G215" s="752">
        <v>3</v>
      </c>
      <c r="H215" s="753">
        <v>51000</v>
      </c>
      <c r="I215" s="754">
        <v>428922.83</v>
      </c>
      <c r="J215" s="754">
        <v>0</v>
      </c>
      <c r="K215" s="754">
        <v>0</v>
      </c>
      <c r="L215" s="754">
        <v>120308.96</v>
      </c>
      <c r="M215" s="754">
        <f t="shared" si="31"/>
        <v>120308.96</v>
      </c>
      <c r="N215" s="756">
        <v>428922.83</v>
      </c>
      <c r="O215" s="720">
        <f t="shared" si="32"/>
        <v>0</v>
      </c>
      <c r="Q215" s="252"/>
      <c r="R215" s="252"/>
      <c r="S215" s="252"/>
    </row>
    <row r="216" spans="1:19" outlineLevel="2" x14ac:dyDescent="0.25">
      <c r="A216" s="207" t="str">
        <f>VLOOKUP(RIGHT(E216,3)+0,SchLocTable!$A$2:$B$47,2,FALSE)</f>
        <v>Johnson</v>
      </c>
      <c r="B216" s="207" t="str">
        <f>VLOOKUP(VALUE(D216),$D$3:F$106,3,FALSE)</f>
        <v>Principals</v>
      </c>
      <c r="C216" s="751" t="s">
        <v>246</v>
      </c>
      <c r="D216" s="751" t="s">
        <v>247</v>
      </c>
      <c r="E216" s="751" t="s">
        <v>280</v>
      </c>
      <c r="F216" s="751" t="s">
        <v>257</v>
      </c>
      <c r="G216" s="752" t="s">
        <v>1681</v>
      </c>
      <c r="H216" s="753">
        <v>51140</v>
      </c>
      <c r="I216" s="754">
        <v>1400</v>
      </c>
      <c r="J216" s="754">
        <v>0</v>
      </c>
      <c r="K216" s="754">
        <v>0</v>
      </c>
      <c r="L216" s="754">
        <v>0</v>
      </c>
      <c r="M216" s="754">
        <f t="shared" si="31"/>
        <v>0</v>
      </c>
      <c r="N216" s="756">
        <v>1400</v>
      </c>
      <c r="O216" s="720">
        <f t="shared" si="32"/>
        <v>0</v>
      </c>
      <c r="Q216" s="252"/>
      <c r="R216" s="252"/>
      <c r="S216" s="252"/>
    </row>
    <row r="217" spans="1:19" outlineLevel="2" x14ac:dyDescent="0.25">
      <c r="A217" s="207" t="str">
        <f>VLOOKUP(RIGHT(E217,3)+0,SchLocTable!$A$2:$B$47,2,FALSE)</f>
        <v>Johnson</v>
      </c>
      <c r="B217" s="207" t="str">
        <f>VLOOKUP(VALUE(D217),$D$3:F$106,3,FALSE)</f>
        <v>Principals</v>
      </c>
      <c r="C217" s="751" t="s">
        <v>246</v>
      </c>
      <c r="D217" s="751" t="s">
        <v>247</v>
      </c>
      <c r="E217" s="751" t="s">
        <v>280</v>
      </c>
      <c r="F217" s="751" t="s">
        <v>254</v>
      </c>
      <c r="G217" s="752" t="s">
        <v>1681</v>
      </c>
      <c r="H217" s="753">
        <v>52360</v>
      </c>
      <c r="I217" s="754">
        <v>6106.51</v>
      </c>
      <c r="J217" s="754">
        <v>0</v>
      </c>
      <c r="K217" s="754">
        <v>0</v>
      </c>
      <c r="L217" s="754">
        <v>1631.61</v>
      </c>
      <c r="M217" s="754">
        <f t="shared" si="31"/>
        <v>1631.61</v>
      </c>
      <c r="N217" s="756">
        <v>6106.51</v>
      </c>
      <c r="O217" s="720">
        <f t="shared" si="32"/>
        <v>0</v>
      </c>
      <c r="Q217" s="252"/>
      <c r="R217" s="252"/>
      <c r="S217" s="252"/>
    </row>
    <row r="218" spans="1:19" outlineLevel="1" x14ac:dyDescent="0.25">
      <c r="A218" s="207" t="str">
        <f>VLOOKUP(RIGHT(E218,3)+0,SchLocTable!$A$2:$B$47,2,FALSE)</f>
        <v>Johnson</v>
      </c>
      <c r="B218" s="207" t="str">
        <f>VLOOKUP(VALUE(D218),$D$3:F$106,3,FALSE)</f>
        <v>Principals</v>
      </c>
      <c r="C218" s="751" t="s">
        <v>246</v>
      </c>
      <c r="D218" s="751" t="s">
        <v>247</v>
      </c>
      <c r="E218" s="751" t="s">
        <v>280</v>
      </c>
      <c r="F218" s="751" t="s">
        <v>259</v>
      </c>
      <c r="G218" s="752" t="s">
        <v>1681</v>
      </c>
      <c r="H218" s="753">
        <v>52917</v>
      </c>
      <c r="I218" s="754">
        <v>86767.25</v>
      </c>
      <c r="J218" s="754">
        <v>0</v>
      </c>
      <c r="K218" s="754">
        <v>0</v>
      </c>
      <c r="L218" s="754">
        <v>23138.33</v>
      </c>
      <c r="M218" s="754">
        <f t="shared" si="31"/>
        <v>23138.33</v>
      </c>
      <c r="N218" s="756">
        <v>86767.25</v>
      </c>
      <c r="O218" s="720">
        <f t="shared" si="32"/>
        <v>0</v>
      </c>
      <c r="Q218" s="252"/>
      <c r="R218" s="252"/>
      <c r="S218" s="252"/>
    </row>
    <row r="219" spans="1:19" outlineLevel="2" x14ac:dyDescent="0.25">
      <c r="A219" s="207" t="str">
        <f>VLOOKUP(RIGHT(E219,3)+0,SchLocTable!$A$2:$B$47,2,FALSE)</f>
        <v>Winthrop</v>
      </c>
      <c r="B219" s="207" t="str">
        <f>VLOOKUP(VALUE(D219),$D$3:F$106,3,FALSE)</f>
        <v>Principals</v>
      </c>
      <c r="C219" s="751" t="s">
        <v>246</v>
      </c>
      <c r="D219" s="751" t="s">
        <v>247</v>
      </c>
      <c r="E219" s="751" t="s">
        <v>281</v>
      </c>
      <c r="F219" s="751" t="s">
        <v>248</v>
      </c>
      <c r="G219" s="752">
        <v>2</v>
      </c>
      <c r="H219" s="753">
        <v>51000</v>
      </c>
      <c r="I219" s="754">
        <v>284078.74</v>
      </c>
      <c r="J219" s="754">
        <v>0</v>
      </c>
      <c r="K219" s="754">
        <v>0</v>
      </c>
      <c r="L219" s="754">
        <v>86289.36</v>
      </c>
      <c r="M219" s="754">
        <f t="shared" si="31"/>
        <v>86289.36</v>
      </c>
      <c r="N219" s="756">
        <v>284078.74</v>
      </c>
      <c r="O219" s="720">
        <f t="shared" si="32"/>
        <v>0</v>
      </c>
      <c r="Q219" s="252"/>
      <c r="R219" s="252"/>
      <c r="S219" s="252"/>
    </row>
    <row r="220" spans="1:19" outlineLevel="2" x14ac:dyDescent="0.25">
      <c r="A220" s="207" t="str">
        <f>VLOOKUP(RIGHT(E220,3)+0,SchLocTable!$A$2:$B$47,2,FALSE)</f>
        <v>Winthrop</v>
      </c>
      <c r="B220" s="207" t="str">
        <f>VLOOKUP(VALUE(D220),$D$3:F$106,3,FALSE)</f>
        <v>Principals</v>
      </c>
      <c r="C220" s="751" t="s">
        <v>246</v>
      </c>
      <c r="D220" s="751" t="s">
        <v>247</v>
      </c>
      <c r="E220" s="751" t="s">
        <v>281</v>
      </c>
      <c r="F220" s="751" t="s">
        <v>250</v>
      </c>
      <c r="G220" s="752" t="s">
        <v>1681</v>
      </c>
      <c r="H220" s="753">
        <v>51100</v>
      </c>
      <c r="I220" s="754">
        <v>0</v>
      </c>
      <c r="J220" s="754">
        <v>0</v>
      </c>
      <c r="K220" s="754">
        <v>0</v>
      </c>
      <c r="L220" s="754">
        <v>0</v>
      </c>
      <c r="M220" s="754">
        <f t="shared" si="31"/>
        <v>0</v>
      </c>
      <c r="N220" s="756">
        <v>0</v>
      </c>
      <c r="O220" s="720">
        <f t="shared" si="32"/>
        <v>0</v>
      </c>
      <c r="Q220" s="252"/>
      <c r="R220" s="252"/>
      <c r="S220" s="252"/>
    </row>
    <row r="221" spans="1:19" outlineLevel="2" x14ac:dyDescent="0.25">
      <c r="A221" s="207" t="str">
        <f>VLOOKUP(RIGHT(E221,3)+0,SchLocTable!$A$2:$B$47,2,FALSE)</f>
        <v>Winthrop</v>
      </c>
      <c r="B221" s="207" t="str">
        <f>VLOOKUP(VALUE(D221),$D$3:F$106,3,FALSE)</f>
        <v>Principals</v>
      </c>
      <c r="C221" s="751" t="s">
        <v>246</v>
      </c>
      <c r="D221" s="751" t="s">
        <v>247</v>
      </c>
      <c r="E221" s="751" t="s">
        <v>281</v>
      </c>
      <c r="F221" s="751" t="s">
        <v>257</v>
      </c>
      <c r="G221" s="752" t="s">
        <v>1681</v>
      </c>
      <c r="H221" s="753">
        <v>51140</v>
      </c>
      <c r="I221" s="754">
        <v>1100</v>
      </c>
      <c r="J221" s="754">
        <v>0</v>
      </c>
      <c r="K221" s="754">
        <v>0</v>
      </c>
      <c r="L221" s="754">
        <v>0</v>
      </c>
      <c r="M221" s="754">
        <f t="shared" si="31"/>
        <v>0</v>
      </c>
      <c r="N221" s="756">
        <v>1100</v>
      </c>
      <c r="O221" s="720">
        <f t="shared" si="32"/>
        <v>0</v>
      </c>
      <c r="Q221" s="252"/>
      <c r="R221" s="252"/>
      <c r="S221" s="252"/>
    </row>
    <row r="222" spans="1:19" outlineLevel="2" x14ac:dyDescent="0.25">
      <c r="A222" s="207" t="str">
        <f>VLOOKUP(RIGHT(E222,3)+0,SchLocTable!$A$2:$B$47,2,FALSE)</f>
        <v>Winthrop</v>
      </c>
      <c r="B222" s="207" t="str">
        <f>VLOOKUP(VALUE(D222),$D$3:F$106,3,FALSE)</f>
        <v>Principals</v>
      </c>
      <c r="C222" s="751" t="s">
        <v>246</v>
      </c>
      <c r="D222" s="751" t="s">
        <v>247</v>
      </c>
      <c r="E222" s="751" t="s">
        <v>281</v>
      </c>
      <c r="F222" s="751" t="s">
        <v>254</v>
      </c>
      <c r="G222" s="752" t="s">
        <v>1681</v>
      </c>
      <c r="H222" s="753">
        <v>52360</v>
      </c>
      <c r="I222" s="754">
        <v>4079.34</v>
      </c>
      <c r="J222" s="754">
        <v>0</v>
      </c>
      <c r="K222" s="754">
        <v>0</v>
      </c>
      <c r="L222" s="754">
        <v>1211.3900000000001</v>
      </c>
      <c r="M222" s="754">
        <f t="shared" si="31"/>
        <v>1211.3900000000001</v>
      </c>
      <c r="N222" s="756">
        <v>4079.34</v>
      </c>
      <c r="O222" s="720">
        <f t="shared" si="32"/>
        <v>0</v>
      </c>
      <c r="Q222" s="252"/>
      <c r="R222" s="252"/>
      <c r="S222" s="252"/>
    </row>
    <row r="223" spans="1:19" outlineLevel="2" x14ac:dyDescent="0.25">
      <c r="A223" s="207" t="str">
        <f>VLOOKUP(RIGHT(E223,3)+0,SchLocTable!$A$2:$B$47,2,FALSE)</f>
        <v>Winthrop</v>
      </c>
      <c r="B223" s="207" t="str">
        <f>VLOOKUP(VALUE(D223),$D$3:F$106,3,FALSE)</f>
        <v>Principals</v>
      </c>
      <c r="C223" s="751" t="s">
        <v>246</v>
      </c>
      <c r="D223" s="751" t="s">
        <v>247</v>
      </c>
      <c r="E223" s="751" t="s">
        <v>281</v>
      </c>
      <c r="F223" s="751" t="s">
        <v>259</v>
      </c>
      <c r="G223" s="752" t="s">
        <v>1681</v>
      </c>
      <c r="H223" s="753">
        <v>52917</v>
      </c>
      <c r="I223" s="754">
        <v>25339.19</v>
      </c>
      <c r="J223" s="754">
        <v>0</v>
      </c>
      <c r="K223" s="754">
        <v>0</v>
      </c>
      <c r="L223" s="754">
        <v>7365.53</v>
      </c>
      <c r="M223" s="754">
        <f t="shared" si="31"/>
        <v>7365.53</v>
      </c>
      <c r="N223" s="756">
        <v>25339.19</v>
      </c>
      <c r="O223" s="720">
        <f t="shared" si="32"/>
        <v>0</v>
      </c>
      <c r="Q223" s="252"/>
      <c r="R223" s="252"/>
      <c r="S223" s="252"/>
    </row>
    <row r="224" spans="1:19" outlineLevel="2" x14ac:dyDescent="0.25">
      <c r="A224" s="207" t="str">
        <f>VLOOKUP(RIGHT(E224,3)+0,SchLocTable!$A$2:$B$47,2,FALSE)</f>
        <v>Discovery</v>
      </c>
      <c r="B224" s="207" t="str">
        <f>VLOOKUP(VALUE(D224),$D$3:F$106,3,FALSE)</f>
        <v>Principals</v>
      </c>
      <c r="C224" s="751" t="s">
        <v>246</v>
      </c>
      <c r="D224" s="751" t="s">
        <v>247</v>
      </c>
      <c r="E224" s="751" t="s">
        <v>2084</v>
      </c>
      <c r="F224" s="751" t="s">
        <v>248</v>
      </c>
      <c r="G224" s="752">
        <v>1</v>
      </c>
      <c r="H224" s="753">
        <v>51000</v>
      </c>
      <c r="I224" s="754">
        <v>100398.79</v>
      </c>
      <c r="J224" s="754">
        <v>0</v>
      </c>
      <c r="K224" s="754">
        <v>0</v>
      </c>
      <c r="L224" s="754">
        <v>21702.7</v>
      </c>
      <c r="M224" s="754">
        <f t="shared" si="31"/>
        <v>21702.7</v>
      </c>
      <c r="N224" s="756">
        <v>100398.79</v>
      </c>
      <c r="O224" s="720">
        <f t="shared" si="32"/>
        <v>0</v>
      </c>
      <c r="Q224" s="252"/>
      <c r="R224" s="252"/>
      <c r="S224" s="252"/>
    </row>
    <row r="225" spans="1:19" outlineLevel="2" x14ac:dyDescent="0.25">
      <c r="A225" s="207" t="str">
        <f>VLOOKUP(RIGHT(E225,3)+0,SchLocTable!$A$2:$B$47,2,FALSE)</f>
        <v>Discovery</v>
      </c>
      <c r="B225" s="207" t="str">
        <f>VLOOKUP(VALUE(D225),$D$3:F$106,3,FALSE)</f>
        <v>Principals</v>
      </c>
      <c r="C225" s="751" t="s">
        <v>246</v>
      </c>
      <c r="D225" s="751" t="s">
        <v>247</v>
      </c>
      <c r="E225" s="751" t="s">
        <v>2084</v>
      </c>
      <c r="F225" s="751" t="s">
        <v>257</v>
      </c>
      <c r="G225" s="752" t="s">
        <v>1681</v>
      </c>
      <c r="H225" s="753">
        <v>51140</v>
      </c>
      <c r="I225" s="754">
        <v>1400</v>
      </c>
      <c r="J225" s="754">
        <v>0</v>
      </c>
      <c r="K225" s="754">
        <v>0</v>
      </c>
      <c r="L225" s="754">
        <v>0</v>
      </c>
      <c r="M225" s="754">
        <f t="shared" si="31"/>
        <v>0</v>
      </c>
      <c r="N225" s="756">
        <v>1400</v>
      </c>
      <c r="O225" s="720">
        <f t="shared" si="32"/>
        <v>0</v>
      </c>
      <c r="Q225" s="252"/>
      <c r="R225" s="252"/>
      <c r="S225" s="252"/>
    </row>
    <row r="226" spans="1:19" outlineLevel="2" x14ac:dyDescent="0.25">
      <c r="A226" s="207" t="str">
        <f>VLOOKUP(RIGHT(E226,3)+0,SchLocTable!$A$2:$B$47,2,FALSE)</f>
        <v>Discovery</v>
      </c>
      <c r="B226" s="207" t="str">
        <f>VLOOKUP(VALUE(D226),$D$3:F$106,3,FALSE)</f>
        <v>Principals</v>
      </c>
      <c r="C226" s="751" t="s">
        <v>246</v>
      </c>
      <c r="D226" s="751" t="s">
        <v>247</v>
      </c>
      <c r="E226" s="751" t="s">
        <v>2084</v>
      </c>
      <c r="F226" s="751" t="s">
        <v>254</v>
      </c>
      <c r="G226" s="752" t="s">
        <v>1681</v>
      </c>
      <c r="H226" s="753">
        <v>52360</v>
      </c>
      <c r="I226" s="754">
        <v>1456.2</v>
      </c>
      <c r="J226" s="754">
        <v>0</v>
      </c>
      <c r="K226" s="754">
        <v>0</v>
      </c>
      <c r="L226" s="754">
        <v>315.11</v>
      </c>
      <c r="M226" s="754">
        <f t="shared" si="31"/>
        <v>315.11</v>
      </c>
      <c r="N226" s="756">
        <v>1456.2</v>
      </c>
      <c r="O226" s="720">
        <f t="shared" si="32"/>
        <v>0</v>
      </c>
      <c r="Q226" s="252"/>
      <c r="R226" s="252"/>
      <c r="S226" s="252"/>
    </row>
    <row r="227" spans="1:19" outlineLevel="2" x14ac:dyDescent="0.25">
      <c r="A227" s="207" t="str">
        <f>VLOOKUP(RIGHT(E227,3)+0,SchLocTable!$A$2:$B$47,2,FALSE)</f>
        <v>Cross</v>
      </c>
      <c r="B227" s="207" t="str">
        <f>VLOOKUP(VALUE(D227),$D$3:F$106,3,FALSE)</f>
        <v>Principals</v>
      </c>
      <c r="C227" s="751" t="s">
        <v>246</v>
      </c>
      <c r="D227" s="751" t="s">
        <v>247</v>
      </c>
      <c r="E227" s="751" t="s">
        <v>282</v>
      </c>
      <c r="F227" s="751" t="s">
        <v>248</v>
      </c>
      <c r="G227" s="752">
        <v>3</v>
      </c>
      <c r="H227" s="753">
        <v>51000</v>
      </c>
      <c r="I227" s="754">
        <v>432295.93</v>
      </c>
      <c r="J227" s="754">
        <v>0</v>
      </c>
      <c r="K227" s="754">
        <v>0</v>
      </c>
      <c r="L227" s="754">
        <v>102978.74</v>
      </c>
      <c r="M227" s="754">
        <f t="shared" si="31"/>
        <v>102978.74</v>
      </c>
      <c r="N227" s="756">
        <v>432295.93</v>
      </c>
      <c r="O227" s="720">
        <f t="shared" si="32"/>
        <v>0</v>
      </c>
      <c r="Q227" s="252"/>
      <c r="R227" s="252"/>
      <c r="S227" s="252"/>
    </row>
    <row r="228" spans="1:19" outlineLevel="2" x14ac:dyDescent="0.25">
      <c r="A228" s="207" t="str">
        <f>VLOOKUP(RIGHT(E228,3)+0,SchLocTable!$A$2:$B$47,2,FALSE)</f>
        <v>Cross</v>
      </c>
      <c r="B228" s="207" t="str">
        <f>VLOOKUP(VALUE(D228),$D$3:F$106,3,FALSE)</f>
        <v>Principals</v>
      </c>
      <c r="C228" s="751" t="s">
        <v>246</v>
      </c>
      <c r="D228" s="751" t="s">
        <v>247</v>
      </c>
      <c r="E228" s="751" t="s">
        <v>282</v>
      </c>
      <c r="F228" s="751" t="s">
        <v>257</v>
      </c>
      <c r="G228" s="752" t="s">
        <v>1681</v>
      </c>
      <c r="H228" s="753">
        <v>51140</v>
      </c>
      <c r="I228" s="754">
        <v>1100</v>
      </c>
      <c r="J228" s="754">
        <v>0</v>
      </c>
      <c r="K228" s="754">
        <v>0</v>
      </c>
      <c r="L228" s="754">
        <v>0</v>
      </c>
      <c r="M228" s="754">
        <f t="shared" si="31"/>
        <v>0</v>
      </c>
      <c r="N228" s="756">
        <v>1100</v>
      </c>
      <c r="O228" s="720">
        <f t="shared" si="32"/>
        <v>0</v>
      </c>
      <c r="Q228" s="252"/>
      <c r="R228" s="252"/>
      <c r="S228" s="252"/>
    </row>
    <row r="229" spans="1:19" outlineLevel="2" x14ac:dyDescent="0.25">
      <c r="A229" s="207" t="str">
        <f>VLOOKUP(RIGHT(E229,3)+0,SchLocTable!$A$2:$B$47,2,FALSE)</f>
        <v>Cross</v>
      </c>
      <c r="B229" s="207" t="str">
        <f>VLOOKUP(VALUE(D229),$D$3:F$106,3,FALSE)</f>
        <v>Principals</v>
      </c>
      <c r="C229" s="751" t="s">
        <v>246</v>
      </c>
      <c r="D229" s="751" t="s">
        <v>247</v>
      </c>
      <c r="E229" s="751" t="s">
        <v>282</v>
      </c>
      <c r="F229" s="751" t="s">
        <v>254</v>
      </c>
      <c r="G229" s="752" t="s">
        <v>1681</v>
      </c>
      <c r="H229" s="753">
        <v>52360</v>
      </c>
      <c r="I229" s="754">
        <v>6218.71</v>
      </c>
      <c r="J229" s="754">
        <v>0</v>
      </c>
      <c r="K229" s="754">
        <v>0</v>
      </c>
      <c r="L229" s="754">
        <v>1443.61</v>
      </c>
      <c r="M229" s="754">
        <f t="shared" si="31"/>
        <v>1443.61</v>
      </c>
      <c r="N229" s="756">
        <v>6218.71</v>
      </c>
      <c r="O229" s="720">
        <f t="shared" si="32"/>
        <v>0</v>
      </c>
      <c r="Q229" s="252"/>
      <c r="R229" s="252"/>
      <c r="S229" s="252"/>
    </row>
    <row r="230" spans="1:19" outlineLevel="2" x14ac:dyDescent="0.25">
      <c r="A230" s="207" t="str">
        <f>VLOOKUP(RIGHT(E230,3)+0,SchLocTable!$A$2:$B$47,2,FALSE)</f>
        <v>Cross</v>
      </c>
      <c r="B230" s="207" t="str">
        <f>VLOOKUP(VALUE(D230),$D$3:F$106,3,FALSE)</f>
        <v>Principals</v>
      </c>
      <c r="C230" s="751" t="s">
        <v>246</v>
      </c>
      <c r="D230" s="751" t="s">
        <v>247</v>
      </c>
      <c r="E230" s="751" t="s">
        <v>282</v>
      </c>
      <c r="F230" s="751" t="s">
        <v>259</v>
      </c>
      <c r="G230" s="752" t="s">
        <v>1681</v>
      </c>
      <c r="H230" s="753">
        <v>52917</v>
      </c>
      <c r="I230" s="754">
        <v>39494.480000000003</v>
      </c>
      <c r="J230" s="754">
        <v>0</v>
      </c>
      <c r="K230" s="754">
        <v>0</v>
      </c>
      <c r="L230" s="754">
        <v>9898.81</v>
      </c>
      <c r="M230" s="754">
        <f t="shared" si="31"/>
        <v>9898.81</v>
      </c>
      <c r="N230" s="756">
        <v>39494.480000000003</v>
      </c>
      <c r="O230" s="720">
        <f t="shared" si="32"/>
        <v>0</v>
      </c>
      <c r="Q230" s="252"/>
      <c r="R230" s="252"/>
      <c r="S230" s="252"/>
    </row>
    <row r="231" spans="1:19" outlineLevel="2" x14ac:dyDescent="0.25">
      <c r="A231" s="207" t="str">
        <f>VLOOKUP(RIGHT(E231,3)+0,SchLocTable!$A$2:$B$47,2,FALSE)</f>
        <v>Blackham</v>
      </c>
      <c r="B231" s="207" t="str">
        <f>VLOOKUP(VALUE(D231),$D$3:F$106,3,FALSE)</f>
        <v>Principals</v>
      </c>
      <c r="C231" s="751" t="s">
        <v>246</v>
      </c>
      <c r="D231" s="751" t="s">
        <v>247</v>
      </c>
      <c r="E231" s="751" t="s">
        <v>283</v>
      </c>
      <c r="F231" s="751" t="s">
        <v>248</v>
      </c>
      <c r="G231" s="752">
        <v>3</v>
      </c>
      <c r="H231" s="753">
        <v>51000</v>
      </c>
      <c r="I231" s="754">
        <v>469990.49</v>
      </c>
      <c r="J231" s="754">
        <v>0</v>
      </c>
      <c r="K231" s="754">
        <v>0</v>
      </c>
      <c r="L231" s="754">
        <v>142847.65</v>
      </c>
      <c r="M231" s="754">
        <f t="shared" si="31"/>
        <v>142847.65</v>
      </c>
      <c r="N231" s="756">
        <v>469990.49</v>
      </c>
      <c r="O231" s="720">
        <f t="shared" si="32"/>
        <v>0</v>
      </c>
      <c r="Q231" s="252"/>
      <c r="R231" s="252"/>
      <c r="S231" s="252"/>
    </row>
    <row r="232" spans="1:19" outlineLevel="2" x14ac:dyDescent="0.25">
      <c r="A232" s="207" t="str">
        <f>VLOOKUP(RIGHT(E232,3)+0,SchLocTable!$A$2:$B$47,2,FALSE)</f>
        <v>Blackham</v>
      </c>
      <c r="B232" s="207" t="str">
        <f>VLOOKUP(VALUE(D232),$D$3:F$106,3,FALSE)</f>
        <v>Principals</v>
      </c>
      <c r="C232" s="751" t="s">
        <v>246</v>
      </c>
      <c r="D232" s="751" t="s">
        <v>247</v>
      </c>
      <c r="E232" s="751" t="s">
        <v>283</v>
      </c>
      <c r="F232" s="751" t="s">
        <v>257</v>
      </c>
      <c r="G232" s="752" t="s">
        <v>1681</v>
      </c>
      <c r="H232" s="753">
        <v>51140</v>
      </c>
      <c r="I232" s="754">
        <v>2700</v>
      </c>
      <c r="J232" s="754">
        <v>0</v>
      </c>
      <c r="K232" s="754">
        <v>0</v>
      </c>
      <c r="L232" s="754">
        <v>0</v>
      </c>
      <c r="M232" s="754">
        <f t="shared" si="31"/>
        <v>0</v>
      </c>
      <c r="N232" s="756">
        <v>2700</v>
      </c>
      <c r="O232" s="720">
        <f t="shared" si="32"/>
        <v>0</v>
      </c>
      <c r="Q232" s="252"/>
      <c r="R232" s="252"/>
      <c r="S232" s="252"/>
    </row>
    <row r="233" spans="1:19" outlineLevel="2" x14ac:dyDescent="0.25">
      <c r="A233" s="207" t="str">
        <f>VLOOKUP(RIGHT(E233,3)+0,SchLocTable!$A$2:$B$47,2,FALSE)</f>
        <v>Blackham</v>
      </c>
      <c r="B233" s="207" t="str">
        <f>VLOOKUP(VALUE(D233),$D$3:F$106,3,FALSE)</f>
        <v>Principals</v>
      </c>
      <c r="C233" s="751" t="s">
        <v>246</v>
      </c>
      <c r="D233" s="751" t="s">
        <v>247</v>
      </c>
      <c r="E233" s="751" t="s">
        <v>283</v>
      </c>
      <c r="F233" s="751" t="s">
        <v>254</v>
      </c>
      <c r="G233" s="752" t="s">
        <v>1681</v>
      </c>
      <c r="H233" s="753">
        <v>52360</v>
      </c>
      <c r="I233" s="754">
        <v>6674.91</v>
      </c>
      <c r="J233" s="754">
        <v>0</v>
      </c>
      <c r="K233" s="754">
        <v>0</v>
      </c>
      <c r="L233" s="754">
        <v>1931.34</v>
      </c>
      <c r="M233" s="754">
        <f t="shared" si="31"/>
        <v>1931.34</v>
      </c>
      <c r="N233" s="756">
        <v>6674.91</v>
      </c>
      <c r="O233" s="720">
        <f t="shared" si="32"/>
        <v>0</v>
      </c>
      <c r="Q233" s="252"/>
      <c r="R233" s="252"/>
      <c r="S233" s="252"/>
    </row>
    <row r="234" spans="1:19" outlineLevel="2" x14ac:dyDescent="0.25">
      <c r="A234" s="207" t="str">
        <f>VLOOKUP(RIGHT(E234,3)+0,SchLocTable!$A$2:$B$47,2,FALSE)</f>
        <v>Blackham</v>
      </c>
      <c r="B234" s="207" t="str">
        <f>VLOOKUP(VALUE(D234),$D$3:F$106,3,FALSE)</f>
        <v>Principals</v>
      </c>
      <c r="C234" s="751" t="s">
        <v>246</v>
      </c>
      <c r="D234" s="751" t="s">
        <v>247</v>
      </c>
      <c r="E234" s="751" t="s">
        <v>283</v>
      </c>
      <c r="F234" s="751" t="s">
        <v>259</v>
      </c>
      <c r="G234" s="752" t="s">
        <v>1681</v>
      </c>
      <c r="H234" s="753">
        <v>52917</v>
      </c>
      <c r="I234" s="754">
        <v>89516.57</v>
      </c>
      <c r="J234" s="754">
        <v>0</v>
      </c>
      <c r="K234" s="754">
        <v>0</v>
      </c>
      <c r="L234" s="754">
        <v>26029.37</v>
      </c>
      <c r="M234" s="754">
        <f t="shared" si="31"/>
        <v>26029.37</v>
      </c>
      <c r="N234" s="756">
        <v>89516.57</v>
      </c>
      <c r="O234" s="720">
        <f t="shared" si="32"/>
        <v>0</v>
      </c>
      <c r="Q234" s="252"/>
      <c r="R234" s="252"/>
      <c r="S234" s="252"/>
    </row>
    <row r="235" spans="1:19" outlineLevel="2" x14ac:dyDescent="0.25">
      <c r="A235" s="207" t="str">
        <f>VLOOKUP(RIGHT(E235,3)+0,SchLocTable!$A$2:$B$47,2,FALSE)</f>
        <v>Dunbar</v>
      </c>
      <c r="B235" s="207" t="str">
        <f>VLOOKUP(VALUE(D235),$D$3:F$106,3,FALSE)</f>
        <v>Principals</v>
      </c>
      <c r="C235" s="751" t="s">
        <v>246</v>
      </c>
      <c r="D235" s="751" t="s">
        <v>247</v>
      </c>
      <c r="E235" s="751" t="s">
        <v>284</v>
      </c>
      <c r="F235" s="751" t="s">
        <v>248</v>
      </c>
      <c r="G235" s="752">
        <v>3</v>
      </c>
      <c r="H235" s="753">
        <v>51000</v>
      </c>
      <c r="I235" s="754">
        <v>311683.03999999998</v>
      </c>
      <c r="J235" s="754">
        <v>0</v>
      </c>
      <c r="K235" s="754">
        <v>0</v>
      </c>
      <c r="L235" s="754">
        <v>75512.070000000007</v>
      </c>
      <c r="M235" s="754">
        <f t="shared" si="31"/>
        <v>75512.070000000007</v>
      </c>
      <c r="N235" s="756">
        <v>311683.03999999998</v>
      </c>
      <c r="O235" s="720">
        <f t="shared" si="32"/>
        <v>0</v>
      </c>
      <c r="Q235" s="252"/>
      <c r="R235" s="252"/>
      <c r="S235" s="252"/>
    </row>
    <row r="236" spans="1:19" outlineLevel="2" x14ac:dyDescent="0.25">
      <c r="A236" s="207" t="str">
        <f>VLOOKUP(RIGHT(E236,3)+0,SchLocTable!$A$2:$B$47,2,FALSE)</f>
        <v>Dunbar</v>
      </c>
      <c r="B236" s="207" t="str">
        <f>VLOOKUP(VALUE(D236),$D$3:F$106,3,FALSE)</f>
        <v>Principals</v>
      </c>
      <c r="C236" s="751" t="s">
        <v>246</v>
      </c>
      <c r="D236" s="751" t="s">
        <v>247</v>
      </c>
      <c r="E236" s="751" t="s">
        <v>284</v>
      </c>
      <c r="F236" s="751" t="s">
        <v>257</v>
      </c>
      <c r="G236" s="752" t="s">
        <v>1681</v>
      </c>
      <c r="H236" s="753">
        <v>51140</v>
      </c>
      <c r="I236" s="754">
        <v>0</v>
      </c>
      <c r="J236" s="754">
        <v>0</v>
      </c>
      <c r="K236" s="754">
        <v>0</v>
      </c>
      <c r="L236" s="754">
        <v>0</v>
      </c>
      <c r="M236" s="754">
        <f t="shared" si="31"/>
        <v>0</v>
      </c>
      <c r="N236" s="756">
        <v>0</v>
      </c>
      <c r="O236" s="720">
        <f t="shared" si="32"/>
        <v>0</v>
      </c>
      <c r="Q236" s="252"/>
      <c r="R236" s="252"/>
      <c r="S236" s="252"/>
    </row>
    <row r="237" spans="1:19" outlineLevel="2" x14ac:dyDescent="0.25">
      <c r="A237" s="207" t="str">
        <f>VLOOKUP(RIGHT(E237,3)+0,SchLocTable!$A$2:$B$47,2,FALSE)</f>
        <v>Dunbar</v>
      </c>
      <c r="B237" s="207" t="str">
        <f>VLOOKUP(VALUE(D237),$D$3:F$106,3,FALSE)</f>
        <v>Principals</v>
      </c>
      <c r="C237" s="751" t="s">
        <v>246</v>
      </c>
      <c r="D237" s="751" t="s">
        <v>247</v>
      </c>
      <c r="E237" s="751" t="s">
        <v>284</v>
      </c>
      <c r="F237" s="751" t="s">
        <v>254</v>
      </c>
      <c r="G237" s="752" t="s">
        <v>1681</v>
      </c>
      <c r="H237" s="753">
        <v>52360</v>
      </c>
      <c r="I237" s="754">
        <v>4457.3900000000003</v>
      </c>
      <c r="J237" s="754">
        <v>0</v>
      </c>
      <c r="K237" s="754">
        <v>0</v>
      </c>
      <c r="L237" s="754">
        <v>1032.9100000000001</v>
      </c>
      <c r="M237" s="754">
        <f t="shared" si="31"/>
        <v>1032.9100000000001</v>
      </c>
      <c r="N237" s="756">
        <v>4457.3900000000003</v>
      </c>
      <c r="O237" s="720">
        <f t="shared" si="32"/>
        <v>0</v>
      </c>
      <c r="Q237" s="252"/>
      <c r="R237" s="252"/>
      <c r="S237" s="252"/>
    </row>
    <row r="238" spans="1:19" outlineLevel="2" x14ac:dyDescent="0.25">
      <c r="A238" s="207" t="str">
        <f>VLOOKUP(RIGHT(E238,3)+0,SchLocTable!$A$2:$B$47,2,FALSE)</f>
        <v>Dunbar</v>
      </c>
      <c r="B238" s="207" t="str">
        <f>VLOOKUP(VALUE(D238),$D$3:F$106,3,FALSE)</f>
        <v>Principals</v>
      </c>
      <c r="C238" s="751" t="s">
        <v>246</v>
      </c>
      <c r="D238" s="751" t="s">
        <v>247</v>
      </c>
      <c r="E238" s="751" t="s">
        <v>284</v>
      </c>
      <c r="F238" s="751" t="s">
        <v>259</v>
      </c>
      <c r="G238" s="752" t="s">
        <v>1681</v>
      </c>
      <c r="H238" s="753">
        <v>52917</v>
      </c>
      <c r="I238" s="754">
        <v>33401.379999999997</v>
      </c>
      <c r="J238" s="754">
        <v>0</v>
      </c>
      <c r="K238" s="754">
        <v>0</v>
      </c>
      <c r="L238" s="754">
        <v>10644.61</v>
      </c>
      <c r="M238" s="754">
        <f t="shared" si="31"/>
        <v>10644.61</v>
      </c>
      <c r="N238" s="756">
        <v>33401.379999999997</v>
      </c>
      <c r="O238" s="720">
        <f t="shared" si="32"/>
        <v>0</v>
      </c>
      <c r="Q238" s="252"/>
      <c r="R238" s="252"/>
      <c r="S238" s="252"/>
    </row>
    <row r="239" spans="1:19" outlineLevel="2" x14ac:dyDescent="0.25">
      <c r="A239" s="207" t="str">
        <f>VLOOKUP(RIGHT(E239,3)+0,SchLocTable!$A$2:$B$47,2,FALSE)</f>
        <v>Curiale</v>
      </c>
      <c r="B239" s="207" t="str">
        <f>VLOOKUP(VALUE(D239),$D$3:F$106,3,FALSE)</f>
        <v>Principals</v>
      </c>
      <c r="C239" s="751" t="s">
        <v>246</v>
      </c>
      <c r="D239" s="751" t="s">
        <v>247</v>
      </c>
      <c r="E239" s="751" t="s">
        <v>285</v>
      </c>
      <c r="F239" s="751" t="s">
        <v>248</v>
      </c>
      <c r="G239" s="752">
        <v>2</v>
      </c>
      <c r="H239" s="753">
        <v>51000</v>
      </c>
      <c r="I239" s="754">
        <v>302092.31</v>
      </c>
      <c r="J239" s="754">
        <v>0</v>
      </c>
      <c r="K239" s="754">
        <v>0</v>
      </c>
      <c r="L239" s="754">
        <v>90462.04</v>
      </c>
      <c r="M239" s="754">
        <f t="shared" si="31"/>
        <v>90462.04</v>
      </c>
      <c r="N239" s="756">
        <v>302092.31</v>
      </c>
      <c r="O239" s="720">
        <f t="shared" si="32"/>
        <v>0</v>
      </c>
      <c r="Q239" s="252"/>
      <c r="R239" s="252"/>
      <c r="S239" s="252"/>
    </row>
    <row r="240" spans="1:19" outlineLevel="2" x14ac:dyDescent="0.25">
      <c r="A240" s="207" t="str">
        <f>VLOOKUP(RIGHT(E240,3)+0,SchLocTable!$A$2:$B$47,2,FALSE)</f>
        <v>Curiale</v>
      </c>
      <c r="B240" s="207" t="str">
        <f>VLOOKUP(VALUE(D240),$D$3:F$106,3,FALSE)</f>
        <v>Principals</v>
      </c>
      <c r="C240" s="751" t="s">
        <v>246</v>
      </c>
      <c r="D240" s="751" t="s">
        <v>247</v>
      </c>
      <c r="E240" s="751" t="s">
        <v>285</v>
      </c>
      <c r="F240" s="751" t="s">
        <v>257</v>
      </c>
      <c r="G240" s="752" t="s">
        <v>1681</v>
      </c>
      <c r="H240" s="753">
        <v>51140</v>
      </c>
      <c r="I240" s="754">
        <v>1400</v>
      </c>
      <c r="J240" s="754">
        <v>0</v>
      </c>
      <c r="K240" s="754">
        <v>0</v>
      </c>
      <c r="L240" s="754">
        <v>0</v>
      </c>
      <c r="M240" s="754">
        <f t="shared" si="31"/>
        <v>0</v>
      </c>
      <c r="N240" s="756">
        <v>1400</v>
      </c>
      <c r="O240" s="720">
        <f t="shared" si="32"/>
        <v>0</v>
      </c>
      <c r="Q240" s="252"/>
      <c r="R240" s="252"/>
      <c r="S240" s="252"/>
    </row>
    <row r="241" spans="1:19" outlineLevel="2" x14ac:dyDescent="0.25">
      <c r="A241" s="207" t="str">
        <f>VLOOKUP(RIGHT(E241,3)+0,SchLocTable!$A$2:$B$47,2,FALSE)</f>
        <v>Curiale</v>
      </c>
      <c r="B241" s="207" t="str">
        <f>VLOOKUP(VALUE(D241),$D$3:F$106,3,FALSE)</f>
        <v>Principals</v>
      </c>
      <c r="C241" s="751" t="s">
        <v>246</v>
      </c>
      <c r="D241" s="751" t="s">
        <v>247</v>
      </c>
      <c r="E241" s="751" t="s">
        <v>285</v>
      </c>
      <c r="F241" s="751" t="s">
        <v>254</v>
      </c>
      <c r="G241" s="752" t="s">
        <v>1681</v>
      </c>
      <c r="H241" s="753">
        <v>52360</v>
      </c>
      <c r="I241" s="754">
        <v>4332.09</v>
      </c>
      <c r="J241" s="754">
        <v>0</v>
      </c>
      <c r="K241" s="754">
        <v>0</v>
      </c>
      <c r="L241" s="754">
        <v>1263.45</v>
      </c>
      <c r="M241" s="754">
        <f t="shared" si="31"/>
        <v>1263.45</v>
      </c>
      <c r="N241" s="756">
        <v>4332.09</v>
      </c>
      <c r="O241" s="720">
        <f t="shared" si="32"/>
        <v>0</v>
      </c>
      <c r="Q241" s="252"/>
      <c r="R241" s="252"/>
      <c r="S241" s="252"/>
    </row>
    <row r="242" spans="1:19" outlineLevel="2" x14ac:dyDescent="0.25">
      <c r="A242" s="207" t="str">
        <f>VLOOKUP(RIGHT(E242,3)+0,SchLocTable!$A$2:$B$47,2,FALSE)</f>
        <v>Curiale</v>
      </c>
      <c r="B242" s="207" t="str">
        <f>VLOOKUP(VALUE(D242),$D$3:F$106,3,FALSE)</f>
        <v>Principals</v>
      </c>
      <c r="C242" s="751" t="s">
        <v>246</v>
      </c>
      <c r="D242" s="751" t="s">
        <v>247</v>
      </c>
      <c r="E242" s="751" t="s">
        <v>285</v>
      </c>
      <c r="F242" s="751" t="s">
        <v>259</v>
      </c>
      <c r="G242" s="752" t="s">
        <v>1681</v>
      </c>
      <c r="H242" s="753">
        <v>52917</v>
      </c>
      <c r="I242" s="754">
        <v>33228.239999999998</v>
      </c>
      <c r="J242" s="754">
        <v>0</v>
      </c>
      <c r="K242" s="754">
        <v>0</v>
      </c>
      <c r="L242" s="754">
        <v>9689.5499999999993</v>
      </c>
      <c r="M242" s="754">
        <f t="shared" si="31"/>
        <v>9689.5499999999993</v>
      </c>
      <c r="N242" s="756">
        <v>33228.239999999998</v>
      </c>
      <c r="O242" s="720">
        <f t="shared" si="32"/>
        <v>0</v>
      </c>
      <c r="Q242" s="252"/>
      <c r="R242" s="252"/>
      <c r="S242" s="252"/>
    </row>
    <row r="243" spans="1:19" outlineLevel="2" x14ac:dyDescent="0.25">
      <c r="A243" s="207" t="str">
        <f>VLOOKUP(RIGHT(E243,3)+0,SchLocTable!$A$2:$B$47,2,FALSE)</f>
        <v>High Horizons Magnet</v>
      </c>
      <c r="B243" s="207" t="str">
        <f>VLOOKUP(VALUE(D243),$D$3:F$106,3,FALSE)</f>
        <v>Principals</v>
      </c>
      <c r="C243" s="751" t="s">
        <v>246</v>
      </c>
      <c r="D243" s="751" t="s">
        <v>247</v>
      </c>
      <c r="E243" s="751" t="s">
        <v>286</v>
      </c>
      <c r="F243" s="751" t="s">
        <v>248</v>
      </c>
      <c r="G243" s="752">
        <v>2</v>
      </c>
      <c r="H243" s="753">
        <v>51000</v>
      </c>
      <c r="I243" s="754">
        <v>271224.45</v>
      </c>
      <c r="J243" s="754">
        <v>0</v>
      </c>
      <c r="K243" s="754">
        <v>0</v>
      </c>
      <c r="L243" s="754">
        <v>72730.98</v>
      </c>
      <c r="M243" s="754">
        <f t="shared" si="31"/>
        <v>72730.98</v>
      </c>
      <c r="N243" s="756">
        <v>271224.45</v>
      </c>
      <c r="O243" s="720">
        <f t="shared" si="32"/>
        <v>0</v>
      </c>
      <c r="Q243" s="252"/>
      <c r="R243" s="252"/>
      <c r="S243" s="252"/>
    </row>
    <row r="244" spans="1:19" outlineLevel="2" x14ac:dyDescent="0.25">
      <c r="A244" s="207" t="str">
        <f>VLOOKUP(RIGHT(E244,3)+0,SchLocTable!$A$2:$B$47,2,FALSE)</f>
        <v>High Horizons Magnet</v>
      </c>
      <c r="B244" s="207" t="str">
        <f>VLOOKUP(VALUE(D244),$D$3:F$106,3,FALSE)</f>
        <v>Principals</v>
      </c>
      <c r="C244" s="751" t="s">
        <v>246</v>
      </c>
      <c r="D244" s="751" t="s">
        <v>247</v>
      </c>
      <c r="E244" s="751" t="s">
        <v>286</v>
      </c>
      <c r="F244" s="751" t="s">
        <v>250</v>
      </c>
      <c r="G244" s="752" t="s">
        <v>1681</v>
      </c>
      <c r="H244" s="753">
        <v>51100</v>
      </c>
      <c r="I244" s="754">
        <v>0</v>
      </c>
      <c r="J244" s="754">
        <v>0</v>
      </c>
      <c r="K244" s="754">
        <v>0</v>
      </c>
      <c r="L244" s="754">
        <v>0</v>
      </c>
      <c r="M244" s="754">
        <f t="shared" si="31"/>
        <v>0</v>
      </c>
      <c r="N244" s="756">
        <v>0</v>
      </c>
      <c r="O244" s="720">
        <f t="shared" si="32"/>
        <v>0</v>
      </c>
      <c r="Q244" s="252"/>
      <c r="R244" s="252"/>
      <c r="S244" s="252"/>
    </row>
    <row r="245" spans="1:19" outlineLevel="2" x14ac:dyDescent="0.25">
      <c r="A245" s="207" t="str">
        <f>VLOOKUP(RIGHT(E245,3)+0,SchLocTable!$A$2:$B$47,2,FALSE)</f>
        <v>High Horizons Magnet</v>
      </c>
      <c r="B245" s="207" t="str">
        <f>VLOOKUP(VALUE(D245),$D$3:F$106,3,FALSE)</f>
        <v>Principals</v>
      </c>
      <c r="C245" s="751" t="s">
        <v>246</v>
      </c>
      <c r="D245" s="751" t="s">
        <v>247</v>
      </c>
      <c r="E245" s="751" t="s">
        <v>286</v>
      </c>
      <c r="F245" s="751" t="s">
        <v>257</v>
      </c>
      <c r="G245" s="752" t="s">
        <v>1681</v>
      </c>
      <c r="H245" s="753">
        <v>51140</v>
      </c>
      <c r="I245" s="754">
        <v>1400</v>
      </c>
      <c r="J245" s="754">
        <v>0</v>
      </c>
      <c r="K245" s="754">
        <v>0</v>
      </c>
      <c r="L245" s="754">
        <v>0</v>
      </c>
      <c r="M245" s="754">
        <f t="shared" si="31"/>
        <v>0</v>
      </c>
      <c r="N245" s="756">
        <v>1400</v>
      </c>
      <c r="O245" s="720">
        <f t="shared" si="32"/>
        <v>0</v>
      </c>
      <c r="Q245" s="252"/>
      <c r="R245" s="252"/>
      <c r="S245" s="252"/>
    </row>
    <row r="246" spans="1:19" outlineLevel="2" x14ac:dyDescent="0.25">
      <c r="A246" s="207" t="str">
        <f>VLOOKUP(RIGHT(E246,3)+0,SchLocTable!$A$2:$B$47,2,FALSE)</f>
        <v>High Horizons Magnet</v>
      </c>
      <c r="B246" s="207" t="str">
        <f>VLOOKUP(VALUE(D246),$D$3:F$106,3,FALSE)</f>
        <v>Principals</v>
      </c>
      <c r="C246" s="755" t="s">
        <v>246</v>
      </c>
      <c r="D246" s="751" t="s">
        <v>247</v>
      </c>
      <c r="E246" s="751" t="s">
        <v>286</v>
      </c>
      <c r="F246" s="751" t="s">
        <v>254</v>
      </c>
      <c r="G246" s="752" t="s">
        <v>1681</v>
      </c>
      <c r="H246" s="753">
        <v>52360</v>
      </c>
      <c r="I246" s="754">
        <v>3853.98</v>
      </c>
      <c r="J246" s="754">
        <v>0</v>
      </c>
      <c r="K246" s="754">
        <v>0</v>
      </c>
      <c r="L246" s="754">
        <v>975.82</v>
      </c>
      <c r="M246" s="754">
        <f t="shared" si="31"/>
        <v>975.82</v>
      </c>
      <c r="N246" s="756">
        <v>3853.98</v>
      </c>
      <c r="O246" s="720">
        <f t="shared" si="32"/>
        <v>0</v>
      </c>
      <c r="Q246" s="252"/>
      <c r="R246" s="252"/>
      <c r="S246" s="252"/>
    </row>
    <row r="247" spans="1:19" outlineLevel="2" x14ac:dyDescent="0.25">
      <c r="A247" s="207" t="str">
        <f>VLOOKUP(RIGHT(E247,3)+0,SchLocTable!$A$2:$B$47,2,FALSE)</f>
        <v>High Horizons Magnet</v>
      </c>
      <c r="B247" s="207" t="str">
        <f>VLOOKUP(VALUE(D247),$D$3:F$106,3,FALSE)</f>
        <v>Principals</v>
      </c>
      <c r="C247" s="751" t="s">
        <v>246</v>
      </c>
      <c r="D247" s="751" t="s">
        <v>247</v>
      </c>
      <c r="E247" s="751" t="s">
        <v>286</v>
      </c>
      <c r="F247" s="751" t="s">
        <v>259</v>
      </c>
      <c r="G247" s="752" t="s">
        <v>1681</v>
      </c>
      <c r="H247" s="753">
        <v>52917</v>
      </c>
      <c r="I247" s="754">
        <v>53813.17</v>
      </c>
      <c r="J247" s="754">
        <v>0</v>
      </c>
      <c r="K247" s="754">
        <v>0</v>
      </c>
      <c r="L247" s="754">
        <v>13968.37</v>
      </c>
      <c r="M247" s="754">
        <f t="shared" si="31"/>
        <v>13968.37</v>
      </c>
      <c r="N247" s="756">
        <v>53813.17</v>
      </c>
      <c r="O247" s="720">
        <f t="shared" si="32"/>
        <v>0</v>
      </c>
      <c r="Q247" s="252"/>
      <c r="R247" s="252"/>
      <c r="S247" s="252"/>
    </row>
    <row r="248" spans="1:19" outlineLevel="2" x14ac:dyDescent="0.25">
      <c r="A248" s="207" t="str">
        <f>VLOOKUP(RIGHT(E248,3)+0,SchLocTable!$A$2:$B$47,2,FALSE)</f>
        <v>Multicultural Magnet</v>
      </c>
      <c r="B248" s="207" t="str">
        <f>VLOOKUP(VALUE(D248),$D$3:F$106,3,FALSE)</f>
        <v>Principals</v>
      </c>
      <c r="C248" s="751" t="s">
        <v>246</v>
      </c>
      <c r="D248" s="751" t="s">
        <v>247</v>
      </c>
      <c r="E248" s="751" t="s">
        <v>287</v>
      </c>
      <c r="F248" s="751" t="s">
        <v>248</v>
      </c>
      <c r="G248" s="752">
        <v>2</v>
      </c>
      <c r="H248" s="753">
        <v>51000</v>
      </c>
      <c r="I248" s="754">
        <v>259992.47</v>
      </c>
      <c r="J248" s="754">
        <v>0</v>
      </c>
      <c r="K248" s="754">
        <v>0</v>
      </c>
      <c r="L248" s="754">
        <v>59867.1</v>
      </c>
      <c r="M248" s="754">
        <f t="shared" si="31"/>
        <v>59867.1</v>
      </c>
      <c r="N248" s="756">
        <v>259992.47</v>
      </c>
      <c r="O248" s="720">
        <f t="shared" si="32"/>
        <v>0</v>
      </c>
      <c r="Q248" s="252"/>
      <c r="R248" s="252"/>
      <c r="S248" s="252"/>
    </row>
    <row r="249" spans="1:19" outlineLevel="2" x14ac:dyDescent="0.25">
      <c r="A249" s="207" t="str">
        <f>VLOOKUP(RIGHT(E249,3)+0,SchLocTable!$A$2:$B$47,2,FALSE)</f>
        <v>Multicultural Magnet</v>
      </c>
      <c r="B249" s="207" t="str">
        <f>VLOOKUP(VALUE(D249),$D$3:F$106,3,FALSE)</f>
        <v>Principals</v>
      </c>
      <c r="C249" s="751" t="s">
        <v>246</v>
      </c>
      <c r="D249" s="751" t="s">
        <v>247</v>
      </c>
      <c r="E249" s="751" t="s">
        <v>287</v>
      </c>
      <c r="F249" s="751" t="s">
        <v>250</v>
      </c>
      <c r="G249" s="752" t="s">
        <v>1681</v>
      </c>
      <c r="H249" s="753">
        <v>51100</v>
      </c>
      <c r="I249" s="754">
        <v>0</v>
      </c>
      <c r="J249" s="754">
        <v>0</v>
      </c>
      <c r="K249" s="754">
        <v>0</v>
      </c>
      <c r="L249" s="754">
        <v>0</v>
      </c>
      <c r="M249" s="754">
        <f t="shared" si="31"/>
        <v>0</v>
      </c>
      <c r="N249" s="756">
        <v>0</v>
      </c>
      <c r="O249" s="720">
        <f t="shared" si="32"/>
        <v>0</v>
      </c>
      <c r="Q249" s="252"/>
      <c r="R249" s="252"/>
      <c r="S249" s="252"/>
    </row>
    <row r="250" spans="1:19" outlineLevel="2" x14ac:dyDescent="0.25">
      <c r="A250" s="207" t="str">
        <f>VLOOKUP(RIGHT(E250,3)+0,SchLocTable!$A$2:$B$47,2,FALSE)</f>
        <v>Multicultural Magnet</v>
      </c>
      <c r="B250" s="207" t="str">
        <f>VLOOKUP(VALUE(D250),$D$3:F$106,3,FALSE)</f>
        <v>Principals</v>
      </c>
      <c r="C250" s="751" t="s">
        <v>246</v>
      </c>
      <c r="D250" s="751" t="s">
        <v>247</v>
      </c>
      <c r="E250" s="751" t="s">
        <v>287</v>
      </c>
      <c r="F250" s="751" t="s">
        <v>257</v>
      </c>
      <c r="G250" s="752" t="s">
        <v>1681</v>
      </c>
      <c r="H250" s="753">
        <v>51140</v>
      </c>
      <c r="I250" s="754">
        <v>1400</v>
      </c>
      <c r="J250" s="754">
        <v>0</v>
      </c>
      <c r="K250" s="754">
        <v>0</v>
      </c>
      <c r="L250" s="754">
        <v>0</v>
      </c>
      <c r="M250" s="754">
        <f t="shared" si="31"/>
        <v>0</v>
      </c>
      <c r="N250" s="756">
        <v>1400</v>
      </c>
      <c r="O250" s="720">
        <f t="shared" si="32"/>
        <v>0</v>
      </c>
      <c r="Q250" s="252"/>
      <c r="R250" s="252"/>
      <c r="S250" s="252"/>
    </row>
    <row r="251" spans="1:19" outlineLevel="2" x14ac:dyDescent="0.25">
      <c r="A251" s="207" t="str">
        <f>VLOOKUP(RIGHT(E251,3)+0,SchLocTable!$A$2:$B$47,2,FALSE)</f>
        <v>Multicultural Magnet</v>
      </c>
      <c r="B251" s="207" t="str">
        <f>VLOOKUP(VALUE(D251),$D$3:F$106,3,FALSE)</f>
        <v>Principals</v>
      </c>
      <c r="C251" s="751" t="s">
        <v>246</v>
      </c>
      <c r="D251" s="751" t="s">
        <v>247</v>
      </c>
      <c r="E251" s="751" t="s">
        <v>287</v>
      </c>
      <c r="F251" s="751" t="s">
        <v>254</v>
      </c>
      <c r="G251" s="752" t="s">
        <v>1681</v>
      </c>
      <c r="H251" s="753">
        <v>52360</v>
      </c>
      <c r="I251" s="754">
        <v>3725.72</v>
      </c>
      <c r="J251" s="754">
        <v>0</v>
      </c>
      <c r="K251" s="754">
        <v>0</v>
      </c>
      <c r="L251" s="754">
        <v>823.9</v>
      </c>
      <c r="M251" s="754">
        <f t="shared" si="31"/>
        <v>823.9</v>
      </c>
      <c r="N251" s="756">
        <v>3725.72</v>
      </c>
      <c r="O251" s="720">
        <f t="shared" si="32"/>
        <v>0</v>
      </c>
      <c r="Q251" s="252"/>
      <c r="R251" s="252"/>
      <c r="S251" s="252"/>
    </row>
    <row r="252" spans="1:19" outlineLevel="2" x14ac:dyDescent="0.25">
      <c r="A252" s="207" t="str">
        <f>VLOOKUP(RIGHT(E252,3)+0,SchLocTable!$A$2:$B$47,2,FALSE)</f>
        <v>Multicultural Magnet</v>
      </c>
      <c r="B252" s="207" t="str">
        <f>VLOOKUP(VALUE(D252),$D$3:F$106,3,FALSE)</f>
        <v>Principals</v>
      </c>
      <c r="C252" s="751" t="s">
        <v>246</v>
      </c>
      <c r="D252" s="751" t="s">
        <v>247</v>
      </c>
      <c r="E252" s="751" t="s">
        <v>287</v>
      </c>
      <c r="F252" s="751" t="s">
        <v>259</v>
      </c>
      <c r="G252" s="752" t="s">
        <v>1681</v>
      </c>
      <c r="H252" s="753">
        <v>52917</v>
      </c>
      <c r="I252" s="754">
        <v>34707.480000000003</v>
      </c>
      <c r="J252" s="754">
        <v>0</v>
      </c>
      <c r="K252" s="754">
        <v>0</v>
      </c>
      <c r="L252" s="754">
        <v>8488.7199999999993</v>
      </c>
      <c r="M252" s="754">
        <f t="shared" si="31"/>
        <v>8488.7199999999993</v>
      </c>
      <c r="N252" s="756">
        <v>34707.480000000003</v>
      </c>
      <c r="O252" s="720">
        <f t="shared" si="32"/>
        <v>0</v>
      </c>
      <c r="Q252" s="252"/>
      <c r="R252" s="252"/>
      <c r="S252" s="252"/>
    </row>
    <row r="253" spans="1:19" outlineLevel="2" x14ac:dyDescent="0.25">
      <c r="A253" s="207" t="str">
        <f>VLOOKUP(RIGHT(E253,3)+0,SchLocTable!$A$2:$B$47,2,FALSE)</f>
        <v>Bassick HS</v>
      </c>
      <c r="B253" s="207" t="str">
        <f>VLOOKUP(VALUE(D253),$D$3:F$106,3,FALSE)</f>
        <v>Principals</v>
      </c>
      <c r="C253" s="755" t="s">
        <v>246</v>
      </c>
      <c r="D253" s="751" t="s">
        <v>247</v>
      </c>
      <c r="E253" s="751" t="s">
        <v>288</v>
      </c>
      <c r="F253" s="751" t="s">
        <v>248</v>
      </c>
      <c r="G253" s="752">
        <v>3</v>
      </c>
      <c r="H253" s="753">
        <v>51000</v>
      </c>
      <c r="I253" s="754">
        <v>476836.18</v>
      </c>
      <c r="J253" s="754">
        <v>0</v>
      </c>
      <c r="K253" s="754">
        <v>0</v>
      </c>
      <c r="L253" s="754">
        <v>153711</v>
      </c>
      <c r="M253" s="754">
        <f t="shared" si="31"/>
        <v>153711</v>
      </c>
      <c r="N253" s="756">
        <v>476836.18</v>
      </c>
      <c r="O253" s="720">
        <f t="shared" si="32"/>
        <v>0</v>
      </c>
      <c r="Q253" s="252"/>
      <c r="R253" s="252"/>
      <c r="S253" s="252"/>
    </row>
    <row r="254" spans="1:19" outlineLevel="2" x14ac:dyDescent="0.25">
      <c r="A254" s="207" t="str">
        <f>VLOOKUP(RIGHT(E254,3)+0,SchLocTable!$A$2:$B$47,2,FALSE)</f>
        <v>Bassick HS</v>
      </c>
      <c r="B254" s="207" t="str">
        <f>VLOOKUP(VALUE(D254),$D$3:F$106,3,FALSE)</f>
        <v>Principals</v>
      </c>
      <c r="C254" s="751" t="s">
        <v>246</v>
      </c>
      <c r="D254" s="751" t="s">
        <v>247</v>
      </c>
      <c r="E254" s="751" t="s">
        <v>288</v>
      </c>
      <c r="F254" s="751" t="s">
        <v>257</v>
      </c>
      <c r="G254" s="752" t="s">
        <v>1681</v>
      </c>
      <c r="H254" s="753">
        <v>51140</v>
      </c>
      <c r="I254" s="754">
        <v>1100</v>
      </c>
      <c r="J254" s="754">
        <v>0</v>
      </c>
      <c r="K254" s="754">
        <v>0</v>
      </c>
      <c r="L254" s="754">
        <v>0</v>
      </c>
      <c r="M254" s="754">
        <f t="shared" si="31"/>
        <v>0</v>
      </c>
      <c r="N254" s="756">
        <v>1100</v>
      </c>
      <c r="O254" s="720">
        <f t="shared" si="32"/>
        <v>0</v>
      </c>
      <c r="Q254" s="252"/>
      <c r="R254" s="252"/>
      <c r="S254" s="252"/>
    </row>
    <row r="255" spans="1:19" outlineLevel="2" x14ac:dyDescent="0.25">
      <c r="A255" s="207" t="str">
        <f>VLOOKUP(RIGHT(E255,3)+0,SchLocTable!$A$2:$B$47,2,FALSE)</f>
        <v>Bassick HS</v>
      </c>
      <c r="B255" s="207" t="str">
        <f>VLOOKUP(VALUE(D255),$D$3:F$106,3,FALSE)</f>
        <v>Principals</v>
      </c>
      <c r="C255" s="755" t="s">
        <v>246</v>
      </c>
      <c r="D255" s="751" t="s">
        <v>247</v>
      </c>
      <c r="E255" s="751" t="s">
        <v>288</v>
      </c>
      <c r="F255" s="751" t="s">
        <v>254</v>
      </c>
      <c r="G255" s="752" t="s">
        <v>1681</v>
      </c>
      <c r="H255" s="753">
        <v>52360</v>
      </c>
      <c r="I255" s="754">
        <v>6796.81</v>
      </c>
      <c r="J255" s="754">
        <v>0</v>
      </c>
      <c r="K255" s="754">
        <v>0</v>
      </c>
      <c r="L255" s="754">
        <v>2111.4899999999998</v>
      </c>
      <c r="M255" s="754">
        <f t="shared" ref="M255:M318" si="33">SUM(J255:L255)</f>
        <v>2111.4899999999998</v>
      </c>
      <c r="N255" s="756">
        <v>6796.81</v>
      </c>
      <c r="O255" s="720">
        <f t="shared" ref="O255:O318" si="34">I255-N255</f>
        <v>0</v>
      </c>
      <c r="Q255" s="252"/>
      <c r="R255" s="252"/>
      <c r="S255" s="252"/>
    </row>
    <row r="256" spans="1:19" outlineLevel="2" x14ac:dyDescent="0.25">
      <c r="A256" s="207" t="str">
        <f>VLOOKUP(RIGHT(E256,3)+0,SchLocTable!$A$2:$B$47,2,FALSE)</f>
        <v>Bassick HS</v>
      </c>
      <c r="B256" s="207" t="str">
        <f>VLOOKUP(VALUE(D256),$D$3:F$106,3,FALSE)</f>
        <v>Principals</v>
      </c>
      <c r="C256" s="751" t="s">
        <v>246</v>
      </c>
      <c r="D256" s="751" t="s">
        <v>247</v>
      </c>
      <c r="E256" s="751" t="s">
        <v>288</v>
      </c>
      <c r="F256" s="751" t="s">
        <v>259</v>
      </c>
      <c r="G256" s="752" t="s">
        <v>1681</v>
      </c>
      <c r="H256" s="753">
        <v>52917</v>
      </c>
      <c r="I256" s="754">
        <v>66332.009999999995</v>
      </c>
      <c r="J256" s="754">
        <v>0</v>
      </c>
      <c r="K256" s="754">
        <v>0</v>
      </c>
      <c r="L256" s="754">
        <v>21450.71</v>
      </c>
      <c r="M256" s="754">
        <f t="shared" si="33"/>
        <v>21450.71</v>
      </c>
      <c r="N256" s="756">
        <v>66332.009999999995</v>
      </c>
      <c r="O256" s="720">
        <f t="shared" si="34"/>
        <v>0</v>
      </c>
      <c r="Q256" s="252"/>
      <c r="R256" s="252"/>
      <c r="S256" s="252"/>
    </row>
    <row r="257" spans="1:19" outlineLevel="2" x14ac:dyDescent="0.25">
      <c r="A257" s="207" t="str">
        <f>VLOOKUP(RIGHT(E257,3)+0,SchLocTable!$A$2:$B$47,2,FALSE)</f>
        <v>Central HS</v>
      </c>
      <c r="B257" s="207" t="str">
        <f>VLOOKUP(VALUE(D257),$D$3:F$106,3,FALSE)</f>
        <v>Principals</v>
      </c>
      <c r="C257" s="751" t="s">
        <v>246</v>
      </c>
      <c r="D257" s="751" t="s">
        <v>247</v>
      </c>
      <c r="E257" s="751" t="s">
        <v>289</v>
      </c>
      <c r="F257" s="751" t="s">
        <v>248</v>
      </c>
      <c r="G257" s="752">
        <v>5</v>
      </c>
      <c r="H257" s="753">
        <v>51000</v>
      </c>
      <c r="I257" s="754">
        <v>755488.5</v>
      </c>
      <c r="J257" s="754">
        <v>0</v>
      </c>
      <c r="K257" s="754">
        <v>0</v>
      </c>
      <c r="L257" s="754">
        <v>230793.39</v>
      </c>
      <c r="M257" s="754">
        <f t="shared" si="33"/>
        <v>230793.39</v>
      </c>
      <c r="N257" s="756">
        <v>755488.5</v>
      </c>
      <c r="O257" s="720">
        <f t="shared" si="34"/>
        <v>0</v>
      </c>
      <c r="Q257" s="252"/>
      <c r="R257" s="252"/>
      <c r="S257" s="252"/>
    </row>
    <row r="258" spans="1:19" outlineLevel="2" x14ac:dyDescent="0.25">
      <c r="A258" s="207" t="str">
        <f>VLOOKUP(RIGHT(E258,3)+0,SchLocTable!$A$2:$B$47,2,FALSE)</f>
        <v>Central HS</v>
      </c>
      <c r="B258" s="207" t="str">
        <f>VLOOKUP(VALUE(D258),$D$3:F$106,3,FALSE)</f>
        <v>Principals</v>
      </c>
      <c r="C258" s="751" t="s">
        <v>246</v>
      </c>
      <c r="D258" s="751" t="s">
        <v>247</v>
      </c>
      <c r="E258" s="751" t="s">
        <v>289</v>
      </c>
      <c r="F258" s="751" t="s">
        <v>257</v>
      </c>
      <c r="G258" s="752" t="s">
        <v>1681</v>
      </c>
      <c r="H258" s="753">
        <v>51140</v>
      </c>
      <c r="I258" s="754">
        <v>6100</v>
      </c>
      <c r="J258" s="754">
        <v>0</v>
      </c>
      <c r="K258" s="754">
        <v>0</v>
      </c>
      <c r="L258" s="754">
        <v>0</v>
      </c>
      <c r="M258" s="754">
        <f t="shared" si="33"/>
        <v>0</v>
      </c>
      <c r="N258" s="756">
        <v>6100</v>
      </c>
      <c r="O258" s="720">
        <f t="shared" si="34"/>
        <v>0</v>
      </c>
      <c r="Q258" s="252"/>
      <c r="R258" s="252"/>
      <c r="S258" s="252"/>
    </row>
    <row r="259" spans="1:19" outlineLevel="2" x14ac:dyDescent="0.25">
      <c r="A259" s="207" t="str">
        <f>VLOOKUP(RIGHT(E259,3)+0,SchLocTable!$A$2:$B$47,2,FALSE)</f>
        <v>Central HS</v>
      </c>
      <c r="B259" s="207" t="str">
        <f>VLOOKUP(VALUE(D259),$D$3:F$106,3,FALSE)</f>
        <v>Principals</v>
      </c>
      <c r="C259" s="755" t="s">
        <v>246</v>
      </c>
      <c r="D259" s="751" t="s">
        <v>247</v>
      </c>
      <c r="E259" s="751" t="s">
        <v>289</v>
      </c>
      <c r="F259" s="751" t="s">
        <v>254</v>
      </c>
      <c r="G259" s="752" t="s">
        <v>1681</v>
      </c>
      <c r="H259" s="753">
        <v>52360</v>
      </c>
      <c r="I259" s="754">
        <v>10707.33</v>
      </c>
      <c r="J259" s="754">
        <v>0</v>
      </c>
      <c r="K259" s="754">
        <v>0</v>
      </c>
      <c r="L259" s="754">
        <v>3099.25</v>
      </c>
      <c r="M259" s="754">
        <f t="shared" si="33"/>
        <v>3099.25</v>
      </c>
      <c r="N259" s="756">
        <v>10707.33</v>
      </c>
      <c r="O259" s="720">
        <f t="shared" si="34"/>
        <v>0</v>
      </c>
      <c r="Q259" s="252"/>
      <c r="R259" s="252"/>
      <c r="S259" s="252"/>
    </row>
    <row r="260" spans="1:19" outlineLevel="2" x14ac:dyDescent="0.25">
      <c r="A260" s="207" t="str">
        <f>VLOOKUP(RIGHT(E260,3)+0,SchLocTable!$A$2:$B$47,2,FALSE)</f>
        <v>Central HS</v>
      </c>
      <c r="B260" s="207" t="str">
        <f>VLOOKUP(VALUE(D260),$D$3:F$106,3,FALSE)</f>
        <v>Principals</v>
      </c>
      <c r="C260" s="751" t="s">
        <v>246</v>
      </c>
      <c r="D260" s="751" t="s">
        <v>247</v>
      </c>
      <c r="E260" s="751" t="s">
        <v>289</v>
      </c>
      <c r="F260" s="751" t="s">
        <v>259</v>
      </c>
      <c r="G260" s="752" t="s">
        <v>1681</v>
      </c>
      <c r="H260" s="753">
        <v>52917</v>
      </c>
      <c r="I260" s="754">
        <v>157854.79</v>
      </c>
      <c r="J260" s="754">
        <v>0</v>
      </c>
      <c r="K260" s="754">
        <v>0</v>
      </c>
      <c r="L260" s="754">
        <v>45967.65</v>
      </c>
      <c r="M260" s="754">
        <f t="shared" si="33"/>
        <v>45967.65</v>
      </c>
      <c r="N260" s="756">
        <v>157854.79</v>
      </c>
      <c r="O260" s="720">
        <f t="shared" si="34"/>
        <v>0</v>
      </c>
      <c r="Q260" s="252"/>
      <c r="R260" s="252"/>
      <c r="S260" s="252"/>
    </row>
    <row r="261" spans="1:19" outlineLevel="2" x14ac:dyDescent="0.25">
      <c r="A261" s="207" t="str">
        <f>VLOOKUP(RIGHT(E261,3)+0,SchLocTable!$A$2:$B$47,2,FALSE)</f>
        <v>Harding HS</v>
      </c>
      <c r="B261" s="207" t="str">
        <f>VLOOKUP(VALUE(D261),$D$3:F$106,3,FALSE)</f>
        <v>Principals</v>
      </c>
      <c r="C261" s="751" t="s">
        <v>246</v>
      </c>
      <c r="D261" s="751" t="s">
        <v>247</v>
      </c>
      <c r="E261" s="751" t="s">
        <v>290</v>
      </c>
      <c r="F261" s="751" t="s">
        <v>248</v>
      </c>
      <c r="G261" s="752">
        <v>4</v>
      </c>
      <c r="H261" s="753">
        <v>51000</v>
      </c>
      <c r="I261" s="754">
        <v>607987.92000000004</v>
      </c>
      <c r="J261" s="754">
        <v>0</v>
      </c>
      <c r="K261" s="754">
        <v>0</v>
      </c>
      <c r="L261" s="754">
        <v>186970.34</v>
      </c>
      <c r="M261" s="754">
        <f t="shared" si="33"/>
        <v>186970.34</v>
      </c>
      <c r="N261" s="756">
        <v>607987.92000000004</v>
      </c>
      <c r="O261" s="720">
        <f t="shared" si="34"/>
        <v>0</v>
      </c>
      <c r="Q261" s="252"/>
      <c r="R261" s="252"/>
      <c r="S261" s="252"/>
    </row>
    <row r="262" spans="1:19" outlineLevel="2" x14ac:dyDescent="0.25">
      <c r="A262" s="207" t="str">
        <f>VLOOKUP(RIGHT(E262,3)+0,SchLocTable!$A$2:$B$47,2,FALSE)</f>
        <v>Harding HS</v>
      </c>
      <c r="B262" s="207" t="str">
        <f>VLOOKUP(VALUE(D262),$D$3:F$106,3,FALSE)</f>
        <v>Principals</v>
      </c>
      <c r="C262" s="751" t="s">
        <v>246</v>
      </c>
      <c r="D262" s="751" t="s">
        <v>247</v>
      </c>
      <c r="E262" s="751" t="s">
        <v>290</v>
      </c>
      <c r="F262" s="751" t="s">
        <v>257</v>
      </c>
      <c r="G262" s="752" t="s">
        <v>1681</v>
      </c>
      <c r="H262" s="753">
        <v>51140</v>
      </c>
      <c r="I262" s="754">
        <v>2800</v>
      </c>
      <c r="J262" s="754">
        <v>0</v>
      </c>
      <c r="K262" s="754">
        <v>0</v>
      </c>
      <c r="L262" s="754">
        <v>0</v>
      </c>
      <c r="M262" s="754">
        <f t="shared" si="33"/>
        <v>0</v>
      </c>
      <c r="N262" s="756">
        <v>2800</v>
      </c>
      <c r="O262" s="720">
        <f t="shared" si="34"/>
        <v>0</v>
      </c>
      <c r="Q262" s="252"/>
      <c r="R262" s="252"/>
      <c r="S262" s="252"/>
    </row>
    <row r="263" spans="1:19" outlineLevel="2" x14ac:dyDescent="0.25">
      <c r="A263" s="207" t="str">
        <f>VLOOKUP(RIGHT(E263,3)+0,SchLocTable!$A$2:$B$47,2,FALSE)</f>
        <v>Harding HS</v>
      </c>
      <c r="B263" s="207" t="str">
        <f>VLOOKUP(VALUE(D263),$D$3:F$106,3,FALSE)</f>
        <v>Principals</v>
      </c>
      <c r="C263" s="755" t="s">
        <v>246</v>
      </c>
      <c r="D263" s="751" t="s">
        <v>247</v>
      </c>
      <c r="E263" s="751" t="s">
        <v>290</v>
      </c>
      <c r="F263" s="751" t="s">
        <v>254</v>
      </c>
      <c r="G263" s="752" t="s">
        <v>1681</v>
      </c>
      <c r="H263" s="753">
        <v>52360</v>
      </c>
      <c r="I263" s="754">
        <v>8661.31</v>
      </c>
      <c r="J263" s="754">
        <v>0</v>
      </c>
      <c r="K263" s="754">
        <v>0</v>
      </c>
      <c r="L263" s="754">
        <v>2556.56</v>
      </c>
      <c r="M263" s="754">
        <f t="shared" si="33"/>
        <v>2556.56</v>
      </c>
      <c r="N263" s="756">
        <v>8661.31</v>
      </c>
      <c r="O263" s="720">
        <f t="shared" si="34"/>
        <v>0</v>
      </c>
      <c r="Q263" s="252"/>
      <c r="R263" s="252"/>
      <c r="S263" s="252"/>
    </row>
    <row r="264" spans="1:19" outlineLevel="2" x14ac:dyDescent="0.25">
      <c r="A264" s="207" t="str">
        <f>VLOOKUP(RIGHT(E264,3)+0,SchLocTable!$A$2:$B$47,2,FALSE)</f>
        <v>Harding HS</v>
      </c>
      <c r="B264" s="207" t="str">
        <f>VLOOKUP(VALUE(D264),$D$3:F$106,3,FALSE)</f>
        <v>Principals</v>
      </c>
      <c r="C264" s="751" t="s">
        <v>246</v>
      </c>
      <c r="D264" s="751" t="s">
        <v>247</v>
      </c>
      <c r="E264" s="751" t="s">
        <v>290</v>
      </c>
      <c r="F264" s="751" t="s">
        <v>259</v>
      </c>
      <c r="G264" s="752" t="s">
        <v>1681</v>
      </c>
      <c r="H264" s="753">
        <v>52917</v>
      </c>
      <c r="I264" s="754">
        <v>93851.95</v>
      </c>
      <c r="J264" s="754">
        <v>0</v>
      </c>
      <c r="K264" s="754">
        <v>0</v>
      </c>
      <c r="L264" s="754">
        <v>27342.6</v>
      </c>
      <c r="M264" s="754">
        <f t="shared" si="33"/>
        <v>27342.6</v>
      </c>
      <c r="N264" s="756">
        <v>93851.95</v>
      </c>
      <c r="O264" s="720">
        <f t="shared" si="34"/>
        <v>0</v>
      </c>
      <c r="Q264" s="252"/>
      <c r="R264" s="252"/>
      <c r="S264" s="252"/>
    </row>
    <row r="265" spans="1:19" outlineLevel="2" x14ac:dyDescent="0.25">
      <c r="A265" s="207" t="e">
        <f>VLOOKUP(RIGHT(E265,3)+0,SchLocTable!$A$2:$B$47,2,FALSE)</f>
        <v>#N/A</v>
      </c>
      <c r="B265" s="207" t="str">
        <f>VLOOKUP(VALUE(D265),$D$3:F$106,3,FALSE)</f>
        <v>Elementary Classroom</v>
      </c>
      <c r="C265" s="751" t="s">
        <v>246</v>
      </c>
      <c r="D265" s="751" t="s">
        <v>291</v>
      </c>
      <c r="E265" s="751" t="s">
        <v>1991</v>
      </c>
      <c r="F265" s="751" t="s">
        <v>248</v>
      </c>
      <c r="G265" s="752" t="s">
        <v>1681</v>
      </c>
      <c r="H265" s="753">
        <v>51000</v>
      </c>
      <c r="I265" s="754">
        <f>1769176.75-0.87</f>
        <v>1769175.88</v>
      </c>
      <c r="J265" s="754">
        <v>0</v>
      </c>
      <c r="K265" s="754">
        <v>0</v>
      </c>
      <c r="L265" s="754">
        <v>0</v>
      </c>
      <c r="M265" s="754">
        <f t="shared" si="33"/>
        <v>0</v>
      </c>
      <c r="N265" s="756">
        <f>500000+400000+100000+1190823.14</f>
        <v>2190823.1399999997</v>
      </c>
      <c r="O265" s="720">
        <f t="shared" si="34"/>
        <v>-421647.25999999978</v>
      </c>
      <c r="Q265" s="252"/>
      <c r="R265" s="252"/>
      <c r="S265" s="252"/>
    </row>
    <row r="266" spans="1:19" outlineLevel="2" x14ac:dyDescent="0.25">
      <c r="A266" s="207" t="e">
        <f>VLOOKUP(RIGHT(E266,3)+0,SchLocTable!$A$2:$B$47,2,FALSE)</f>
        <v>#N/A</v>
      </c>
      <c r="B266" s="207" t="str">
        <f>VLOOKUP(VALUE(D266),$D$3:F$106,3,FALSE)</f>
        <v>Elementary Classroom</v>
      </c>
      <c r="C266" s="755" t="s">
        <v>246</v>
      </c>
      <c r="D266" s="751" t="s">
        <v>291</v>
      </c>
      <c r="E266" s="751" t="s">
        <v>1991</v>
      </c>
      <c r="F266" s="751" t="s">
        <v>252</v>
      </c>
      <c r="G266" s="752" t="s">
        <v>1681</v>
      </c>
      <c r="H266" s="753">
        <v>51154</v>
      </c>
      <c r="I266" s="754">
        <v>386921.24</v>
      </c>
      <c r="J266" s="754">
        <v>0</v>
      </c>
      <c r="K266" s="754">
        <v>0</v>
      </c>
      <c r="L266" s="754">
        <v>0</v>
      </c>
      <c r="M266" s="754">
        <f t="shared" si="33"/>
        <v>0</v>
      </c>
      <c r="N266" s="756">
        <v>386921.24</v>
      </c>
      <c r="O266" s="720">
        <f t="shared" si="34"/>
        <v>0</v>
      </c>
      <c r="Q266" s="252"/>
      <c r="R266" s="252"/>
      <c r="S266" s="252"/>
    </row>
    <row r="267" spans="1:19" outlineLevel="2" x14ac:dyDescent="0.25">
      <c r="A267" s="207" t="e">
        <f>VLOOKUP(RIGHT(E267,3)+0,SchLocTable!$A$2:$B$47,2,FALSE)</f>
        <v>#N/A</v>
      </c>
      <c r="B267" s="207" t="str">
        <f>VLOOKUP(VALUE(D267),$D$3:F$106,3,FALSE)</f>
        <v>Elementary Classroom</v>
      </c>
      <c r="C267" s="751" t="s">
        <v>246</v>
      </c>
      <c r="D267" s="751" t="s">
        <v>291</v>
      </c>
      <c r="E267" s="751" t="s">
        <v>1991</v>
      </c>
      <c r="F267" s="751" t="s">
        <v>259</v>
      </c>
      <c r="G267" s="752" t="s">
        <v>1681</v>
      </c>
      <c r="H267" s="753">
        <v>52917</v>
      </c>
      <c r="I267" s="754">
        <v>0</v>
      </c>
      <c r="J267" s="754">
        <v>0</v>
      </c>
      <c r="K267" s="754">
        <v>0</v>
      </c>
      <c r="L267" s="754">
        <v>0</v>
      </c>
      <c r="M267" s="754">
        <f t="shared" si="33"/>
        <v>0</v>
      </c>
      <c r="N267" s="756">
        <v>0</v>
      </c>
      <c r="O267" s="720">
        <f t="shared" si="34"/>
        <v>0</v>
      </c>
      <c r="Q267" s="252"/>
      <c r="R267" s="252"/>
      <c r="S267" s="252"/>
    </row>
    <row r="268" spans="1:19" outlineLevel="2" x14ac:dyDescent="0.25">
      <c r="A268" s="207" t="str">
        <f>VLOOKUP(RIGHT(E268,3)+0,SchLocTable!$A$2:$B$47,2,FALSE)</f>
        <v>Barnum</v>
      </c>
      <c r="B268" s="207" t="str">
        <f>VLOOKUP(VALUE(D268),$D$3:F$106,3,FALSE)</f>
        <v>Elementary Classroom</v>
      </c>
      <c r="C268" s="751" t="s">
        <v>246</v>
      </c>
      <c r="D268" s="751" t="s">
        <v>291</v>
      </c>
      <c r="E268" s="751" t="s">
        <v>294</v>
      </c>
      <c r="F268" s="751" t="s">
        <v>248</v>
      </c>
      <c r="G268" s="752">
        <v>12</v>
      </c>
      <c r="H268" s="753">
        <v>51000</v>
      </c>
      <c r="I268" s="754">
        <v>784529.9</v>
      </c>
      <c r="J268" s="754">
        <v>0</v>
      </c>
      <c r="K268" s="754">
        <v>0</v>
      </c>
      <c r="L268" s="754">
        <v>150650.65</v>
      </c>
      <c r="M268" s="754">
        <f t="shared" si="33"/>
        <v>150650.65</v>
      </c>
      <c r="N268" s="756">
        <v>784529.9</v>
      </c>
      <c r="O268" s="720">
        <f t="shared" si="34"/>
        <v>0</v>
      </c>
      <c r="Q268" s="252"/>
      <c r="R268" s="252"/>
      <c r="S268" s="252"/>
    </row>
    <row r="269" spans="1:19" outlineLevel="2" x14ac:dyDescent="0.25">
      <c r="A269" s="207" t="str">
        <f>VLOOKUP(RIGHT(E269,3)+0,SchLocTable!$A$2:$B$47,2,FALSE)</f>
        <v>Barnum</v>
      </c>
      <c r="B269" s="207" t="str">
        <f>VLOOKUP(VALUE(D269),$D$3:F$106,3,FALSE)</f>
        <v>Elementary Classroom</v>
      </c>
      <c r="C269" s="751" t="s">
        <v>246</v>
      </c>
      <c r="D269" s="751" t="s">
        <v>291</v>
      </c>
      <c r="E269" s="751" t="s">
        <v>294</v>
      </c>
      <c r="F269" s="751" t="s">
        <v>257</v>
      </c>
      <c r="G269" s="752" t="s">
        <v>1681</v>
      </c>
      <c r="H269" s="753">
        <v>51140</v>
      </c>
      <c r="I269" s="754">
        <v>2765.93</v>
      </c>
      <c r="J269" s="754">
        <v>0</v>
      </c>
      <c r="K269" s="754">
        <v>0</v>
      </c>
      <c r="L269" s="754">
        <v>0</v>
      </c>
      <c r="M269" s="754">
        <f t="shared" si="33"/>
        <v>0</v>
      </c>
      <c r="N269" s="756">
        <v>2765.93</v>
      </c>
      <c r="O269" s="720">
        <f t="shared" si="34"/>
        <v>0</v>
      </c>
      <c r="Q269" s="252"/>
      <c r="R269" s="252"/>
      <c r="S269" s="252"/>
    </row>
    <row r="270" spans="1:19" outlineLevel="2" x14ac:dyDescent="0.25">
      <c r="A270" s="207" t="str">
        <f>VLOOKUP(RIGHT(E270,3)+0,SchLocTable!$A$2:$B$47,2,FALSE)</f>
        <v>Barnum</v>
      </c>
      <c r="B270" s="207" t="str">
        <f>VLOOKUP(VALUE(D270),$D$3:F$106,3,FALSE)</f>
        <v>Elementary Classroom</v>
      </c>
      <c r="C270" s="751" t="s">
        <v>246</v>
      </c>
      <c r="D270" s="751" t="s">
        <v>291</v>
      </c>
      <c r="E270" s="751" t="s">
        <v>294</v>
      </c>
      <c r="F270" s="751" t="s">
        <v>254</v>
      </c>
      <c r="G270" s="752" t="s">
        <v>1681</v>
      </c>
      <c r="H270" s="753">
        <v>52360</v>
      </c>
      <c r="I270" s="754">
        <v>11223.46</v>
      </c>
      <c r="J270" s="754">
        <v>0</v>
      </c>
      <c r="K270" s="754">
        <v>0</v>
      </c>
      <c r="L270" s="754">
        <v>2032.21</v>
      </c>
      <c r="M270" s="754">
        <f t="shared" si="33"/>
        <v>2032.21</v>
      </c>
      <c r="N270" s="756">
        <v>11223.46</v>
      </c>
      <c r="O270" s="720">
        <f t="shared" si="34"/>
        <v>0</v>
      </c>
      <c r="Q270" s="252"/>
      <c r="R270" s="252"/>
      <c r="S270" s="252"/>
    </row>
    <row r="271" spans="1:19" outlineLevel="2" x14ac:dyDescent="0.25">
      <c r="A271" s="207" t="str">
        <f>VLOOKUP(RIGHT(E271,3)+0,SchLocTable!$A$2:$B$47,2,FALSE)</f>
        <v>Barnum</v>
      </c>
      <c r="B271" s="207" t="str">
        <f>VLOOKUP(VALUE(D271),$D$3:F$106,3,FALSE)</f>
        <v>Elementary Classroom</v>
      </c>
      <c r="C271" s="751" t="s">
        <v>246</v>
      </c>
      <c r="D271" s="751" t="s">
        <v>291</v>
      </c>
      <c r="E271" s="751" t="s">
        <v>294</v>
      </c>
      <c r="F271" s="751" t="s">
        <v>292</v>
      </c>
      <c r="G271" s="752" t="s">
        <v>1681</v>
      </c>
      <c r="H271" s="753">
        <v>52385</v>
      </c>
      <c r="I271" s="754">
        <v>8625.76</v>
      </c>
      <c r="J271" s="754">
        <v>0</v>
      </c>
      <c r="K271" s="754">
        <v>0</v>
      </c>
      <c r="L271" s="754">
        <v>1516.8</v>
      </c>
      <c r="M271" s="754">
        <f t="shared" si="33"/>
        <v>1516.8</v>
      </c>
      <c r="N271" s="756">
        <v>8625.76</v>
      </c>
      <c r="O271" s="720">
        <f t="shared" si="34"/>
        <v>0</v>
      </c>
      <c r="Q271" s="252"/>
      <c r="R271" s="252"/>
      <c r="S271" s="252"/>
    </row>
    <row r="272" spans="1:19" outlineLevel="2" x14ac:dyDescent="0.25">
      <c r="A272" s="207" t="str">
        <f>VLOOKUP(RIGHT(E272,3)+0,SchLocTable!$A$2:$B$47,2,FALSE)</f>
        <v>Barnum</v>
      </c>
      <c r="B272" s="207" t="str">
        <f>VLOOKUP(VALUE(D272),$D$3:F$106,3,FALSE)</f>
        <v>Elementary Classroom</v>
      </c>
      <c r="C272" s="755" t="s">
        <v>246</v>
      </c>
      <c r="D272" s="751" t="s">
        <v>291</v>
      </c>
      <c r="E272" s="751" t="s">
        <v>294</v>
      </c>
      <c r="F272" s="751" t="s">
        <v>259</v>
      </c>
      <c r="G272" s="752" t="s">
        <v>1681</v>
      </c>
      <c r="H272" s="753">
        <v>52917</v>
      </c>
      <c r="I272" s="754">
        <v>153048.57</v>
      </c>
      <c r="J272" s="754">
        <v>0</v>
      </c>
      <c r="K272" s="754">
        <v>0</v>
      </c>
      <c r="L272" s="754">
        <v>35734.1</v>
      </c>
      <c r="M272" s="754">
        <f t="shared" si="33"/>
        <v>35734.1</v>
      </c>
      <c r="N272" s="756">
        <v>153048.57</v>
      </c>
      <c r="O272" s="720">
        <f t="shared" si="34"/>
        <v>0</v>
      </c>
      <c r="Q272" s="252"/>
      <c r="R272" s="252"/>
      <c r="S272" s="252"/>
    </row>
    <row r="273" spans="1:19" outlineLevel="2" x14ac:dyDescent="0.25">
      <c r="A273" s="207" t="str">
        <f>VLOOKUP(RIGHT(E273,3)+0,SchLocTable!$A$2:$B$47,2,FALSE)</f>
        <v>Beardsley</v>
      </c>
      <c r="B273" s="207" t="str">
        <f>VLOOKUP(VALUE(D273),$D$3:F$106,3,FALSE)</f>
        <v>Elementary Classroom</v>
      </c>
      <c r="C273" s="755" t="s">
        <v>246</v>
      </c>
      <c r="D273" s="751" t="s">
        <v>291</v>
      </c>
      <c r="E273" s="751" t="s">
        <v>295</v>
      </c>
      <c r="F273" s="751" t="s">
        <v>248</v>
      </c>
      <c r="G273" s="752">
        <v>11</v>
      </c>
      <c r="H273" s="753">
        <v>51000</v>
      </c>
      <c r="I273" s="754">
        <v>1004859.55</v>
      </c>
      <c r="J273" s="754">
        <v>0</v>
      </c>
      <c r="K273" s="754">
        <v>0</v>
      </c>
      <c r="L273" s="754">
        <v>187257.97</v>
      </c>
      <c r="M273" s="754">
        <f t="shared" si="33"/>
        <v>187257.97</v>
      </c>
      <c r="N273" s="756">
        <v>1004859.55</v>
      </c>
      <c r="O273" s="720">
        <f t="shared" si="34"/>
        <v>0</v>
      </c>
      <c r="Q273" s="252"/>
      <c r="R273" s="252"/>
      <c r="S273" s="252"/>
    </row>
    <row r="274" spans="1:19" outlineLevel="2" x14ac:dyDescent="0.25">
      <c r="A274" s="207" t="str">
        <f>VLOOKUP(RIGHT(E274,3)+0,SchLocTable!$A$2:$B$47,2,FALSE)</f>
        <v>Beardsley</v>
      </c>
      <c r="B274" s="207" t="str">
        <f>VLOOKUP(VALUE(D274),$D$3:F$106,3,FALSE)</f>
        <v>Elementary Classroom</v>
      </c>
      <c r="C274" s="755" t="s">
        <v>246</v>
      </c>
      <c r="D274" s="751" t="s">
        <v>291</v>
      </c>
      <c r="E274" s="751" t="s">
        <v>295</v>
      </c>
      <c r="F274" s="751" t="s">
        <v>257</v>
      </c>
      <c r="G274" s="752" t="s">
        <v>1681</v>
      </c>
      <c r="H274" s="753">
        <v>51140</v>
      </c>
      <c r="I274" s="754">
        <v>11400</v>
      </c>
      <c r="J274" s="754">
        <v>0</v>
      </c>
      <c r="K274" s="754">
        <v>0</v>
      </c>
      <c r="L274" s="754">
        <v>0</v>
      </c>
      <c r="M274" s="754">
        <f t="shared" si="33"/>
        <v>0</v>
      </c>
      <c r="N274" s="756">
        <v>11400</v>
      </c>
      <c r="O274" s="720">
        <f t="shared" si="34"/>
        <v>0</v>
      </c>
      <c r="Q274" s="252"/>
      <c r="R274" s="252"/>
      <c r="S274" s="252"/>
    </row>
    <row r="275" spans="1:19" outlineLevel="2" x14ac:dyDescent="0.25">
      <c r="A275" s="207" t="str">
        <f>VLOOKUP(RIGHT(E275,3)+0,SchLocTable!$A$2:$B$47,2,FALSE)</f>
        <v>Beardsley</v>
      </c>
      <c r="B275" s="207" t="str">
        <f>VLOOKUP(VALUE(D275),$D$3:F$106,3,FALSE)</f>
        <v>Elementary Classroom</v>
      </c>
      <c r="C275" s="751" t="s">
        <v>246</v>
      </c>
      <c r="D275" s="751" t="s">
        <v>291</v>
      </c>
      <c r="E275" s="751" t="s">
        <v>295</v>
      </c>
      <c r="F275" s="751" t="s">
        <v>252</v>
      </c>
      <c r="G275" s="752" t="s">
        <v>1681</v>
      </c>
      <c r="H275" s="753">
        <v>51154</v>
      </c>
      <c r="I275" s="754">
        <v>0</v>
      </c>
      <c r="J275" s="754">
        <v>0</v>
      </c>
      <c r="K275" s="754">
        <v>0</v>
      </c>
      <c r="L275" s="754">
        <v>0</v>
      </c>
      <c r="M275" s="754">
        <f t="shared" si="33"/>
        <v>0</v>
      </c>
      <c r="N275" s="756">
        <v>0</v>
      </c>
      <c r="O275" s="720">
        <f t="shared" si="34"/>
        <v>0</v>
      </c>
      <c r="Q275" s="252"/>
      <c r="R275" s="252"/>
      <c r="S275" s="252"/>
    </row>
    <row r="276" spans="1:19" outlineLevel="2" x14ac:dyDescent="0.25">
      <c r="A276" s="207" t="str">
        <f>VLOOKUP(RIGHT(E276,3)+0,SchLocTable!$A$2:$B$47,2,FALSE)</f>
        <v>Beardsley</v>
      </c>
      <c r="B276" s="207" t="str">
        <f>VLOOKUP(VALUE(D276),$D$3:F$106,3,FALSE)</f>
        <v>Elementary Classroom</v>
      </c>
      <c r="C276" s="751" t="s">
        <v>246</v>
      </c>
      <c r="D276" s="751" t="s">
        <v>291</v>
      </c>
      <c r="E276" s="751" t="s">
        <v>295</v>
      </c>
      <c r="F276" s="751" t="s">
        <v>254</v>
      </c>
      <c r="G276" s="752" t="s">
        <v>1681</v>
      </c>
      <c r="H276" s="753">
        <v>52360</v>
      </c>
      <c r="I276" s="754">
        <v>14379.82</v>
      </c>
      <c r="J276" s="754">
        <v>0</v>
      </c>
      <c r="K276" s="754">
        <v>0</v>
      </c>
      <c r="L276" s="754">
        <v>2524.6</v>
      </c>
      <c r="M276" s="754">
        <f t="shared" si="33"/>
        <v>2524.6</v>
      </c>
      <c r="N276" s="756">
        <v>14379.82</v>
      </c>
      <c r="O276" s="720">
        <f t="shared" si="34"/>
        <v>0</v>
      </c>
      <c r="Q276" s="252"/>
      <c r="R276" s="252"/>
      <c r="S276" s="252"/>
    </row>
    <row r="277" spans="1:19" outlineLevel="2" x14ac:dyDescent="0.25">
      <c r="A277" s="207" t="str">
        <f>VLOOKUP(RIGHT(E277,3)+0,SchLocTable!$A$2:$B$47,2,FALSE)</f>
        <v>Beardsley</v>
      </c>
      <c r="B277" s="207" t="str">
        <f>VLOOKUP(VALUE(D277),$D$3:F$106,3,FALSE)</f>
        <v>Elementary Classroom</v>
      </c>
      <c r="C277" s="751" t="s">
        <v>246</v>
      </c>
      <c r="D277" s="751" t="s">
        <v>291</v>
      </c>
      <c r="E277" s="751" t="s">
        <v>295</v>
      </c>
      <c r="F277" s="751" t="s">
        <v>259</v>
      </c>
      <c r="G277" s="752" t="s">
        <v>1681</v>
      </c>
      <c r="H277" s="753">
        <v>52917</v>
      </c>
      <c r="I277" s="754">
        <v>280150.92</v>
      </c>
      <c r="J277" s="754">
        <v>0</v>
      </c>
      <c r="K277" s="754">
        <v>0</v>
      </c>
      <c r="L277" s="754">
        <v>66702.600000000006</v>
      </c>
      <c r="M277" s="754">
        <f t="shared" si="33"/>
        <v>66702.600000000006</v>
      </c>
      <c r="N277" s="756">
        <v>280150.92</v>
      </c>
      <c r="O277" s="720">
        <f t="shared" si="34"/>
        <v>0</v>
      </c>
      <c r="Q277" s="252"/>
      <c r="R277" s="252"/>
      <c r="S277" s="252"/>
    </row>
    <row r="278" spans="1:19" outlineLevel="2" x14ac:dyDescent="0.25">
      <c r="A278" s="207" t="str">
        <f>VLOOKUP(RIGHT(E278,3)+0,SchLocTable!$A$2:$B$47,2,FALSE)</f>
        <v>Black Rock</v>
      </c>
      <c r="B278" s="207" t="str">
        <f>VLOOKUP(VALUE(D278),$D$3:F$106,3,FALSE)</f>
        <v>Elementary Classroom</v>
      </c>
      <c r="C278" s="751" t="s">
        <v>246</v>
      </c>
      <c r="D278" s="751" t="s">
        <v>291</v>
      </c>
      <c r="E278" s="751" t="s">
        <v>296</v>
      </c>
      <c r="F278" s="751" t="s">
        <v>248</v>
      </c>
      <c r="G278" s="752">
        <v>11</v>
      </c>
      <c r="H278" s="753">
        <v>51000</v>
      </c>
      <c r="I278" s="754">
        <v>863991.06</v>
      </c>
      <c r="J278" s="754">
        <v>0</v>
      </c>
      <c r="K278" s="754">
        <v>0</v>
      </c>
      <c r="L278" s="754">
        <v>161423.03</v>
      </c>
      <c r="M278" s="754">
        <f t="shared" si="33"/>
        <v>161423.03</v>
      </c>
      <c r="N278" s="756">
        <v>863991.06</v>
      </c>
      <c r="O278" s="720">
        <f t="shared" si="34"/>
        <v>0</v>
      </c>
      <c r="Q278" s="252"/>
      <c r="R278" s="252"/>
      <c r="S278" s="252"/>
    </row>
    <row r="279" spans="1:19" outlineLevel="2" x14ac:dyDescent="0.25">
      <c r="A279" s="207" t="str">
        <f>VLOOKUP(RIGHT(E279,3)+0,SchLocTable!$A$2:$B$47,2,FALSE)</f>
        <v>Black Rock</v>
      </c>
      <c r="B279" s="207" t="str">
        <f>VLOOKUP(VALUE(D279),$D$3:F$106,3,FALSE)</f>
        <v>Elementary Classroom</v>
      </c>
      <c r="C279" s="755" t="s">
        <v>246</v>
      </c>
      <c r="D279" s="751" t="s">
        <v>291</v>
      </c>
      <c r="E279" s="751" t="s">
        <v>296</v>
      </c>
      <c r="F279" s="751" t="s">
        <v>257</v>
      </c>
      <c r="G279" s="752" t="s">
        <v>1681</v>
      </c>
      <c r="H279" s="753">
        <v>51140</v>
      </c>
      <c r="I279" s="754">
        <v>8400</v>
      </c>
      <c r="J279" s="754">
        <v>0</v>
      </c>
      <c r="K279" s="754">
        <v>0</v>
      </c>
      <c r="L279" s="754">
        <v>0</v>
      </c>
      <c r="M279" s="754">
        <f t="shared" si="33"/>
        <v>0</v>
      </c>
      <c r="N279" s="756">
        <v>8400</v>
      </c>
      <c r="O279" s="720">
        <f t="shared" si="34"/>
        <v>0</v>
      </c>
      <c r="Q279" s="252"/>
      <c r="R279" s="252"/>
      <c r="S279" s="252"/>
    </row>
    <row r="280" spans="1:19" outlineLevel="2" x14ac:dyDescent="0.25">
      <c r="A280" s="207" t="str">
        <f>VLOOKUP(RIGHT(E280,3)+0,SchLocTable!$A$2:$B$47,2,FALSE)</f>
        <v>Black Rock</v>
      </c>
      <c r="B280" s="207" t="str">
        <f>VLOOKUP(VALUE(D280),$D$3:F$106,3,FALSE)</f>
        <v>Elementary Classroom</v>
      </c>
      <c r="C280" s="751" t="s">
        <v>246</v>
      </c>
      <c r="D280" s="751" t="s">
        <v>291</v>
      </c>
      <c r="E280" s="751" t="s">
        <v>296</v>
      </c>
      <c r="F280" s="751" t="s">
        <v>254</v>
      </c>
      <c r="G280" s="752" t="s">
        <v>1681</v>
      </c>
      <c r="H280" s="753">
        <v>52360</v>
      </c>
      <c r="I280" s="754">
        <v>12434.83</v>
      </c>
      <c r="J280" s="754">
        <v>0</v>
      </c>
      <c r="K280" s="754">
        <v>0</v>
      </c>
      <c r="L280" s="754">
        <v>2247.59</v>
      </c>
      <c r="M280" s="754">
        <f t="shared" si="33"/>
        <v>2247.59</v>
      </c>
      <c r="N280" s="756">
        <v>12434.83</v>
      </c>
      <c r="O280" s="720">
        <f t="shared" si="34"/>
        <v>0</v>
      </c>
      <c r="Q280" s="252"/>
      <c r="R280" s="252"/>
      <c r="S280" s="252"/>
    </row>
    <row r="281" spans="1:19" outlineLevel="2" x14ac:dyDescent="0.25">
      <c r="A281" s="207" t="str">
        <f>VLOOKUP(RIGHT(E281,3)+0,SchLocTable!$A$2:$B$47,2,FALSE)</f>
        <v>Black Rock</v>
      </c>
      <c r="B281" s="207" t="str">
        <f>VLOOKUP(VALUE(D281),$D$3:F$106,3,FALSE)</f>
        <v>Elementary Classroom</v>
      </c>
      <c r="C281" s="751" t="s">
        <v>246</v>
      </c>
      <c r="D281" s="751" t="s">
        <v>291</v>
      </c>
      <c r="E281" s="751" t="s">
        <v>296</v>
      </c>
      <c r="F281" s="751" t="s">
        <v>292</v>
      </c>
      <c r="G281" s="752" t="s">
        <v>1681</v>
      </c>
      <c r="H281" s="753">
        <v>52385</v>
      </c>
      <c r="I281" s="754">
        <v>0</v>
      </c>
      <c r="J281" s="754">
        <v>0</v>
      </c>
      <c r="K281" s="754">
        <v>0</v>
      </c>
      <c r="L281" s="754">
        <v>0</v>
      </c>
      <c r="M281" s="754">
        <f t="shared" si="33"/>
        <v>0</v>
      </c>
      <c r="N281" s="756">
        <v>0</v>
      </c>
      <c r="O281" s="720">
        <f t="shared" si="34"/>
        <v>0</v>
      </c>
      <c r="Q281" s="252"/>
      <c r="R281" s="252"/>
      <c r="S281" s="252"/>
    </row>
    <row r="282" spans="1:19" outlineLevel="2" x14ac:dyDescent="0.25">
      <c r="A282" s="207" t="str">
        <f>VLOOKUP(RIGHT(E282,3)+0,SchLocTable!$A$2:$B$47,2,FALSE)</f>
        <v>Black Rock</v>
      </c>
      <c r="B282" s="207" t="str">
        <f>VLOOKUP(VALUE(D282),$D$3:F$106,3,FALSE)</f>
        <v>Elementary Classroom</v>
      </c>
      <c r="C282" s="751" t="s">
        <v>246</v>
      </c>
      <c r="D282" s="751" t="s">
        <v>291</v>
      </c>
      <c r="E282" s="751" t="s">
        <v>296</v>
      </c>
      <c r="F282" s="751" t="s">
        <v>259</v>
      </c>
      <c r="G282" s="752" t="s">
        <v>1681</v>
      </c>
      <c r="H282" s="753">
        <v>52917</v>
      </c>
      <c r="I282" s="754">
        <v>206087.7</v>
      </c>
      <c r="J282" s="754">
        <v>0</v>
      </c>
      <c r="K282" s="754">
        <v>0</v>
      </c>
      <c r="L282" s="754">
        <v>49068.5</v>
      </c>
      <c r="M282" s="754">
        <f t="shared" si="33"/>
        <v>49068.5</v>
      </c>
      <c r="N282" s="756">
        <v>206087.7</v>
      </c>
      <c r="O282" s="720">
        <f t="shared" si="34"/>
        <v>0</v>
      </c>
      <c r="Q282" s="252"/>
      <c r="R282" s="252"/>
      <c r="S282" s="252"/>
    </row>
    <row r="283" spans="1:19" outlineLevel="2" x14ac:dyDescent="0.25">
      <c r="A283" s="207" t="str">
        <f>VLOOKUP(RIGHT(E283,3)+0,SchLocTable!$A$2:$B$47,2,FALSE)</f>
        <v>Bryant</v>
      </c>
      <c r="B283" s="207" t="str">
        <f>VLOOKUP(VALUE(D283),$D$3:F$106,3,FALSE)</f>
        <v>Elementary Classroom</v>
      </c>
      <c r="C283" s="751" t="s">
        <v>246</v>
      </c>
      <c r="D283" s="751" t="s">
        <v>291</v>
      </c>
      <c r="E283" s="751" t="s">
        <v>297</v>
      </c>
      <c r="F283" s="751" t="s">
        <v>248</v>
      </c>
      <c r="G283" s="752">
        <v>10</v>
      </c>
      <c r="H283" s="753">
        <v>51000</v>
      </c>
      <c r="I283" s="754">
        <v>724215.16</v>
      </c>
      <c r="J283" s="754">
        <v>0</v>
      </c>
      <c r="K283" s="754">
        <v>0</v>
      </c>
      <c r="L283" s="754">
        <v>142628.65</v>
      </c>
      <c r="M283" s="754">
        <f t="shared" si="33"/>
        <v>142628.65</v>
      </c>
      <c r="N283" s="756">
        <v>724215.16</v>
      </c>
      <c r="O283" s="720">
        <f t="shared" si="34"/>
        <v>0</v>
      </c>
      <c r="Q283" s="252"/>
      <c r="R283" s="252"/>
      <c r="S283" s="252"/>
    </row>
    <row r="284" spans="1:19" outlineLevel="2" x14ac:dyDescent="0.25">
      <c r="A284" s="207" t="str">
        <f>VLOOKUP(RIGHT(E284,3)+0,SchLocTable!$A$2:$B$47,2,FALSE)</f>
        <v>Bryant</v>
      </c>
      <c r="B284" s="207" t="str">
        <f>VLOOKUP(VALUE(D284),$D$3:F$106,3,FALSE)</f>
        <v>Elementary Classroom</v>
      </c>
      <c r="C284" s="751" t="s">
        <v>246</v>
      </c>
      <c r="D284" s="751" t="s">
        <v>291</v>
      </c>
      <c r="E284" s="751" t="s">
        <v>297</v>
      </c>
      <c r="F284" s="751" t="s">
        <v>257</v>
      </c>
      <c r="G284" s="752" t="s">
        <v>1681</v>
      </c>
      <c r="H284" s="753">
        <v>51140</v>
      </c>
      <c r="I284" s="754">
        <v>3800</v>
      </c>
      <c r="J284" s="754">
        <v>0</v>
      </c>
      <c r="K284" s="754">
        <v>0</v>
      </c>
      <c r="L284" s="754">
        <v>0</v>
      </c>
      <c r="M284" s="754">
        <f t="shared" si="33"/>
        <v>0</v>
      </c>
      <c r="N284" s="756">
        <v>3800</v>
      </c>
      <c r="O284" s="720">
        <f t="shared" si="34"/>
        <v>0</v>
      </c>
      <c r="Q284" s="252"/>
      <c r="R284" s="252"/>
      <c r="S284" s="252"/>
    </row>
    <row r="285" spans="1:19" outlineLevel="2" x14ac:dyDescent="0.25">
      <c r="A285" s="207" t="str">
        <f>VLOOKUP(RIGHT(E285,3)+0,SchLocTable!$A$2:$B$47,2,FALSE)</f>
        <v>Bryant</v>
      </c>
      <c r="B285" s="207" t="str">
        <f>VLOOKUP(VALUE(D285),$D$3:F$106,3,FALSE)</f>
        <v>Elementary Classroom</v>
      </c>
      <c r="C285" s="751" t="s">
        <v>246</v>
      </c>
      <c r="D285" s="751" t="s">
        <v>291</v>
      </c>
      <c r="E285" s="751" t="s">
        <v>297</v>
      </c>
      <c r="F285" s="751" t="s">
        <v>254</v>
      </c>
      <c r="G285" s="752" t="s">
        <v>1681</v>
      </c>
      <c r="H285" s="753">
        <v>52360</v>
      </c>
      <c r="I285" s="754">
        <v>10307.43</v>
      </c>
      <c r="J285" s="754">
        <v>0</v>
      </c>
      <c r="K285" s="754">
        <v>0</v>
      </c>
      <c r="L285" s="754">
        <v>1874.43</v>
      </c>
      <c r="M285" s="754">
        <f t="shared" si="33"/>
        <v>1874.43</v>
      </c>
      <c r="N285" s="756">
        <v>10307.43</v>
      </c>
      <c r="O285" s="720">
        <f t="shared" si="34"/>
        <v>0</v>
      </c>
      <c r="Q285" s="252"/>
      <c r="R285" s="252"/>
      <c r="S285" s="252"/>
    </row>
    <row r="286" spans="1:19" outlineLevel="2" x14ac:dyDescent="0.25">
      <c r="A286" s="207" t="str">
        <f>VLOOKUP(RIGHT(E286,3)+0,SchLocTable!$A$2:$B$47,2,FALSE)</f>
        <v>Bryant</v>
      </c>
      <c r="B286" s="207" t="str">
        <f>VLOOKUP(VALUE(D286),$D$3:F$106,3,FALSE)</f>
        <v>Elementary Classroom</v>
      </c>
      <c r="C286" s="751" t="s">
        <v>246</v>
      </c>
      <c r="D286" s="751" t="s">
        <v>291</v>
      </c>
      <c r="E286" s="751" t="s">
        <v>297</v>
      </c>
      <c r="F286" s="751" t="s">
        <v>292</v>
      </c>
      <c r="G286" s="752" t="s">
        <v>1681</v>
      </c>
      <c r="H286" s="753">
        <v>52385</v>
      </c>
      <c r="I286" s="754">
        <v>6088.4</v>
      </c>
      <c r="J286" s="754">
        <v>0</v>
      </c>
      <c r="K286" s="754">
        <v>0</v>
      </c>
      <c r="L286" s="754">
        <v>1038.5</v>
      </c>
      <c r="M286" s="754">
        <f t="shared" si="33"/>
        <v>1038.5</v>
      </c>
      <c r="N286" s="756">
        <v>6088.4</v>
      </c>
      <c r="O286" s="720">
        <f t="shared" si="34"/>
        <v>0</v>
      </c>
      <c r="Q286" s="252"/>
      <c r="R286" s="252"/>
      <c r="S286" s="252"/>
    </row>
    <row r="287" spans="1:19" outlineLevel="2" x14ac:dyDescent="0.25">
      <c r="A287" s="207" t="str">
        <f>VLOOKUP(RIGHT(E287,3)+0,SchLocTable!$A$2:$B$47,2,FALSE)</f>
        <v>Bryant</v>
      </c>
      <c r="B287" s="207" t="str">
        <f>VLOOKUP(VALUE(D287),$D$3:F$106,3,FALSE)</f>
        <v>Elementary Classroom</v>
      </c>
      <c r="C287" s="751" t="s">
        <v>246</v>
      </c>
      <c r="D287" s="751" t="s">
        <v>291</v>
      </c>
      <c r="E287" s="751" t="s">
        <v>297</v>
      </c>
      <c r="F287" s="751" t="s">
        <v>259</v>
      </c>
      <c r="G287" s="752" t="s">
        <v>1681</v>
      </c>
      <c r="H287" s="753">
        <v>52917</v>
      </c>
      <c r="I287" s="754">
        <v>187679.52</v>
      </c>
      <c r="J287" s="754">
        <v>0</v>
      </c>
      <c r="K287" s="754">
        <v>0</v>
      </c>
      <c r="L287" s="754">
        <v>44685.599999999999</v>
      </c>
      <c r="M287" s="754">
        <f t="shared" si="33"/>
        <v>44685.599999999999</v>
      </c>
      <c r="N287" s="756">
        <v>187679.52</v>
      </c>
      <c r="O287" s="720">
        <f t="shared" si="34"/>
        <v>0</v>
      </c>
      <c r="Q287" s="252"/>
      <c r="R287" s="252"/>
      <c r="S287" s="252"/>
    </row>
    <row r="288" spans="1:19" outlineLevel="2" x14ac:dyDescent="0.25">
      <c r="A288" s="207" t="str">
        <f>VLOOKUP(RIGHT(E288,3)+0,SchLocTable!$A$2:$B$47,2,FALSE)</f>
        <v>Columbus</v>
      </c>
      <c r="B288" s="207" t="str">
        <f>VLOOKUP(VALUE(D288),$D$3:F$106,3,FALSE)</f>
        <v>Elementary Classroom</v>
      </c>
      <c r="C288" s="751" t="s">
        <v>246</v>
      </c>
      <c r="D288" s="751" t="s">
        <v>291</v>
      </c>
      <c r="E288" s="751" t="s">
        <v>298</v>
      </c>
      <c r="F288" s="751" t="s">
        <v>248</v>
      </c>
      <c r="G288" s="752">
        <v>15</v>
      </c>
      <c r="H288" s="753">
        <v>51000</v>
      </c>
      <c r="I288" s="754">
        <v>1128644.1299999999</v>
      </c>
      <c r="J288" s="754">
        <v>0</v>
      </c>
      <c r="K288" s="754">
        <v>0</v>
      </c>
      <c r="L288" s="754">
        <v>216215.35</v>
      </c>
      <c r="M288" s="754">
        <f t="shared" si="33"/>
        <v>216215.35</v>
      </c>
      <c r="N288" s="756">
        <v>1128644.1299999999</v>
      </c>
      <c r="O288" s="720">
        <f t="shared" si="34"/>
        <v>0</v>
      </c>
      <c r="Q288" s="252"/>
      <c r="R288" s="252"/>
      <c r="S288" s="252"/>
    </row>
    <row r="289" spans="1:19" outlineLevel="2" x14ac:dyDescent="0.25">
      <c r="A289" s="207" t="str">
        <f>VLOOKUP(RIGHT(E289,3)+0,SchLocTable!$A$2:$B$47,2,FALSE)</f>
        <v>Columbus</v>
      </c>
      <c r="B289" s="207" t="str">
        <f>VLOOKUP(VALUE(D289),$D$3:F$106,3,FALSE)</f>
        <v>Elementary Classroom</v>
      </c>
      <c r="C289" s="751" t="s">
        <v>246</v>
      </c>
      <c r="D289" s="751" t="s">
        <v>291</v>
      </c>
      <c r="E289" s="751" t="s">
        <v>298</v>
      </c>
      <c r="F289" s="751" t="s">
        <v>257</v>
      </c>
      <c r="G289" s="752" t="s">
        <v>1681</v>
      </c>
      <c r="H289" s="753">
        <v>51140</v>
      </c>
      <c r="I289" s="754">
        <v>8100</v>
      </c>
      <c r="J289" s="754">
        <v>0</v>
      </c>
      <c r="K289" s="754">
        <v>0</v>
      </c>
      <c r="L289" s="754">
        <v>0</v>
      </c>
      <c r="M289" s="754">
        <f t="shared" si="33"/>
        <v>0</v>
      </c>
      <c r="N289" s="756">
        <v>8100</v>
      </c>
      <c r="O289" s="720">
        <f t="shared" si="34"/>
        <v>0</v>
      </c>
      <c r="Q289" s="252"/>
      <c r="R289" s="252"/>
      <c r="S289" s="252"/>
    </row>
    <row r="290" spans="1:19" outlineLevel="2" x14ac:dyDescent="0.25">
      <c r="A290" s="207" t="str">
        <f>VLOOKUP(RIGHT(E290,3)+0,SchLocTable!$A$2:$B$47,2,FALSE)</f>
        <v>Columbus</v>
      </c>
      <c r="B290" s="207" t="str">
        <f>VLOOKUP(VALUE(D290),$D$3:F$106,3,FALSE)</f>
        <v>Elementary Classroom</v>
      </c>
      <c r="C290" s="751" t="s">
        <v>246</v>
      </c>
      <c r="D290" s="751" t="s">
        <v>291</v>
      </c>
      <c r="E290" s="751" t="s">
        <v>298</v>
      </c>
      <c r="F290" s="751" t="s">
        <v>254</v>
      </c>
      <c r="G290" s="752" t="s">
        <v>1681</v>
      </c>
      <c r="H290" s="753">
        <v>52360</v>
      </c>
      <c r="I290" s="754">
        <v>15798.35</v>
      </c>
      <c r="J290" s="754">
        <v>0</v>
      </c>
      <c r="K290" s="754">
        <v>0</v>
      </c>
      <c r="L290" s="754">
        <v>2568.13</v>
      </c>
      <c r="M290" s="754">
        <f t="shared" si="33"/>
        <v>2568.13</v>
      </c>
      <c r="N290" s="756">
        <v>15798.35</v>
      </c>
      <c r="O290" s="720">
        <f t="shared" si="34"/>
        <v>0</v>
      </c>
      <c r="Q290" s="252"/>
      <c r="R290" s="252"/>
      <c r="S290" s="252"/>
    </row>
    <row r="291" spans="1:19" outlineLevel="2" x14ac:dyDescent="0.25">
      <c r="A291" s="207" t="str">
        <f>VLOOKUP(RIGHT(E291,3)+0,SchLocTable!$A$2:$B$47,2,FALSE)</f>
        <v>Columbus</v>
      </c>
      <c r="B291" s="207" t="str">
        <f>VLOOKUP(VALUE(D291),$D$3:F$106,3,FALSE)</f>
        <v>Elementary Classroom</v>
      </c>
      <c r="C291" s="751" t="s">
        <v>246</v>
      </c>
      <c r="D291" s="751" t="s">
        <v>291</v>
      </c>
      <c r="E291" s="751" t="s">
        <v>298</v>
      </c>
      <c r="F291" s="751" t="s">
        <v>292</v>
      </c>
      <c r="G291" s="752" t="s">
        <v>1681</v>
      </c>
      <c r="H291" s="753">
        <v>52385</v>
      </c>
      <c r="I291" s="754">
        <v>0</v>
      </c>
      <c r="J291" s="754">
        <v>0</v>
      </c>
      <c r="K291" s="754">
        <v>0</v>
      </c>
      <c r="L291" s="754">
        <v>0</v>
      </c>
      <c r="M291" s="754">
        <f t="shared" si="33"/>
        <v>0</v>
      </c>
      <c r="N291" s="756">
        <v>0</v>
      </c>
      <c r="O291" s="720">
        <f t="shared" si="34"/>
        <v>0</v>
      </c>
      <c r="Q291" s="252"/>
      <c r="R291" s="252"/>
      <c r="S291" s="252"/>
    </row>
    <row r="292" spans="1:19" outlineLevel="2" x14ac:dyDescent="0.25">
      <c r="A292" s="207" t="str">
        <f>VLOOKUP(RIGHT(E292,3)+0,SchLocTable!$A$2:$B$47,2,FALSE)</f>
        <v>Columbus</v>
      </c>
      <c r="B292" s="207" t="str">
        <f>VLOOKUP(VALUE(D292),$D$3:F$106,3,FALSE)</f>
        <v>Elementary Classroom</v>
      </c>
      <c r="C292" s="755" t="s">
        <v>246</v>
      </c>
      <c r="D292" s="751" t="s">
        <v>291</v>
      </c>
      <c r="E292" s="751" t="s">
        <v>298</v>
      </c>
      <c r="F292" s="751" t="s">
        <v>259</v>
      </c>
      <c r="G292" s="752" t="s">
        <v>1681</v>
      </c>
      <c r="H292" s="753">
        <v>52917</v>
      </c>
      <c r="I292" s="754">
        <v>308558.03999999998</v>
      </c>
      <c r="J292" s="754">
        <v>0</v>
      </c>
      <c r="K292" s="754">
        <v>0</v>
      </c>
      <c r="L292" s="754">
        <v>73466.2</v>
      </c>
      <c r="M292" s="754">
        <f t="shared" si="33"/>
        <v>73466.2</v>
      </c>
      <c r="N292" s="756">
        <v>308558.03999999998</v>
      </c>
      <c r="O292" s="720">
        <f t="shared" si="34"/>
        <v>0</v>
      </c>
      <c r="Q292" s="252"/>
      <c r="R292" s="252"/>
      <c r="S292" s="252"/>
    </row>
    <row r="293" spans="1:19" outlineLevel="2" x14ac:dyDescent="0.25">
      <c r="A293" s="207" t="str">
        <f>VLOOKUP(RIGHT(E293,3)+0,SchLocTable!$A$2:$B$47,2,FALSE)</f>
        <v>Edison</v>
      </c>
      <c r="B293" s="207" t="str">
        <f>VLOOKUP(VALUE(D293),$D$3:F$106,3,FALSE)</f>
        <v>Elementary Classroom</v>
      </c>
      <c r="C293" s="755" t="s">
        <v>246</v>
      </c>
      <c r="D293" s="751" t="s">
        <v>291</v>
      </c>
      <c r="E293" s="751" t="s">
        <v>299</v>
      </c>
      <c r="F293" s="751" t="s">
        <v>248</v>
      </c>
      <c r="G293" s="752">
        <v>9</v>
      </c>
      <c r="H293" s="753">
        <v>51000</v>
      </c>
      <c r="I293" s="754">
        <v>650020</v>
      </c>
      <c r="J293" s="754">
        <v>0</v>
      </c>
      <c r="K293" s="754">
        <v>0</v>
      </c>
      <c r="L293" s="754">
        <v>132870.35</v>
      </c>
      <c r="M293" s="754">
        <f t="shared" si="33"/>
        <v>132870.35</v>
      </c>
      <c r="N293" s="756">
        <v>650020</v>
      </c>
      <c r="O293" s="720">
        <f t="shared" si="34"/>
        <v>0</v>
      </c>
      <c r="Q293" s="252"/>
      <c r="R293" s="252"/>
      <c r="S293" s="252"/>
    </row>
    <row r="294" spans="1:19" outlineLevel="2" x14ac:dyDescent="0.25">
      <c r="A294" s="207" t="str">
        <f>VLOOKUP(RIGHT(E294,3)+0,SchLocTable!$A$2:$B$47,2,FALSE)</f>
        <v>Edison</v>
      </c>
      <c r="B294" s="207" t="str">
        <f>VLOOKUP(VALUE(D294),$D$3:F$106,3,FALSE)</f>
        <v>Elementary Classroom</v>
      </c>
      <c r="C294" s="751" t="s">
        <v>246</v>
      </c>
      <c r="D294" s="751" t="s">
        <v>291</v>
      </c>
      <c r="E294" s="751" t="s">
        <v>299</v>
      </c>
      <c r="F294" s="751" t="s">
        <v>257</v>
      </c>
      <c r="G294" s="752" t="s">
        <v>1681</v>
      </c>
      <c r="H294" s="753">
        <v>51140</v>
      </c>
      <c r="I294" s="754">
        <v>2200</v>
      </c>
      <c r="J294" s="754">
        <v>0</v>
      </c>
      <c r="K294" s="754">
        <v>0</v>
      </c>
      <c r="L294" s="754">
        <v>0</v>
      </c>
      <c r="M294" s="754">
        <f t="shared" si="33"/>
        <v>0</v>
      </c>
      <c r="N294" s="756">
        <v>2200</v>
      </c>
      <c r="O294" s="720">
        <f t="shared" si="34"/>
        <v>0</v>
      </c>
      <c r="Q294" s="252"/>
      <c r="R294" s="252"/>
      <c r="S294" s="252"/>
    </row>
    <row r="295" spans="1:19" outlineLevel="2" x14ac:dyDescent="0.25">
      <c r="A295" s="207" t="str">
        <f>VLOOKUP(RIGHT(E295,3)+0,SchLocTable!$A$2:$B$47,2,FALSE)</f>
        <v>Edison</v>
      </c>
      <c r="B295" s="207" t="str">
        <f>VLOOKUP(VALUE(D295),$D$3:F$106,3,FALSE)</f>
        <v>Elementary Classroom</v>
      </c>
      <c r="C295" s="751" t="s">
        <v>246</v>
      </c>
      <c r="D295" s="751" t="s">
        <v>291</v>
      </c>
      <c r="E295" s="751" t="s">
        <v>299</v>
      </c>
      <c r="F295" s="751" t="s">
        <v>254</v>
      </c>
      <c r="G295" s="752" t="s">
        <v>1681</v>
      </c>
      <c r="H295" s="753">
        <v>52360</v>
      </c>
      <c r="I295" s="754">
        <v>9284.69</v>
      </c>
      <c r="J295" s="754">
        <v>0</v>
      </c>
      <c r="K295" s="754">
        <v>0</v>
      </c>
      <c r="L295" s="754">
        <v>1786.02</v>
      </c>
      <c r="M295" s="754">
        <f t="shared" si="33"/>
        <v>1786.02</v>
      </c>
      <c r="N295" s="756">
        <v>9284.69</v>
      </c>
      <c r="O295" s="720">
        <f t="shared" si="34"/>
        <v>0</v>
      </c>
      <c r="Q295" s="252"/>
      <c r="R295" s="252"/>
      <c r="S295" s="252"/>
    </row>
    <row r="296" spans="1:19" outlineLevel="2" x14ac:dyDescent="0.25">
      <c r="A296" s="207" t="str">
        <f>VLOOKUP(RIGHT(E296,3)+0,SchLocTable!$A$2:$B$47,2,FALSE)</f>
        <v>Edison</v>
      </c>
      <c r="B296" s="207" t="str">
        <f>VLOOKUP(VALUE(D296),$D$3:F$106,3,FALSE)</f>
        <v>Elementary Classroom</v>
      </c>
      <c r="C296" s="751" t="s">
        <v>246</v>
      </c>
      <c r="D296" s="751" t="s">
        <v>291</v>
      </c>
      <c r="E296" s="751" t="s">
        <v>299</v>
      </c>
      <c r="F296" s="751" t="s">
        <v>292</v>
      </c>
      <c r="G296" s="752" t="s">
        <v>1681</v>
      </c>
      <c r="H296" s="753">
        <v>52385</v>
      </c>
      <c r="I296" s="754">
        <v>0</v>
      </c>
      <c r="J296" s="754">
        <v>0</v>
      </c>
      <c r="K296" s="754">
        <v>0</v>
      </c>
      <c r="L296" s="754">
        <v>0</v>
      </c>
      <c r="M296" s="754">
        <f t="shared" si="33"/>
        <v>0</v>
      </c>
      <c r="N296" s="756">
        <v>0</v>
      </c>
      <c r="O296" s="720">
        <f t="shared" si="34"/>
        <v>0</v>
      </c>
      <c r="Q296" s="252"/>
      <c r="R296" s="252"/>
      <c r="S296" s="252"/>
    </row>
    <row r="297" spans="1:19" outlineLevel="2" x14ac:dyDescent="0.25">
      <c r="A297" s="207" t="str">
        <f>VLOOKUP(RIGHT(E297,3)+0,SchLocTable!$A$2:$B$47,2,FALSE)</f>
        <v>Edison</v>
      </c>
      <c r="B297" s="207" t="str">
        <f>VLOOKUP(VALUE(D297),$D$3:F$106,3,FALSE)</f>
        <v>Elementary Classroom</v>
      </c>
      <c r="C297" s="751" t="s">
        <v>246</v>
      </c>
      <c r="D297" s="751" t="s">
        <v>291</v>
      </c>
      <c r="E297" s="751" t="s">
        <v>299</v>
      </c>
      <c r="F297" s="751" t="s">
        <v>259</v>
      </c>
      <c r="G297" s="752" t="s">
        <v>1681</v>
      </c>
      <c r="H297" s="753">
        <v>52917</v>
      </c>
      <c r="I297" s="754">
        <v>138222.96</v>
      </c>
      <c r="J297" s="754">
        <v>0</v>
      </c>
      <c r="K297" s="754">
        <v>0</v>
      </c>
      <c r="L297" s="754">
        <v>32239.919999999998</v>
      </c>
      <c r="M297" s="754">
        <f t="shared" si="33"/>
        <v>32239.919999999998</v>
      </c>
      <c r="N297" s="756">
        <v>138222.96</v>
      </c>
      <c r="O297" s="720">
        <f t="shared" si="34"/>
        <v>0</v>
      </c>
      <c r="Q297" s="252"/>
      <c r="R297" s="252"/>
      <c r="S297" s="252"/>
    </row>
    <row r="298" spans="1:19" outlineLevel="2" x14ac:dyDescent="0.25">
      <c r="A298" s="207" t="str">
        <f>VLOOKUP(RIGHT(E298,3)+0,SchLocTable!$A$2:$B$47,2,FALSE)</f>
        <v>Marin</v>
      </c>
      <c r="B298" s="207" t="str">
        <f>VLOOKUP(VALUE(D298),$D$3:F$106,3,FALSE)</f>
        <v>Elementary Classroom</v>
      </c>
      <c r="C298" s="751" t="s">
        <v>246</v>
      </c>
      <c r="D298" s="751" t="s">
        <v>291</v>
      </c>
      <c r="E298" s="751" t="s">
        <v>300</v>
      </c>
      <c r="F298" s="751" t="s">
        <v>248</v>
      </c>
      <c r="G298" s="752">
        <v>17</v>
      </c>
      <c r="H298" s="753">
        <v>51000</v>
      </c>
      <c r="I298" s="754">
        <v>1022635.42</v>
      </c>
      <c r="J298" s="754">
        <v>0</v>
      </c>
      <c r="K298" s="754">
        <v>0</v>
      </c>
      <c r="L298" s="754">
        <v>218351.89</v>
      </c>
      <c r="M298" s="754">
        <f t="shared" si="33"/>
        <v>218351.89</v>
      </c>
      <c r="N298" s="756">
        <v>1022635.42</v>
      </c>
      <c r="O298" s="720">
        <f t="shared" si="34"/>
        <v>0</v>
      </c>
      <c r="Q298" s="252"/>
      <c r="R298" s="252"/>
      <c r="S298" s="252"/>
    </row>
    <row r="299" spans="1:19" outlineLevel="2" x14ac:dyDescent="0.25">
      <c r="A299" s="207" t="str">
        <f>VLOOKUP(RIGHT(E299,3)+0,SchLocTable!$A$2:$B$47,2,FALSE)</f>
        <v>Marin</v>
      </c>
      <c r="B299" s="207" t="str">
        <f>VLOOKUP(VALUE(D299),$D$3:F$106,3,FALSE)</f>
        <v>Elementary Classroom</v>
      </c>
      <c r="C299" s="751" t="s">
        <v>246</v>
      </c>
      <c r="D299" s="751" t="s">
        <v>291</v>
      </c>
      <c r="E299" s="751" t="s">
        <v>300</v>
      </c>
      <c r="F299" s="751" t="s">
        <v>257</v>
      </c>
      <c r="G299" s="752" t="s">
        <v>1681</v>
      </c>
      <c r="H299" s="753">
        <v>51140</v>
      </c>
      <c r="I299" s="754">
        <v>3500</v>
      </c>
      <c r="J299" s="754">
        <v>0</v>
      </c>
      <c r="K299" s="754">
        <v>0</v>
      </c>
      <c r="L299" s="754">
        <v>0</v>
      </c>
      <c r="M299" s="754">
        <f t="shared" si="33"/>
        <v>0</v>
      </c>
      <c r="N299" s="756">
        <v>3500</v>
      </c>
      <c r="O299" s="720">
        <f t="shared" si="34"/>
        <v>0</v>
      </c>
      <c r="Q299" s="252"/>
      <c r="R299" s="252"/>
      <c r="S299" s="252"/>
    </row>
    <row r="300" spans="1:19" outlineLevel="2" x14ac:dyDescent="0.25">
      <c r="A300" s="207" t="str">
        <f>VLOOKUP(RIGHT(E300,3)+0,SchLocTable!$A$2:$B$47,2,FALSE)</f>
        <v>Marin</v>
      </c>
      <c r="B300" s="207" t="str">
        <f>VLOOKUP(VALUE(D300),$D$3:F$106,3,FALSE)</f>
        <v>Elementary Classroom</v>
      </c>
      <c r="C300" s="751" t="s">
        <v>246</v>
      </c>
      <c r="D300" s="751" t="s">
        <v>291</v>
      </c>
      <c r="E300" s="751" t="s">
        <v>300</v>
      </c>
      <c r="F300" s="751" t="s">
        <v>252</v>
      </c>
      <c r="G300" s="752" t="s">
        <v>1681</v>
      </c>
      <c r="H300" s="753">
        <v>51154</v>
      </c>
      <c r="I300" s="754">
        <v>0</v>
      </c>
      <c r="J300" s="754">
        <v>0</v>
      </c>
      <c r="K300" s="754">
        <v>0</v>
      </c>
      <c r="L300" s="754">
        <v>0</v>
      </c>
      <c r="M300" s="754">
        <f t="shared" si="33"/>
        <v>0</v>
      </c>
      <c r="N300" s="756">
        <v>0</v>
      </c>
      <c r="O300" s="720">
        <f t="shared" si="34"/>
        <v>0</v>
      </c>
      <c r="Q300" s="252"/>
      <c r="R300" s="252"/>
      <c r="S300" s="252"/>
    </row>
    <row r="301" spans="1:19" outlineLevel="2" x14ac:dyDescent="0.25">
      <c r="A301" s="207" t="str">
        <f>VLOOKUP(RIGHT(E301,3)+0,SchLocTable!$A$2:$B$47,2,FALSE)</f>
        <v>Marin</v>
      </c>
      <c r="B301" s="207" t="str">
        <f>VLOOKUP(VALUE(D301),$D$3:F$106,3,FALSE)</f>
        <v>Elementary Classroom</v>
      </c>
      <c r="C301" s="751" t="s">
        <v>246</v>
      </c>
      <c r="D301" s="751" t="s">
        <v>291</v>
      </c>
      <c r="E301" s="751" t="s">
        <v>300</v>
      </c>
      <c r="F301" s="751" t="s">
        <v>254</v>
      </c>
      <c r="G301" s="752" t="s">
        <v>1681</v>
      </c>
      <c r="H301" s="753">
        <v>52360</v>
      </c>
      <c r="I301" s="754">
        <v>14495.24</v>
      </c>
      <c r="J301" s="754">
        <v>0</v>
      </c>
      <c r="K301" s="754">
        <v>0</v>
      </c>
      <c r="L301" s="754">
        <v>2833.13</v>
      </c>
      <c r="M301" s="754">
        <f t="shared" si="33"/>
        <v>2833.13</v>
      </c>
      <c r="N301" s="756">
        <v>14495.24</v>
      </c>
      <c r="O301" s="720">
        <f t="shared" si="34"/>
        <v>0</v>
      </c>
      <c r="Q301" s="252"/>
      <c r="R301" s="252"/>
      <c r="S301" s="252"/>
    </row>
    <row r="302" spans="1:19" outlineLevel="2" x14ac:dyDescent="0.25">
      <c r="A302" s="207" t="str">
        <f>VLOOKUP(RIGHT(E302,3)+0,SchLocTable!$A$2:$B$47,2,FALSE)</f>
        <v>Marin</v>
      </c>
      <c r="B302" s="207" t="str">
        <f>VLOOKUP(VALUE(D302),$D$3:F$106,3,FALSE)</f>
        <v>Elementary Classroom</v>
      </c>
      <c r="C302" s="751" t="s">
        <v>246</v>
      </c>
      <c r="D302" s="751" t="s">
        <v>291</v>
      </c>
      <c r="E302" s="751" t="s">
        <v>300</v>
      </c>
      <c r="F302" s="751" t="s">
        <v>292</v>
      </c>
      <c r="G302" s="752" t="s">
        <v>1681</v>
      </c>
      <c r="H302" s="753">
        <v>52385</v>
      </c>
      <c r="I302" s="754">
        <v>0</v>
      </c>
      <c r="J302" s="754">
        <v>0</v>
      </c>
      <c r="K302" s="754">
        <v>0</v>
      </c>
      <c r="L302" s="754">
        <v>0</v>
      </c>
      <c r="M302" s="754">
        <f t="shared" si="33"/>
        <v>0</v>
      </c>
      <c r="N302" s="756">
        <v>0</v>
      </c>
      <c r="O302" s="720">
        <f t="shared" si="34"/>
        <v>0</v>
      </c>
      <c r="Q302" s="252"/>
      <c r="R302" s="252"/>
      <c r="S302" s="252"/>
    </row>
    <row r="303" spans="1:19" outlineLevel="2" x14ac:dyDescent="0.25">
      <c r="A303" s="207" t="str">
        <f>VLOOKUP(RIGHT(E303,3)+0,SchLocTable!$A$2:$B$47,2,FALSE)</f>
        <v>Marin</v>
      </c>
      <c r="B303" s="207" t="str">
        <f>VLOOKUP(VALUE(D303),$D$3:F$106,3,FALSE)</f>
        <v>Elementary Classroom</v>
      </c>
      <c r="C303" s="751" t="s">
        <v>246</v>
      </c>
      <c r="D303" s="751" t="s">
        <v>291</v>
      </c>
      <c r="E303" s="751" t="s">
        <v>300</v>
      </c>
      <c r="F303" s="751" t="s">
        <v>259</v>
      </c>
      <c r="G303" s="752" t="s">
        <v>1681</v>
      </c>
      <c r="H303" s="753">
        <v>52917</v>
      </c>
      <c r="I303" s="754">
        <v>302942.28000000003</v>
      </c>
      <c r="J303" s="754">
        <v>0</v>
      </c>
      <c r="K303" s="754">
        <v>0</v>
      </c>
      <c r="L303" s="754">
        <v>78108.36</v>
      </c>
      <c r="M303" s="754">
        <f t="shared" si="33"/>
        <v>78108.36</v>
      </c>
      <c r="N303" s="756">
        <v>302942.28000000003</v>
      </c>
      <c r="O303" s="720">
        <f t="shared" si="34"/>
        <v>0</v>
      </c>
      <c r="Q303" s="252"/>
      <c r="R303" s="252"/>
      <c r="S303" s="252"/>
    </row>
    <row r="304" spans="1:19" outlineLevel="1" x14ac:dyDescent="0.25">
      <c r="A304" s="207" t="str">
        <f>VLOOKUP(RIGHT(E304,3)+0,SchLocTable!$A$2:$B$47,2,FALSE)</f>
        <v>Hall</v>
      </c>
      <c r="B304" s="207" t="str">
        <f>VLOOKUP(VALUE(D304),$D$3:F$106,3,FALSE)</f>
        <v>Elementary Classroom</v>
      </c>
      <c r="C304" s="751" t="s">
        <v>246</v>
      </c>
      <c r="D304" s="751" t="s">
        <v>291</v>
      </c>
      <c r="E304" s="751" t="s">
        <v>301</v>
      </c>
      <c r="F304" s="751" t="s">
        <v>248</v>
      </c>
      <c r="G304" s="752">
        <v>7</v>
      </c>
      <c r="H304" s="753">
        <v>51000</v>
      </c>
      <c r="I304" s="754">
        <v>623247.9</v>
      </c>
      <c r="J304" s="754">
        <v>0</v>
      </c>
      <c r="K304" s="754">
        <v>0</v>
      </c>
      <c r="L304" s="754">
        <v>119396.15</v>
      </c>
      <c r="M304" s="754">
        <f t="shared" si="33"/>
        <v>119396.15</v>
      </c>
      <c r="N304" s="756">
        <v>623247.9</v>
      </c>
      <c r="O304" s="720">
        <f t="shared" si="34"/>
        <v>0</v>
      </c>
      <c r="Q304" s="252"/>
      <c r="R304" s="252"/>
      <c r="S304" s="252"/>
    </row>
    <row r="305" spans="1:19" outlineLevel="1" x14ac:dyDescent="0.25">
      <c r="A305" s="207" t="str">
        <f>VLOOKUP(RIGHT(E305,3)+0,SchLocTable!$A$2:$B$47,2,FALSE)</f>
        <v>Hall</v>
      </c>
      <c r="B305" s="207" t="str">
        <f>VLOOKUP(VALUE(D305),$D$3:F$106,3,FALSE)</f>
        <v>Elementary Classroom</v>
      </c>
      <c r="C305" s="751" t="s">
        <v>246</v>
      </c>
      <c r="D305" s="751" t="s">
        <v>291</v>
      </c>
      <c r="E305" s="751" t="s">
        <v>301</v>
      </c>
      <c r="F305" s="751" t="s">
        <v>257</v>
      </c>
      <c r="G305" s="752" t="s">
        <v>1681</v>
      </c>
      <c r="H305" s="753">
        <v>51140</v>
      </c>
      <c r="I305" s="754">
        <v>6700</v>
      </c>
      <c r="J305" s="754">
        <v>0</v>
      </c>
      <c r="K305" s="754">
        <v>0</v>
      </c>
      <c r="L305" s="754">
        <v>0</v>
      </c>
      <c r="M305" s="754">
        <f t="shared" si="33"/>
        <v>0</v>
      </c>
      <c r="N305" s="756">
        <v>6700</v>
      </c>
      <c r="O305" s="720">
        <f t="shared" si="34"/>
        <v>0</v>
      </c>
      <c r="Q305" s="252"/>
      <c r="R305" s="252"/>
      <c r="S305" s="252"/>
    </row>
    <row r="306" spans="1:19" outlineLevel="2" x14ac:dyDescent="0.25">
      <c r="A306" s="207" t="str">
        <f>VLOOKUP(RIGHT(E306,3)+0,SchLocTable!$A$2:$B$47,2,FALSE)</f>
        <v>Hall</v>
      </c>
      <c r="B306" s="207" t="str">
        <f>VLOOKUP(VALUE(D306),$D$3:F$106,3,FALSE)</f>
        <v>Elementary Classroom</v>
      </c>
      <c r="C306" s="751" t="s">
        <v>246</v>
      </c>
      <c r="D306" s="751" t="s">
        <v>291</v>
      </c>
      <c r="E306" s="751" t="s">
        <v>301</v>
      </c>
      <c r="F306" s="751" t="s">
        <v>254</v>
      </c>
      <c r="G306" s="752" t="s">
        <v>1681</v>
      </c>
      <c r="H306" s="753">
        <v>52360</v>
      </c>
      <c r="I306" s="754">
        <v>8923.42</v>
      </c>
      <c r="J306" s="754">
        <v>0</v>
      </c>
      <c r="K306" s="754">
        <v>0</v>
      </c>
      <c r="L306" s="754">
        <v>1617.57</v>
      </c>
      <c r="M306" s="754">
        <f t="shared" si="33"/>
        <v>1617.57</v>
      </c>
      <c r="N306" s="756">
        <v>8923.42</v>
      </c>
      <c r="O306" s="720">
        <f t="shared" si="34"/>
        <v>0</v>
      </c>
      <c r="Q306" s="252"/>
      <c r="R306" s="252"/>
      <c r="S306" s="252"/>
    </row>
    <row r="307" spans="1:19" outlineLevel="2" x14ac:dyDescent="0.25">
      <c r="A307" s="207" t="str">
        <f>VLOOKUP(RIGHT(E307,3)+0,SchLocTable!$A$2:$B$47,2,FALSE)</f>
        <v>Hall</v>
      </c>
      <c r="B307" s="207" t="str">
        <f>VLOOKUP(VALUE(D307),$D$3:F$106,3,FALSE)</f>
        <v>Elementary Classroom</v>
      </c>
      <c r="C307" s="751" t="s">
        <v>246</v>
      </c>
      <c r="D307" s="751" t="s">
        <v>291</v>
      </c>
      <c r="E307" s="751" t="s">
        <v>301</v>
      </c>
      <c r="F307" s="751" t="s">
        <v>259</v>
      </c>
      <c r="G307" s="752" t="s">
        <v>1681</v>
      </c>
      <c r="H307" s="753">
        <v>52917</v>
      </c>
      <c r="I307" s="754">
        <v>112247.94</v>
      </c>
      <c r="J307" s="754">
        <v>0</v>
      </c>
      <c r="K307" s="754">
        <v>0</v>
      </c>
      <c r="L307" s="754">
        <v>26725.7</v>
      </c>
      <c r="M307" s="754">
        <f t="shared" si="33"/>
        <v>26725.7</v>
      </c>
      <c r="N307" s="756">
        <v>112247.94</v>
      </c>
      <c r="O307" s="720">
        <f t="shared" si="34"/>
        <v>0</v>
      </c>
      <c r="Q307" s="252"/>
      <c r="R307" s="252"/>
      <c r="S307" s="252"/>
    </row>
    <row r="308" spans="1:19" outlineLevel="2" x14ac:dyDescent="0.25">
      <c r="A308" s="207" t="str">
        <f>VLOOKUP(RIGHT(E308,3)+0,SchLocTable!$A$2:$B$47,2,FALSE)</f>
        <v>Hallen</v>
      </c>
      <c r="B308" s="207" t="str">
        <f>VLOOKUP(VALUE(D308),$D$3:F$106,3,FALSE)</f>
        <v>Elementary Classroom</v>
      </c>
      <c r="C308" s="751" t="s">
        <v>246</v>
      </c>
      <c r="D308" s="751" t="s">
        <v>291</v>
      </c>
      <c r="E308" s="751" t="s">
        <v>302</v>
      </c>
      <c r="F308" s="751" t="s">
        <v>248</v>
      </c>
      <c r="G308" s="752">
        <v>11</v>
      </c>
      <c r="H308" s="753">
        <v>51000</v>
      </c>
      <c r="I308" s="754">
        <v>887554.07</v>
      </c>
      <c r="J308" s="754">
        <v>0</v>
      </c>
      <c r="K308" s="754">
        <v>0</v>
      </c>
      <c r="L308" s="754">
        <v>187933.22</v>
      </c>
      <c r="M308" s="754">
        <f t="shared" si="33"/>
        <v>187933.22</v>
      </c>
      <c r="N308" s="756">
        <v>887554.07</v>
      </c>
      <c r="O308" s="720">
        <f t="shared" si="34"/>
        <v>0</v>
      </c>
      <c r="Q308" s="252"/>
      <c r="R308" s="252"/>
      <c r="S308" s="252"/>
    </row>
    <row r="309" spans="1:19" outlineLevel="2" x14ac:dyDescent="0.25">
      <c r="A309" s="207" t="str">
        <f>VLOOKUP(RIGHT(E309,3)+0,SchLocTable!$A$2:$B$47,2,FALSE)</f>
        <v>Hallen</v>
      </c>
      <c r="B309" s="207" t="str">
        <f>VLOOKUP(VALUE(D309),$D$3:F$106,3,FALSE)</f>
        <v>Elementary Classroom</v>
      </c>
      <c r="C309" s="751" t="s">
        <v>246</v>
      </c>
      <c r="D309" s="751" t="s">
        <v>291</v>
      </c>
      <c r="E309" s="751" t="s">
        <v>302</v>
      </c>
      <c r="F309" s="751" t="s">
        <v>257</v>
      </c>
      <c r="G309" s="752" t="s">
        <v>1681</v>
      </c>
      <c r="H309" s="753">
        <v>51140</v>
      </c>
      <c r="I309" s="754">
        <v>7800</v>
      </c>
      <c r="J309" s="754">
        <v>0</v>
      </c>
      <c r="K309" s="754">
        <v>0</v>
      </c>
      <c r="L309" s="754">
        <v>0</v>
      </c>
      <c r="M309" s="754">
        <f t="shared" si="33"/>
        <v>0</v>
      </c>
      <c r="N309" s="756">
        <v>7800</v>
      </c>
      <c r="O309" s="720">
        <f t="shared" si="34"/>
        <v>0</v>
      </c>
      <c r="Q309" s="252"/>
      <c r="R309" s="252"/>
      <c r="S309" s="252"/>
    </row>
    <row r="310" spans="1:19" outlineLevel="2" x14ac:dyDescent="0.25">
      <c r="A310" s="207" t="str">
        <f>VLOOKUP(RIGHT(E310,3)+0,SchLocTable!$A$2:$B$47,2,FALSE)</f>
        <v>Hallen</v>
      </c>
      <c r="B310" s="207" t="str">
        <f>VLOOKUP(VALUE(D310),$D$3:F$106,3,FALSE)</f>
        <v>Elementary Classroom</v>
      </c>
      <c r="C310" s="751" t="s">
        <v>246</v>
      </c>
      <c r="D310" s="751" t="s">
        <v>291</v>
      </c>
      <c r="E310" s="751" t="s">
        <v>302</v>
      </c>
      <c r="F310" s="751" t="s">
        <v>254</v>
      </c>
      <c r="G310" s="752" t="s">
        <v>1681</v>
      </c>
      <c r="H310" s="753">
        <v>52360</v>
      </c>
      <c r="I310" s="754">
        <v>12634.63</v>
      </c>
      <c r="J310" s="754">
        <v>0</v>
      </c>
      <c r="K310" s="754">
        <v>0</v>
      </c>
      <c r="L310" s="754">
        <v>2490.13</v>
      </c>
      <c r="M310" s="754">
        <f t="shared" si="33"/>
        <v>2490.13</v>
      </c>
      <c r="N310" s="756">
        <v>12634.63</v>
      </c>
      <c r="O310" s="720">
        <f t="shared" si="34"/>
        <v>0</v>
      </c>
      <c r="Q310" s="252"/>
      <c r="R310" s="252"/>
      <c r="S310" s="252"/>
    </row>
    <row r="311" spans="1:19" outlineLevel="2" x14ac:dyDescent="0.25">
      <c r="A311" s="207" t="str">
        <f>VLOOKUP(RIGHT(E311,3)+0,SchLocTable!$A$2:$B$47,2,FALSE)</f>
        <v>Hallen</v>
      </c>
      <c r="B311" s="207" t="str">
        <f>VLOOKUP(VALUE(D311),$D$3:F$106,3,FALSE)</f>
        <v>Elementary Classroom</v>
      </c>
      <c r="C311" s="755" t="s">
        <v>246</v>
      </c>
      <c r="D311" s="751" t="s">
        <v>291</v>
      </c>
      <c r="E311" s="751" t="s">
        <v>302</v>
      </c>
      <c r="F311" s="751" t="s">
        <v>259</v>
      </c>
      <c r="G311" s="752" t="s">
        <v>1681</v>
      </c>
      <c r="H311" s="753">
        <v>52917</v>
      </c>
      <c r="I311" s="754">
        <v>215160.78</v>
      </c>
      <c r="J311" s="754">
        <v>0</v>
      </c>
      <c r="K311" s="754">
        <v>0</v>
      </c>
      <c r="L311" s="754">
        <v>55046.54</v>
      </c>
      <c r="M311" s="754">
        <f t="shared" si="33"/>
        <v>55046.54</v>
      </c>
      <c r="N311" s="756">
        <v>215160.78</v>
      </c>
      <c r="O311" s="720">
        <f t="shared" si="34"/>
        <v>0</v>
      </c>
      <c r="Q311" s="252"/>
      <c r="R311" s="252"/>
      <c r="S311" s="252"/>
    </row>
    <row r="312" spans="1:19" outlineLevel="2" x14ac:dyDescent="0.25">
      <c r="A312" s="207" t="str">
        <f>VLOOKUP(RIGHT(E312,3)+0,SchLocTable!$A$2:$B$47,2,FALSE)</f>
        <v>Hooker</v>
      </c>
      <c r="B312" s="207" t="str">
        <f>VLOOKUP(VALUE(D312),$D$3:F$106,3,FALSE)</f>
        <v>Elementary Classroom</v>
      </c>
      <c r="C312" s="751" t="s">
        <v>246</v>
      </c>
      <c r="D312" s="751" t="s">
        <v>291</v>
      </c>
      <c r="E312" s="751" t="s">
        <v>303</v>
      </c>
      <c r="F312" s="751" t="s">
        <v>248</v>
      </c>
      <c r="G312" s="752">
        <v>10</v>
      </c>
      <c r="H312" s="753">
        <v>51000</v>
      </c>
      <c r="I312" s="754">
        <v>801004.93</v>
      </c>
      <c r="J312" s="754">
        <v>0</v>
      </c>
      <c r="K312" s="754">
        <v>0</v>
      </c>
      <c r="L312" s="754">
        <v>164165.5</v>
      </c>
      <c r="M312" s="754">
        <f t="shared" si="33"/>
        <v>164165.5</v>
      </c>
      <c r="N312" s="756">
        <v>801004.93</v>
      </c>
      <c r="O312" s="720">
        <f t="shared" si="34"/>
        <v>0</v>
      </c>
      <c r="Q312" s="252"/>
      <c r="R312" s="252"/>
      <c r="S312" s="252"/>
    </row>
    <row r="313" spans="1:19" outlineLevel="2" x14ac:dyDescent="0.25">
      <c r="A313" s="207" t="str">
        <f>VLOOKUP(RIGHT(E313,3)+0,SchLocTable!$A$2:$B$47,2,FALSE)</f>
        <v>Hooker</v>
      </c>
      <c r="B313" s="207" t="str">
        <f>VLOOKUP(VALUE(D313),$D$3:F$106,3,FALSE)</f>
        <v>Elementary Classroom</v>
      </c>
      <c r="C313" s="751" t="s">
        <v>246</v>
      </c>
      <c r="D313" s="751" t="s">
        <v>291</v>
      </c>
      <c r="E313" s="751" t="s">
        <v>303</v>
      </c>
      <c r="F313" s="751" t="s">
        <v>257</v>
      </c>
      <c r="G313" s="752" t="s">
        <v>1681</v>
      </c>
      <c r="H313" s="753">
        <v>51140</v>
      </c>
      <c r="I313" s="754">
        <v>6500</v>
      </c>
      <c r="J313" s="754">
        <v>0</v>
      </c>
      <c r="K313" s="754">
        <v>0</v>
      </c>
      <c r="L313" s="754">
        <v>0</v>
      </c>
      <c r="M313" s="754">
        <f t="shared" si="33"/>
        <v>0</v>
      </c>
      <c r="N313" s="756">
        <v>6500</v>
      </c>
      <c r="O313" s="720">
        <f t="shared" si="34"/>
        <v>0</v>
      </c>
      <c r="Q313" s="252"/>
      <c r="R313" s="252"/>
      <c r="S313" s="252"/>
    </row>
    <row r="314" spans="1:19" outlineLevel="2" x14ac:dyDescent="0.25">
      <c r="A314" s="207" t="str">
        <f>VLOOKUP(RIGHT(E314,3)+0,SchLocTable!$A$2:$B$47,2,FALSE)</f>
        <v>Hooker</v>
      </c>
      <c r="B314" s="207" t="str">
        <f>VLOOKUP(VALUE(D314),$D$3:F$106,3,FALSE)</f>
        <v>Elementary Classroom</v>
      </c>
      <c r="C314" s="755" t="s">
        <v>246</v>
      </c>
      <c r="D314" s="751" t="s">
        <v>291</v>
      </c>
      <c r="E314" s="751" t="s">
        <v>303</v>
      </c>
      <c r="F314" s="751" t="s">
        <v>254</v>
      </c>
      <c r="G314" s="752" t="s">
        <v>1681</v>
      </c>
      <c r="H314" s="753">
        <v>52360</v>
      </c>
      <c r="I314" s="754">
        <v>11418.43</v>
      </c>
      <c r="J314" s="754">
        <v>0</v>
      </c>
      <c r="K314" s="754">
        <v>0</v>
      </c>
      <c r="L314" s="754">
        <v>2184.2600000000002</v>
      </c>
      <c r="M314" s="754">
        <f t="shared" si="33"/>
        <v>2184.2600000000002</v>
      </c>
      <c r="N314" s="756">
        <v>11418.43</v>
      </c>
      <c r="O314" s="720">
        <f t="shared" si="34"/>
        <v>0</v>
      </c>
      <c r="Q314" s="252"/>
      <c r="R314" s="252"/>
      <c r="S314" s="252"/>
    </row>
    <row r="315" spans="1:19" outlineLevel="2" x14ac:dyDescent="0.25">
      <c r="A315" s="207" t="str">
        <f>VLOOKUP(RIGHT(E315,3)+0,SchLocTable!$A$2:$B$47,2,FALSE)</f>
        <v>Hooker</v>
      </c>
      <c r="B315" s="207" t="str">
        <f>VLOOKUP(VALUE(D315),$D$3:F$106,3,FALSE)</f>
        <v>Elementary Classroom</v>
      </c>
      <c r="C315" s="751" t="s">
        <v>246</v>
      </c>
      <c r="D315" s="751" t="s">
        <v>291</v>
      </c>
      <c r="E315" s="751" t="s">
        <v>303</v>
      </c>
      <c r="F315" s="751" t="s">
        <v>259</v>
      </c>
      <c r="G315" s="752" t="s">
        <v>1681</v>
      </c>
      <c r="H315" s="753">
        <v>52917</v>
      </c>
      <c r="I315" s="754">
        <v>159603.48000000001</v>
      </c>
      <c r="J315" s="754">
        <v>0</v>
      </c>
      <c r="K315" s="754">
        <v>0</v>
      </c>
      <c r="L315" s="754">
        <v>44363.8</v>
      </c>
      <c r="M315" s="754">
        <f t="shared" si="33"/>
        <v>44363.8</v>
      </c>
      <c r="N315" s="756">
        <v>159603.48000000001</v>
      </c>
      <c r="O315" s="720">
        <f t="shared" si="34"/>
        <v>0</v>
      </c>
      <c r="Q315" s="252"/>
      <c r="R315" s="252"/>
      <c r="S315" s="252"/>
    </row>
    <row r="316" spans="1:19" outlineLevel="2" x14ac:dyDescent="0.25">
      <c r="A316" s="207" t="str">
        <f>VLOOKUP(RIGHT(E316,3)+0,SchLocTable!$A$2:$B$47,2,FALSE)</f>
        <v>Batalla</v>
      </c>
      <c r="B316" s="207" t="str">
        <f>VLOOKUP(VALUE(D316),$D$3:F$106,3,FALSE)</f>
        <v>Elementary Classroom</v>
      </c>
      <c r="C316" s="755" t="s">
        <v>246</v>
      </c>
      <c r="D316" s="751" t="s">
        <v>291</v>
      </c>
      <c r="E316" s="751" t="s">
        <v>304</v>
      </c>
      <c r="F316" s="751" t="s">
        <v>248</v>
      </c>
      <c r="G316" s="752">
        <v>18</v>
      </c>
      <c r="H316" s="753">
        <v>51000</v>
      </c>
      <c r="I316" s="754">
        <v>1369496.96</v>
      </c>
      <c r="J316" s="754">
        <v>0</v>
      </c>
      <c r="K316" s="754">
        <v>0</v>
      </c>
      <c r="L316" s="754">
        <v>264801.15000000002</v>
      </c>
      <c r="M316" s="754">
        <f t="shared" si="33"/>
        <v>264801.15000000002</v>
      </c>
      <c r="N316" s="756">
        <v>1369496.96</v>
      </c>
      <c r="O316" s="720">
        <f t="shared" si="34"/>
        <v>0</v>
      </c>
      <c r="Q316" s="252"/>
      <c r="R316" s="252"/>
      <c r="S316" s="252"/>
    </row>
    <row r="317" spans="1:19" outlineLevel="2" x14ac:dyDescent="0.25">
      <c r="A317" s="207" t="str">
        <f>VLOOKUP(RIGHT(E317,3)+0,SchLocTable!$A$2:$B$47,2,FALSE)</f>
        <v>Batalla</v>
      </c>
      <c r="B317" s="207" t="str">
        <f>VLOOKUP(VALUE(D317),$D$3:F$106,3,FALSE)</f>
        <v>Elementary Classroom</v>
      </c>
      <c r="C317" s="751" t="s">
        <v>246</v>
      </c>
      <c r="D317" s="751" t="s">
        <v>291</v>
      </c>
      <c r="E317" s="751" t="s">
        <v>304</v>
      </c>
      <c r="F317" s="751" t="s">
        <v>257</v>
      </c>
      <c r="G317" s="752" t="s">
        <v>1681</v>
      </c>
      <c r="H317" s="753">
        <v>51140</v>
      </c>
      <c r="I317" s="754">
        <v>9600</v>
      </c>
      <c r="J317" s="754">
        <v>0</v>
      </c>
      <c r="K317" s="754">
        <v>0</v>
      </c>
      <c r="L317" s="754">
        <v>0</v>
      </c>
      <c r="M317" s="754">
        <f t="shared" si="33"/>
        <v>0</v>
      </c>
      <c r="N317" s="756">
        <v>9600</v>
      </c>
      <c r="O317" s="720">
        <f t="shared" si="34"/>
        <v>0</v>
      </c>
      <c r="Q317" s="252"/>
      <c r="R317" s="252"/>
      <c r="S317" s="252"/>
    </row>
    <row r="318" spans="1:19" outlineLevel="2" x14ac:dyDescent="0.25">
      <c r="A318" s="207" t="str">
        <f>VLOOKUP(RIGHT(E318,3)+0,SchLocTable!$A$2:$B$47,2,FALSE)</f>
        <v>Batalla</v>
      </c>
      <c r="B318" s="207" t="str">
        <f>VLOOKUP(VALUE(D318),$D$3:F$106,3,FALSE)</f>
        <v>Elementary Classroom</v>
      </c>
      <c r="C318" s="751" t="s">
        <v>246</v>
      </c>
      <c r="D318" s="751" t="s">
        <v>291</v>
      </c>
      <c r="E318" s="751" t="s">
        <v>304</v>
      </c>
      <c r="F318" s="751" t="s">
        <v>254</v>
      </c>
      <c r="G318" s="752" t="s">
        <v>1681</v>
      </c>
      <c r="H318" s="753">
        <v>52360</v>
      </c>
      <c r="I318" s="754">
        <v>19612.21</v>
      </c>
      <c r="J318" s="754">
        <v>0</v>
      </c>
      <c r="K318" s="754">
        <v>0</v>
      </c>
      <c r="L318" s="754">
        <v>3594.12</v>
      </c>
      <c r="M318" s="754">
        <f t="shared" si="33"/>
        <v>3594.12</v>
      </c>
      <c r="N318" s="756">
        <v>19612.21</v>
      </c>
      <c r="O318" s="720">
        <f t="shared" si="34"/>
        <v>0</v>
      </c>
      <c r="Q318" s="252"/>
      <c r="R318" s="252"/>
      <c r="S318" s="252"/>
    </row>
    <row r="319" spans="1:19" outlineLevel="2" x14ac:dyDescent="0.25">
      <c r="A319" s="207" t="str">
        <f>VLOOKUP(RIGHT(E319,3)+0,SchLocTable!$A$2:$B$47,2,FALSE)</f>
        <v>Batalla</v>
      </c>
      <c r="B319" s="207" t="str">
        <f>VLOOKUP(VALUE(D319),$D$3:F$106,3,FALSE)</f>
        <v>Elementary Classroom</v>
      </c>
      <c r="C319" s="751" t="s">
        <v>246</v>
      </c>
      <c r="D319" s="751" t="s">
        <v>291</v>
      </c>
      <c r="E319" s="751" t="s">
        <v>304</v>
      </c>
      <c r="F319" s="751" t="s">
        <v>259</v>
      </c>
      <c r="G319" s="752" t="s">
        <v>1681</v>
      </c>
      <c r="H319" s="753">
        <v>52917</v>
      </c>
      <c r="I319" s="754">
        <v>242481.54</v>
      </c>
      <c r="J319" s="754">
        <v>0</v>
      </c>
      <c r="K319" s="754">
        <v>0</v>
      </c>
      <c r="L319" s="754">
        <v>57733.7</v>
      </c>
      <c r="M319" s="754">
        <f t="shared" ref="M319:M382" si="35">SUM(J319:L319)</f>
        <v>57733.7</v>
      </c>
      <c r="N319" s="756">
        <v>242481.54</v>
      </c>
      <c r="O319" s="720">
        <f t="shared" ref="O319:O382" si="36">I319-N319</f>
        <v>0</v>
      </c>
      <c r="Q319" s="252"/>
      <c r="R319" s="252"/>
      <c r="S319" s="252"/>
    </row>
    <row r="320" spans="1:19" outlineLevel="2" x14ac:dyDescent="0.25">
      <c r="A320" s="207" t="str">
        <f>VLOOKUP(RIGHT(E320,3)+0,SchLocTable!$A$2:$B$47,2,FALSE)</f>
        <v>Park City Magnet</v>
      </c>
      <c r="B320" s="207" t="str">
        <f>VLOOKUP(VALUE(D320),$D$3:F$106,3,FALSE)</f>
        <v>Elementary Classroom</v>
      </c>
      <c r="C320" s="751" t="s">
        <v>246</v>
      </c>
      <c r="D320" s="751" t="s">
        <v>291</v>
      </c>
      <c r="E320" s="751" t="s">
        <v>305</v>
      </c>
      <c r="F320" s="751" t="s">
        <v>248</v>
      </c>
      <c r="G320" s="752">
        <v>8</v>
      </c>
      <c r="H320" s="753">
        <v>51000</v>
      </c>
      <c r="I320" s="754">
        <v>720324.76</v>
      </c>
      <c r="J320" s="754">
        <v>0</v>
      </c>
      <c r="K320" s="754">
        <v>0</v>
      </c>
      <c r="L320" s="754">
        <v>137993.25</v>
      </c>
      <c r="M320" s="754">
        <f t="shared" si="35"/>
        <v>137993.25</v>
      </c>
      <c r="N320" s="756">
        <v>720324.76</v>
      </c>
      <c r="O320" s="720">
        <f t="shared" si="36"/>
        <v>0</v>
      </c>
      <c r="Q320" s="252"/>
      <c r="R320" s="252"/>
      <c r="S320" s="252"/>
    </row>
    <row r="321" spans="1:19" outlineLevel="2" x14ac:dyDescent="0.25">
      <c r="A321" s="207" t="str">
        <f>VLOOKUP(RIGHT(E321,3)+0,SchLocTable!$A$2:$B$47,2,FALSE)</f>
        <v>Park City Magnet</v>
      </c>
      <c r="B321" s="207" t="str">
        <f>VLOOKUP(VALUE(D321),$D$3:F$106,3,FALSE)</f>
        <v>Elementary Classroom</v>
      </c>
      <c r="C321" s="751" t="s">
        <v>246</v>
      </c>
      <c r="D321" s="751" t="s">
        <v>291</v>
      </c>
      <c r="E321" s="751" t="s">
        <v>305</v>
      </c>
      <c r="F321" s="751" t="s">
        <v>257</v>
      </c>
      <c r="G321" s="752" t="s">
        <v>1681</v>
      </c>
      <c r="H321" s="753">
        <v>51140</v>
      </c>
      <c r="I321" s="754">
        <v>6800</v>
      </c>
      <c r="J321" s="754">
        <v>0</v>
      </c>
      <c r="K321" s="754">
        <v>0</v>
      </c>
      <c r="L321" s="754">
        <v>0</v>
      </c>
      <c r="M321" s="754">
        <f t="shared" si="35"/>
        <v>0</v>
      </c>
      <c r="N321" s="756">
        <v>6800</v>
      </c>
      <c r="O321" s="720">
        <f t="shared" si="36"/>
        <v>0</v>
      </c>
      <c r="Q321" s="252"/>
      <c r="R321" s="252"/>
      <c r="S321" s="252"/>
    </row>
    <row r="322" spans="1:19" outlineLevel="2" x14ac:dyDescent="0.25">
      <c r="A322" s="207" t="str">
        <f>VLOOKUP(RIGHT(E322,3)+0,SchLocTable!$A$2:$B$47,2,FALSE)</f>
        <v>Park City Magnet</v>
      </c>
      <c r="B322" s="207" t="str">
        <f>VLOOKUP(VALUE(D322),$D$3:F$106,3,FALSE)</f>
        <v>Elementary Classroom</v>
      </c>
      <c r="C322" s="751" t="s">
        <v>246</v>
      </c>
      <c r="D322" s="751" t="s">
        <v>291</v>
      </c>
      <c r="E322" s="751" t="s">
        <v>305</v>
      </c>
      <c r="F322" s="751" t="s">
        <v>254</v>
      </c>
      <c r="G322" s="752" t="s">
        <v>1681</v>
      </c>
      <c r="H322" s="753">
        <v>52360</v>
      </c>
      <c r="I322" s="754">
        <v>10331.06</v>
      </c>
      <c r="J322" s="754">
        <v>0</v>
      </c>
      <c r="K322" s="754">
        <v>0</v>
      </c>
      <c r="L322" s="754">
        <v>1887.25</v>
      </c>
      <c r="M322" s="754">
        <f t="shared" si="35"/>
        <v>1887.25</v>
      </c>
      <c r="N322" s="756">
        <v>10331.06</v>
      </c>
      <c r="O322" s="720">
        <f t="shared" si="36"/>
        <v>0</v>
      </c>
      <c r="Q322" s="252"/>
      <c r="R322" s="252"/>
      <c r="S322" s="252"/>
    </row>
    <row r="323" spans="1:19" outlineLevel="2" x14ac:dyDescent="0.25">
      <c r="A323" s="207" t="str">
        <f>VLOOKUP(RIGHT(E323,3)+0,SchLocTable!$A$2:$B$47,2,FALSE)</f>
        <v>Park City Magnet</v>
      </c>
      <c r="B323" s="207" t="str">
        <f>VLOOKUP(VALUE(D323),$D$3:F$106,3,FALSE)</f>
        <v>Elementary Classroom</v>
      </c>
      <c r="C323" s="751" t="s">
        <v>246</v>
      </c>
      <c r="D323" s="751" t="s">
        <v>291</v>
      </c>
      <c r="E323" s="751" t="s">
        <v>305</v>
      </c>
      <c r="F323" s="751" t="s">
        <v>292</v>
      </c>
      <c r="G323" s="752" t="s">
        <v>1681</v>
      </c>
      <c r="H323" s="753">
        <v>52385</v>
      </c>
      <c r="I323" s="754">
        <v>0</v>
      </c>
      <c r="J323" s="754">
        <v>0</v>
      </c>
      <c r="K323" s="754">
        <v>0</v>
      </c>
      <c r="L323" s="754">
        <v>0</v>
      </c>
      <c r="M323" s="754">
        <f t="shared" si="35"/>
        <v>0</v>
      </c>
      <c r="N323" s="756">
        <v>0</v>
      </c>
      <c r="O323" s="720">
        <f t="shared" si="36"/>
        <v>0</v>
      </c>
      <c r="Q323" s="252"/>
      <c r="R323" s="252"/>
      <c r="S323" s="252"/>
    </row>
    <row r="324" spans="1:19" outlineLevel="2" x14ac:dyDescent="0.25">
      <c r="A324" s="207" t="str">
        <f>VLOOKUP(RIGHT(E324,3)+0,SchLocTable!$A$2:$B$47,2,FALSE)</f>
        <v>Park City Magnet</v>
      </c>
      <c r="B324" s="207" t="str">
        <f>VLOOKUP(VALUE(D324),$D$3:F$106,3,FALSE)</f>
        <v>Elementary Classroom</v>
      </c>
      <c r="C324" s="751" t="s">
        <v>246</v>
      </c>
      <c r="D324" s="751" t="s">
        <v>291</v>
      </c>
      <c r="E324" s="751" t="s">
        <v>305</v>
      </c>
      <c r="F324" s="751" t="s">
        <v>259</v>
      </c>
      <c r="G324" s="752" t="s">
        <v>1681</v>
      </c>
      <c r="H324" s="753">
        <v>52917</v>
      </c>
      <c r="I324" s="754">
        <v>112247.94</v>
      </c>
      <c r="J324" s="754">
        <v>0</v>
      </c>
      <c r="K324" s="754">
        <v>0</v>
      </c>
      <c r="L324" s="754">
        <v>26725.7</v>
      </c>
      <c r="M324" s="754">
        <f t="shared" si="35"/>
        <v>26725.7</v>
      </c>
      <c r="N324" s="756">
        <v>112247.94</v>
      </c>
      <c r="O324" s="720">
        <f t="shared" si="36"/>
        <v>0</v>
      </c>
      <c r="Q324" s="252"/>
      <c r="R324" s="252"/>
      <c r="S324" s="252"/>
    </row>
    <row r="325" spans="1:19" outlineLevel="2" x14ac:dyDescent="0.25">
      <c r="A325" s="207" t="str">
        <f>VLOOKUP(RIGHT(E325,3)+0,SchLocTable!$A$2:$B$47,2,FALSE)</f>
        <v>Madison</v>
      </c>
      <c r="B325" s="207" t="str">
        <f>VLOOKUP(VALUE(D325),$D$3:F$106,3,FALSE)</f>
        <v>Elementary Classroom</v>
      </c>
      <c r="C325" s="751" t="s">
        <v>246</v>
      </c>
      <c r="D325" s="751" t="s">
        <v>291</v>
      </c>
      <c r="E325" s="751" t="s">
        <v>306</v>
      </c>
      <c r="F325" s="751" t="s">
        <v>248</v>
      </c>
      <c r="G325" s="752">
        <v>15</v>
      </c>
      <c r="H325" s="753">
        <v>51000</v>
      </c>
      <c r="I325" s="754">
        <v>1332990.4099999999</v>
      </c>
      <c r="J325" s="754">
        <v>0</v>
      </c>
      <c r="K325" s="754">
        <v>0</v>
      </c>
      <c r="L325" s="754">
        <v>260142.9</v>
      </c>
      <c r="M325" s="754">
        <f t="shared" si="35"/>
        <v>260142.9</v>
      </c>
      <c r="N325" s="756">
        <v>1332990.4099999999</v>
      </c>
      <c r="O325" s="720">
        <f t="shared" si="36"/>
        <v>0</v>
      </c>
      <c r="Q325" s="252"/>
      <c r="R325" s="252"/>
      <c r="S325" s="252"/>
    </row>
    <row r="326" spans="1:19" outlineLevel="2" x14ac:dyDescent="0.25">
      <c r="A326" s="207" t="str">
        <f>VLOOKUP(RIGHT(E326,3)+0,SchLocTable!$A$2:$B$47,2,FALSE)</f>
        <v>Madison</v>
      </c>
      <c r="B326" s="207" t="str">
        <f>VLOOKUP(VALUE(D326),$D$3:F$106,3,FALSE)</f>
        <v>Elementary Classroom</v>
      </c>
      <c r="C326" s="751" t="s">
        <v>246</v>
      </c>
      <c r="D326" s="751" t="s">
        <v>291</v>
      </c>
      <c r="E326" s="751" t="s">
        <v>306</v>
      </c>
      <c r="F326" s="751" t="s">
        <v>257</v>
      </c>
      <c r="G326" s="752" t="s">
        <v>1681</v>
      </c>
      <c r="H326" s="753">
        <v>51140</v>
      </c>
      <c r="I326" s="754">
        <v>16500</v>
      </c>
      <c r="J326" s="754">
        <v>0</v>
      </c>
      <c r="K326" s="754">
        <v>0</v>
      </c>
      <c r="L326" s="754">
        <v>0</v>
      </c>
      <c r="M326" s="754">
        <f t="shared" si="35"/>
        <v>0</v>
      </c>
      <c r="N326" s="756">
        <v>16500</v>
      </c>
      <c r="O326" s="720">
        <f t="shared" si="36"/>
        <v>0</v>
      </c>
      <c r="Q326" s="252"/>
      <c r="R326" s="252"/>
      <c r="S326" s="252"/>
    </row>
    <row r="327" spans="1:19" outlineLevel="2" x14ac:dyDescent="0.25">
      <c r="A327" s="207" t="str">
        <f>VLOOKUP(RIGHT(E327,3)+0,SchLocTable!$A$2:$B$47,2,FALSE)</f>
        <v>Madison</v>
      </c>
      <c r="B327" s="207" t="str">
        <f>VLOOKUP(VALUE(D327),$D$3:F$106,3,FALSE)</f>
        <v>Elementary Classroom</v>
      </c>
      <c r="C327" s="751" t="s">
        <v>246</v>
      </c>
      <c r="D327" s="751" t="s">
        <v>291</v>
      </c>
      <c r="E327" s="751" t="s">
        <v>306</v>
      </c>
      <c r="F327" s="751" t="s">
        <v>252</v>
      </c>
      <c r="G327" s="752" t="s">
        <v>1681</v>
      </c>
      <c r="H327" s="753">
        <v>51154</v>
      </c>
      <c r="I327" s="754">
        <v>0</v>
      </c>
      <c r="J327" s="754">
        <v>0</v>
      </c>
      <c r="K327" s="754">
        <v>0</v>
      </c>
      <c r="L327" s="754">
        <v>0</v>
      </c>
      <c r="M327" s="754">
        <f t="shared" si="35"/>
        <v>0</v>
      </c>
      <c r="N327" s="756">
        <v>0</v>
      </c>
      <c r="O327" s="720">
        <f t="shared" si="36"/>
        <v>0</v>
      </c>
      <c r="Q327" s="252"/>
      <c r="R327" s="252"/>
      <c r="S327" s="252"/>
    </row>
    <row r="328" spans="1:19" outlineLevel="2" x14ac:dyDescent="0.25">
      <c r="A328" s="207" t="str">
        <f>VLOOKUP(RIGHT(E328,3)+0,SchLocTable!$A$2:$B$47,2,FALSE)</f>
        <v>Madison</v>
      </c>
      <c r="B328" s="207" t="str">
        <f>VLOOKUP(VALUE(D328),$D$3:F$106,3,FALSE)</f>
        <v>Elementary Classroom</v>
      </c>
      <c r="C328" s="751" t="s">
        <v>246</v>
      </c>
      <c r="D328" s="751" t="s">
        <v>291</v>
      </c>
      <c r="E328" s="751" t="s">
        <v>306</v>
      </c>
      <c r="F328" s="751" t="s">
        <v>254</v>
      </c>
      <c r="G328" s="752" t="s">
        <v>1681</v>
      </c>
      <c r="H328" s="753">
        <v>52360</v>
      </c>
      <c r="I328" s="754">
        <v>18919.259999999998</v>
      </c>
      <c r="J328" s="754">
        <v>0</v>
      </c>
      <c r="K328" s="754">
        <v>0</v>
      </c>
      <c r="L328" s="754">
        <v>3362.97</v>
      </c>
      <c r="M328" s="754">
        <f t="shared" si="35"/>
        <v>3362.97</v>
      </c>
      <c r="N328" s="756">
        <v>18919.259999999998</v>
      </c>
      <c r="O328" s="720">
        <f t="shared" si="36"/>
        <v>0</v>
      </c>
      <c r="Q328" s="252"/>
      <c r="R328" s="252"/>
      <c r="S328" s="252"/>
    </row>
    <row r="329" spans="1:19" outlineLevel="2" x14ac:dyDescent="0.25">
      <c r="A329" s="207" t="str">
        <f>VLOOKUP(RIGHT(E329,3)+0,SchLocTable!$A$2:$B$47,2,FALSE)</f>
        <v>Madison</v>
      </c>
      <c r="B329" s="207" t="str">
        <f>VLOOKUP(VALUE(D329),$D$3:F$106,3,FALSE)</f>
        <v>Elementary Classroom</v>
      </c>
      <c r="C329" s="751" t="s">
        <v>246</v>
      </c>
      <c r="D329" s="751" t="s">
        <v>291</v>
      </c>
      <c r="E329" s="751" t="s">
        <v>306</v>
      </c>
      <c r="F329" s="751" t="s">
        <v>259</v>
      </c>
      <c r="G329" s="752" t="s">
        <v>1681</v>
      </c>
      <c r="H329" s="753">
        <v>52917</v>
      </c>
      <c r="I329" s="754">
        <v>384554.1</v>
      </c>
      <c r="J329" s="754">
        <v>0</v>
      </c>
      <c r="K329" s="754">
        <v>0</v>
      </c>
      <c r="L329" s="754">
        <v>91560.5</v>
      </c>
      <c r="M329" s="754">
        <f t="shared" si="35"/>
        <v>91560.5</v>
      </c>
      <c r="N329" s="756">
        <v>384554.1</v>
      </c>
      <c r="O329" s="720">
        <f t="shared" si="36"/>
        <v>0</v>
      </c>
      <c r="Q329" s="252"/>
      <c r="R329" s="252"/>
      <c r="S329" s="252"/>
    </row>
    <row r="330" spans="1:19" outlineLevel="2" x14ac:dyDescent="0.25">
      <c r="A330" s="207" t="str">
        <f>VLOOKUP(RIGHT(E330,3)+0,SchLocTable!$A$2:$B$47,2,FALSE)</f>
        <v>Classical Studies Academy</v>
      </c>
      <c r="B330" s="207" t="str">
        <f>VLOOKUP(VALUE(D330),$D$3:F$106,3,FALSE)</f>
        <v>Elementary Classroom</v>
      </c>
      <c r="C330" s="751" t="s">
        <v>246</v>
      </c>
      <c r="D330" s="751" t="s">
        <v>291</v>
      </c>
      <c r="E330" s="751" t="s">
        <v>307</v>
      </c>
      <c r="F330" s="751" t="s">
        <v>248</v>
      </c>
      <c r="G330" s="752">
        <v>11</v>
      </c>
      <c r="H330" s="753">
        <v>51000</v>
      </c>
      <c r="I330" s="754">
        <v>786323.94</v>
      </c>
      <c r="J330" s="754">
        <v>0</v>
      </c>
      <c r="K330" s="754">
        <v>0</v>
      </c>
      <c r="L330" s="754">
        <v>154933.54999999999</v>
      </c>
      <c r="M330" s="754">
        <f t="shared" si="35"/>
        <v>154933.54999999999</v>
      </c>
      <c r="N330" s="756">
        <v>786323.94</v>
      </c>
      <c r="O330" s="720">
        <f t="shared" si="36"/>
        <v>0</v>
      </c>
      <c r="Q330" s="252"/>
      <c r="R330" s="252"/>
      <c r="S330" s="252"/>
    </row>
    <row r="331" spans="1:19" outlineLevel="2" x14ac:dyDescent="0.25">
      <c r="A331" s="207" t="str">
        <f>VLOOKUP(RIGHT(E331,3)+0,SchLocTable!$A$2:$B$47,2,FALSE)</f>
        <v>Classical Studies Academy</v>
      </c>
      <c r="B331" s="207" t="str">
        <f>VLOOKUP(VALUE(D331),$D$3:F$106,3,FALSE)</f>
        <v>Elementary Classroom</v>
      </c>
      <c r="C331" s="751" t="s">
        <v>246</v>
      </c>
      <c r="D331" s="751" t="s">
        <v>291</v>
      </c>
      <c r="E331" s="751" t="s">
        <v>307</v>
      </c>
      <c r="F331" s="751" t="s">
        <v>257</v>
      </c>
      <c r="G331" s="752" t="s">
        <v>1681</v>
      </c>
      <c r="H331" s="753">
        <v>51140</v>
      </c>
      <c r="I331" s="754">
        <v>2100</v>
      </c>
      <c r="J331" s="754">
        <v>0</v>
      </c>
      <c r="K331" s="754">
        <v>0</v>
      </c>
      <c r="L331" s="754">
        <v>0</v>
      </c>
      <c r="M331" s="754">
        <f t="shared" si="35"/>
        <v>0</v>
      </c>
      <c r="N331" s="756">
        <v>2100</v>
      </c>
      <c r="O331" s="720">
        <f t="shared" si="36"/>
        <v>0</v>
      </c>
      <c r="Q331" s="252"/>
      <c r="R331" s="252"/>
      <c r="S331" s="252"/>
    </row>
    <row r="332" spans="1:19" outlineLevel="2" x14ac:dyDescent="0.25">
      <c r="A332" s="207" t="str">
        <f>VLOOKUP(RIGHT(E332,3)+0,SchLocTable!$A$2:$B$47,2,FALSE)</f>
        <v>Classical Studies Academy</v>
      </c>
      <c r="B332" s="207" t="str">
        <f>VLOOKUP(VALUE(D332),$D$3:F$106,3,FALSE)</f>
        <v>Elementary Classroom</v>
      </c>
      <c r="C332" s="751" t="s">
        <v>246</v>
      </c>
      <c r="D332" s="751" t="s">
        <v>291</v>
      </c>
      <c r="E332" s="751" t="s">
        <v>307</v>
      </c>
      <c r="F332" s="751" t="s">
        <v>254</v>
      </c>
      <c r="G332" s="752" t="s">
        <v>1681</v>
      </c>
      <c r="H332" s="753">
        <v>52360</v>
      </c>
      <c r="I332" s="754">
        <v>11291.78</v>
      </c>
      <c r="J332" s="754">
        <v>0</v>
      </c>
      <c r="K332" s="754">
        <v>0</v>
      </c>
      <c r="L332" s="754">
        <v>2136.62</v>
      </c>
      <c r="M332" s="754">
        <f t="shared" si="35"/>
        <v>2136.62</v>
      </c>
      <c r="N332" s="756">
        <v>11291.78</v>
      </c>
      <c r="O332" s="720">
        <f t="shared" si="36"/>
        <v>0</v>
      </c>
      <c r="Q332" s="252"/>
      <c r="R332" s="252"/>
      <c r="S332" s="252"/>
    </row>
    <row r="333" spans="1:19" outlineLevel="2" x14ac:dyDescent="0.25">
      <c r="A333" s="207" t="str">
        <f>VLOOKUP(RIGHT(E333,3)+0,SchLocTable!$A$2:$B$47,2,FALSE)</f>
        <v>Classical Studies Academy</v>
      </c>
      <c r="B333" s="207" t="str">
        <f>VLOOKUP(VALUE(D333),$D$3:F$106,3,FALSE)</f>
        <v>Elementary Classroom</v>
      </c>
      <c r="C333" s="751" t="s">
        <v>246</v>
      </c>
      <c r="D333" s="751" t="s">
        <v>291</v>
      </c>
      <c r="E333" s="751" t="s">
        <v>307</v>
      </c>
      <c r="F333" s="751" t="s">
        <v>292</v>
      </c>
      <c r="G333" s="752" t="s">
        <v>1681</v>
      </c>
      <c r="H333" s="753">
        <v>52385</v>
      </c>
      <c r="I333" s="754">
        <v>217</v>
      </c>
      <c r="J333" s="754">
        <v>0</v>
      </c>
      <c r="K333" s="754">
        <v>0</v>
      </c>
      <c r="L333" s="754">
        <v>217</v>
      </c>
      <c r="M333" s="754">
        <f t="shared" si="35"/>
        <v>217</v>
      </c>
      <c r="N333" s="756">
        <v>217</v>
      </c>
      <c r="O333" s="720">
        <f t="shared" si="36"/>
        <v>0</v>
      </c>
      <c r="Q333" s="252"/>
      <c r="R333" s="252"/>
      <c r="S333" s="252"/>
    </row>
    <row r="334" spans="1:19" outlineLevel="2" x14ac:dyDescent="0.25">
      <c r="A334" s="207" t="str">
        <f>VLOOKUP(RIGHT(E334,3)+0,SchLocTable!$A$2:$B$47,2,FALSE)</f>
        <v>Classical Studies Academy</v>
      </c>
      <c r="B334" s="207" t="str">
        <f>VLOOKUP(VALUE(D334),$D$3:F$106,3,FALSE)</f>
        <v>Elementary Classroom</v>
      </c>
      <c r="C334" s="751" t="s">
        <v>246</v>
      </c>
      <c r="D334" s="751" t="s">
        <v>291</v>
      </c>
      <c r="E334" s="751" t="s">
        <v>307</v>
      </c>
      <c r="F334" s="751" t="s">
        <v>259</v>
      </c>
      <c r="G334" s="752" t="s">
        <v>1681</v>
      </c>
      <c r="H334" s="753">
        <v>52917</v>
      </c>
      <c r="I334" s="754">
        <v>105650.16</v>
      </c>
      <c r="J334" s="754">
        <v>0</v>
      </c>
      <c r="K334" s="754">
        <v>0</v>
      </c>
      <c r="L334" s="754">
        <v>25154.799999999999</v>
      </c>
      <c r="M334" s="754">
        <f t="shared" si="35"/>
        <v>25154.799999999999</v>
      </c>
      <c r="N334" s="756">
        <v>105650.16</v>
      </c>
      <c r="O334" s="720">
        <f t="shared" si="36"/>
        <v>0</v>
      </c>
      <c r="Q334" s="252"/>
      <c r="R334" s="252"/>
      <c r="S334" s="252"/>
    </row>
    <row r="335" spans="1:19" outlineLevel="2" x14ac:dyDescent="0.25">
      <c r="A335" s="207" t="str">
        <f>VLOOKUP(RIGHT(E335,3)+0,SchLocTable!$A$2:$B$47,2,FALSE)</f>
        <v>Tisdale</v>
      </c>
      <c r="B335" s="207" t="str">
        <f>VLOOKUP(VALUE(D335),$D$3:F$106,3,FALSE)</f>
        <v>Elementary Classroom</v>
      </c>
      <c r="C335" s="751" t="s">
        <v>246</v>
      </c>
      <c r="D335" s="751" t="s">
        <v>291</v>
      </c>
      <c r="E335" s="751" t="s">
        <v>308</v>
      </c>
      <c r="F335" s="751" t="s">
        <v>248</v>
      </c>
      <c r="G335" s="752">
        <v>13</v>
      </c>
      <c r="H335" s="753">
        <v>51000</v>
      </c>
      <c r="I335" s="754">
        <v>1186864.2</v>
      </c>
      <c r="J335" s="754">
        <v>0</v>
      </c>
      <c r="K335" s="754">
        <v>0</v>
      </c>
      <c r="L335" s="754">
        <v>234603.85</v>
      </c>
      <c r="M335" s="754">
        <f t="shared" si="35"/>
        <v>234603.85</v>
      </c>
      <c r="N335" s="756">
        <v>1186864.2</v>
      </c>
      <c r="O335" s="720">
        <f t="shared" si="36"/>
        <v>0</v>
      </c>
      <c r="Q335" s="252"/>
      <c r="R335" s="252"/>
      <c r="S335" s="252"/>
    </row>
    <row r="336" spans="1:19" outlineLevel="2" x14ac:dyDescent="0.25">
      <c r="A336" s="207" t="str">
        <f>VLOOKUP(RIGHT(E336,3)+0,SchLocTable!$A$2:$B$47,2,FALSE)</f>
        <v>Tisdale</v>
      </c>
      <c r="B336" s="207" t="str">
        <f>VLOOKUP(VALUE(D336),$D$3:F$106,3,FALSE)</f>
        <v>Elementary Classroom</v>
      </c>
      <c r="C336" s="751" t="s">
        <v>246</v>
      </c>
      <c r="D336" s="751" t="s">
        <v>291</v>
      </c>
      <c r="E336" s="751" t="s">
        <v>308</v>
      </c>
      <c r="F336" s="751" t="s">
        <v>257</v>
      </c>
      <c r="G336" s="752" t="s">
        <v>1681</v>
      </c>
      <c r="H336" s="753">
        <v>51140</v>
      </c>
      <c r="I336" s="754">
        <v>10900</v>
      </c>
      <c r="J336" s="754">
        <v>0</v>
      </c>
      <c r="K336" s="754">
        <v>0</v>
      </c>
      <c r="L336" s="754">
        <v>0</v>
      </c>
      <c r="M336" s="754">
        <f t="shared" si="35"/>
        <v>0</v>
      </c>
      <c r="N336" s="756">
        <v>10900</v>
      </c>
      <c r="O336" s="720">
        <f t="shared" si="36"/>
        <v>0</v>
      </c>
      <c r="Q336" s="252"/>
      <c r="R336" s="252"/>
      <c r="S336" s="252"/>
    </row>
    <row r="337" spans="1:19" outlineLevel="2" x14ac:dyDescent="0.25">
      <c r="A337" s="207" t="str">
        <f>VLOOKUP(RIGHT(E337,3)+0,SchLocTable!$A$2:$B$47,2,FALSE)</f>
        <v>Tisdale</v>
      </c>
      <c r="B337" s="207" t="str">
        <f>VLOOKUP(VALUE(D337),$D$3:F$106,3,FALSE)</f>
        <v>Elementary Classroom</v>
      </c>
      <c r="C337" s="751" t="s">
        <v>246</v>
      </c>
      <c r="D337" s="751" t="s">
        <v>291</v>
      </c>
      <c r="E337" s="751" t="s">
        <v>308</v>
      </c>
      <c r="F337" s="751" t="s">
        <v>252</v>
      </c>
      <c r="G337" s="752" t="s">
        <v>1681</v>
      </c>
      <c r="H337" s="753">
        <v>51154</v>
      </c>
      <c r="I337" s="754">
        <v>0</v>
      </c>
      <c r="J337" s="754">
        <v>0</v>
      </c>
      <c r="K337" s="754">
        <v>0</v>
      </c>
      <c r="L337" s="754">
        <v>0</v>
      </c>
      <c r="M337" s="754">
        <f t="shared" si="35"/>
        <v>0</v>
      </c>
      <c r="N337" s="756">
        <v>0</v>
      </c>
      <c r="O337" s="720">
        <f t="shared" si="36"/>
        <v>0</v>
      </c>
      <c r="Q337" s="252"/>
      <c r="R337" s="252"/>
      <c r="S337" s="252"/>
    </row>
    <row r="338" spans="1:19" outlineLevel="2" x14ac:dyDescent="0.25">
      <c r="A338" s="207" t="str">
        <f>VLOOKUP(RIGHT(E338,3)+0,SchLocTable!$A$2:$B$47,2,FALSE)</f>
        <v>Tisdale</v>
      </c>
      <c r="B338" s="207" t="str">
        <f>VLOOKUP(VALUE(D338),$D$3:F$106,3,FALSE)</f>
        <v>Elementary Classroom</v>
      </c>
      <c r="C338" s="751" t="s">
        <v>246</v>
      </c>
      <c r="D338" s="751" t="s">
        <v>291</v>
      </c>
      <c r="E338" s="751" t="s">
        <v>308</v>
      </c>
      <c r="F338" s="751" t="s">
        <v>254</v>
      </c>
      <c r="G338" s="752" t="s">
        <v>1681</v>
      </c>
      <c r="H338" s="753">
        <v>52360</v>
      </c>
      <c r="I338" s="754">
        <v>16891.88</v>
      </c>
      <c r="J338" s="754">
        <v>0</v>
      </c>
      <c r="K338" s="754">
        <v>0</v>
      </c>
      <c r="L338" s="754">
        <v>3084.1</v>
      </c>
      <c r="M338" s="754">
        <f t="shared" si="35"/>
        <v>3084.1</v>
      </c>
      <c r="N338" s="756">
        <v>16891.88</v>
      </c>
      <c r="O338" s="720">
        <f t="shared" si="36"/>
        <v>0</v>
      </c>
      <c r="Q338" s="252"/>
      <c r="R338" s="252"/>
      <c r="S338" s="252"/>
    </row>
    <row r="339" spans="1:19" outlineLevel="2" x14ac:dyDescent="0.25">
      <c r="A339" s="207" t="str">
        <f>VLOOKUP(RIGHT(E339,3)+0,SchLocTable!$A$2:$B$47,2,FALSE)</f>
        <v>Tisdale</v>
      </c>
      <c r="B339" s="207" t="str">
        <f>VLOOKUP(VALUE(D339),$D$3:F$106,3,FALSE)</f>
        <v>Elementary Classroom</v>
      </c>
      <c r="C339" s="751" t="s">
        <v>246</v>
      </c>
      <c r="D339" s="751" t="s">
        <v>291</v>
      </c>
      <c r="E339" s="751" t="s">
        <v>308</v>
      </c>
      <c r="F339" s="751" t="s">
        <v>259</v>
      </c>
      <c r="G339" s="752" t="s">
        <v>1681</v>
      </c>
      <c r="H339" s="753">
        <v>52917</v>
      </c>
      <c r="I339" s="754">
        <v>290237.64</v>
      </c>
      <c r="J339" s="754">
        <v>0</v>
      </c>
      <c r="K339" s="754">
        <v>0</v>
      </c>
      <c r="L339" s="754">
        <v>69104.2</v>
      </c>
      <c r="M339" s="754">
        <f t="shared" si="35"/>
        <v>69104.2</v>
      </c>
      <c r="N339" s="756">
        <v>290237.64</v>
      </c>
      <c r="O339" s="720">
        <f t="shared" si="36"/>
        <v>0</v>
      </c>
      <c r="Q339" s="252"/>
      <c r="R339" s="252"/>
      <c r="S339" s="252"/>
    </row>
    <row r="340" spans="1:19" outlineLevel="2" x14ac:dyDescent="0.25">
      <c r="A340" s="207" t="str">
        <f>VLOOKUP(RIGHT(E340,3)+0,SchLocTable!$A$2:$B$47,2,FALSE)</f>
        <v>Read</v>
      </c>
      <c r="B340" s="207" t="str">
        <f>VLOOKUP(VALUE(D340),$D$3:F$106,3,FALSE)</f>
        <v>Elementary Classroom</v>
      </c>
      <c r="C340" s="751" t="s">
        <v>246</v>
      </c>
      <c r="D340" s="751" t="s">
        <v>291</v>
      </c>
      <c r="E340" s="751" t="s">
        <v>309</v>
      </c>
      <c r="F340" s="751" t="s">
        <v>248</v>
      </c>
      <c r="G340" s="752">
        <v>21</v>
      </c>
      <c r="H340" s="753">
        <v>51000</v>
      </c>
      <c r="I340" s="754">
        <v>1642640.38</v>
      </c>
      <c r="J340" s="754">
        <v>0</v>
      </c>
      <c r="K340" s="754">
        <v>0</v>
      </c>
      <c r="L340" s="754">
        <v>321701.31</v>
      </c>
      <c r="M340" s="754">
        <f t="shared" si="35"/>
        <v>321701.31</v>
      </c>
      <c r="N340" s="756">
        <v>1642640.38</v>
      </c>
      <c r="O340" s="720">
        <f t="shared" si="36"/>
        <v>0</v>
      </c>
      <c r="Q340" s="252"/>
      <c r="R340" s="252"/>
      <c r="S340" s="252"/>
    </row>
    <row r="341" spans="1:19" outlineLevel="2" x14ac:dyDescent="0.25">
      <c r="A341" s="207" t="str">
        <f>VLOOKUP(RIGHT(E341,3)+0,SchLocTable!$A$2:$B$47,2,FALSE)</f>
        <v>Read</v>
      </c>
      <c r="B341" s="207" t="str">
        <f>VLOOKUP(VALUE(D341),$D$3:F$106,3,FALSE)</f>
        <v>Elementary Classroom</v>
      </c>
      <c r="C341" s="751" t="s">
        <v>246</v>
      </c>
      <c r="D341" s="751" t="s">
        <v>291</v>
      </c>
      <c r="E341" s="751" t="s">
        <v>309</v>
      </c>
      <c r="F341" s="751" t="s">
        <v>257</v>
      </c>
      <c r="G341" s="752" t="s">
        <v>1681</v>
      </c>
      <c r="H341" s="753">
        <v>51140</v>
      </c>
      <c r="I341" s="754">
        <v>9300</v>
      </c>
      <c r="J341" s="754">
        <v>0</v>
      </c>
      <c r="K341" s="754">
        <v>0</v>
      </c>
      <c r="L341" s="754">
        <v>0</v>
      </c>
      <c r="M341" s="754">
        <f t="shared" si="35"/>
        <v>0</v>
      </c>
      <c r="N341" s="756">
        <v>9300</v>
      </c>
      <c r="O341" s="720">
        <f t="shared" si="36"/>
        <v>0</v>
      </c>
      <c r="Q341" s="252"/>
      <c r="R341" s="252"/>
      <c r="S341" s="252"/>
    </row>
    <row r="342" spans="1:19" outlineLevel="2" x14ac:dyDescent="0.25">
      <c r="A342" s="207" t="str">
        <f>VLOOKUP(RIGHT(E342,3)+0,SchLocTable!$A$2:$B$47,2,FALSE)</f>
        <v>Read</v>
      </c>
      <c r="B342" s="207" t="str">
        <f>VLOOKUP(VALUE(D342),$D$3:F$106,3,FALSE)</f>
        <v>Elementary Classroom</v>
      </c>
      <c r="C342" s="755" t="s">
        <v>246</v>
      </c>
      <c r="D342" s="751" t="s">
        <v>291</v>
      </c>
      <c r="E342" s="751" t="s">
        <v>309</v>
      </c>
      <c r="F342" s="751" t="s">
        <v>254</v>
      </c>
      <c r="G342" s="752" t="s">
        <v>1681</v>
      </c>
      <c r="H342" s="753">
        <v>52360</v>
      </c>
      <c r="I342" s="754">
        <v>23429.88</v>
      </c>
      <c r="J342" s="754">
        <v>0</v>
      </c>
      <c r="K342" s="754">
        <v>0</v>
      </c>
      <c r="L342" s="754">
        <v>4276.26</v>
      </c>
      <c r="M342" s="754">
        <f t="shared" si="35"/>
        <v>4276.26</v>
      </c>
      <c r="N342" s="756">
        <v>23429.88</v>
      </c>
      <c r="O342" s="720">
        <f t="shared" si="36"/>
        <v>0</v>
      </c>
      <c r="Q342" s="252"/>
      <c r="R342" s="252"/>
      <c r="S342" s="252"/>
    </row>
    <row r="343" spans="1:19" outlineLevel="2" x14ac:dyDescent="0.25">
      <c r="A343" s="207" t="str">
        <f>VLOOKUP(RIGHT(E343,3)+0,SchLocTable!$A$2:$B$47,2,FALSE)</f>
        <v>Read</v>
      </c>
      <c r="B343" s="207" t="str">
        <f>VLOOKUP(VALUE(D343),$D$3:F$106,3,FALSE)</f>
        <v>Elementary Classroom</v>
      </c>
      <c r="C343" s="751" t="s">
        <v>246</v>
      </c>
      <c r="D343" s="751" t="s">
        <v>291</v>
      </c>
      <c r="E343" s="751" t="s">
        <v>309</v>
      </c>
      <c r="F343" s="751" t="s">
        <v>292</v>
      </c>
      <c r="G343" s="752" t="s">
        <v>1681</v>
      </c>
      <c r="H343" s="753">
        <v>52385</v>
      </c>
      <c r="I343" s="754">
        <v>0</v>
      </c>
      <c r="J343" s="754">
        <v>0</v>
      </c>
      <c r="K343" s="754">
        <v>0</v>
      </c>
      <c r="L343" s="754">
        <v>0</v>
      </c>
      <c r="M343" s="754">
        <f t="shared" si="35"/>
        <v>0</v>
      </c>
      <c r="N343" s="756">
        <v>0</v>
      </c>
      <c r="O343" s="720">
        <f t="shared" si="36"/>
        <v>0</v>
      </c>
      <c r="Q343" s="252"/>
      <c r="R343" s="252"/>
      <c r="S343" s="252"/>
    </row>
    <row r="344" spans="1:19" outlineLevel="2" x14ac:dyDescent="0.25">
      <c r="A344" s="207" t="str">
        <f>VLOOKUP(RIGHT(E344,3)+0,SchLocTable!$A$2:$B$47,2,FALSE)</f>
        <v>Read</v>
      </c>
      <c r="B344" s="207" t="str">
        <f>VLOOKUP(VALUE(D344),$D$3:F$106,3,FALSE)</f>
        <v>Elementary Classroom</v>
      </c>
      <c r="C344" s="755" t="s">
        <v>246</v>
      </c>
      <c r="D344" s="751" t="s">
        <v>291</v>
      </c>
      <c r="E344" s="751" t="s">
        <v>309</v>
      </c>
      <c r="F344" s="751" t="s">
        <v>259</v>
      </c>
      <c r="G344" s="752" t="s">
        <v>1681</v>
      </c>
      <c r="H344" s="753">
        <v>52917</v>
      </c>
      <c r="I344" s="754">
        <v>378395.64</v>
      </c>
      <c r="J344" s="754">
        <v>0</v>
      </c>
      <c r="K344" s="754">
        <v>0</v>
      </c>
      <c r="L344" s="754">
        <v>90094.2</v>
      </c>
      <c r="M344" s="754">
        <f t="shared" si="35"/>
        <v>90094.2</v>
      </c>
      <c r="N344" s="756">
        <v>378395.64</v>
      </c>
      <c r="O344" s="720">
        <f t="shared" si="36"/>
        <v>0</v>
      </c>
      <c r="Q344" s="252"/>
      <c r="R344" s="252"/>
      <c r="S344" s="252"/>
    </row>
    <row r="345" spans="1:19" outlineLevel="2" x14ac:dyDescent="0.25">
      <c r="A345" s="207" t="str">
        <f>VLOOKUP(RIGHT(E345,3)+0,SchLocTable!$A$2:$B$47,2,FALSE)</f>
        <v>Roosevelt</v>
      </c>
      <c r="B345" s="207" t="str">
        <f>VLOOKUP(VALUE(D345),$D$3:F$106,3,FALSE)</f>
        <v>Elementary Classroom</v>
      </c>
      <c r="C345" s="751" t="s">
        <v>246</v>
      </c>
      <c r="D345" s="751" t="s">
        <v>291</v>
      </c>
      <c r="E345" s="751" t="s">
        <v>310</v>
      </c>
      <c r="F345" s="751" t="s">
        <v>248</v>
      </c>
      <c r="G345" s="752">
        <v>13</v>
      </c>
      <c r="H345" s="753">
        <v>51000</v>
      </c>
      <c r="I345" s="754">
        <v>1008579.95</v>
      </c>
      <c r="J345" s="754">
        <v>0</v>
      </c>
      <c r="K345" s="754">
        <v>0</v>
      </c>
      <c r="L345" s="754">
        <v>193214.55</v>
      </c>
      <c r="M345" s="754">
        <f t="shared" si="35"/>
        <v>193214.55</v>
      </c>
      <c r="N345" s="756">
        <v>1008579.95</v>
      </c>
      <c r="O345" s="720">
        <f t="shared" si="36"/>
        <v>0</v>
      </c>
      <c r="Q345" s="252"/>
      <c r="R345" s="252"/>
      <c r="S345" s="252"/>
    </row>
    <row r="346" spans="1:19" outlineLevel="2" x14ac:dyDescent="0.25">
      <c r="A346" s="207" t="str">
        <f>VLOOKUP(RIGHT(E346,3)+0,SchLocTable!$A$2:$B$47,2,FALSE)</f>
        <v>Roosevelt</v>
      </c>
      <c r="B346" s="207" t="str">
        <f>VLOOKUP(VALUE(D346),$D$3:F$106,3,FALSE)</f>
        <v>Elementary Classroom</v>
      </c>
      <c r="C346" s="751" t="s">
        <v>246</v>
      </c>
      <c r="D346" s="751" t="s">
        <v>291</v>
      </c>
      <c r="E346" s="751" t="s">
        <v>310</v>
      </c>
      <c r="F346" s="751" t="s">
        <v>257</v>
      </c>
      <c r="G346" s="752" t="s">
        <v>1681</v>
      </c>
      <c r="H346" s="753">
        <v>51140</v>
      </c>
      <c r="I346" s="754">
        <v>8800</v>
      </c>
      <c r="J346" s="754">
        <v>0</v>
      </c>
      <c r="K346" s="754">
        <v>0</v>
      </c>
      <c r="L346" s="754">
        <v>0</v>
      </c>
      <c r="M346" s="754">
        <f t="shared" si="35"/>
        <v>0</v>
      </c>
      <c r="N346" s="756">
        <v>8800</v>
      </c>
      <c r="O346" s="720">
        <f t="shared" si="36"/>
        <v>0</v>
      </c>
      <c r="Q346" s="252"/>
      <c r="R346" s="252"/>
      <c r="S346" s="252"/>
    </row>
    <row r="347" spans="1:19" outlineLevel="2" x14ac:dyDescent="0.25">
      <c r="A347" s="207" t="str">
        <f>VLOOKUP(RIGHT(E347,3)+0,SchLocTable!$A$2:$B$47,2,FALSE)</f>
        <v>Roosevelt</v>
      </c>
      <c r="B347" s="207" t="str">
        <f>VLOOKUP(VALUE(D347),$D$3:F$106,3,FALSE)</f>
        <v>Elementary Classroom</v>
      </c>
      <c r="C347" s="751" t="s">
        <v>246</v>
      </c>
      <c r="D347" s="751" t="s">
        <v>291</v>
      </c>
      <c r="E347" s="751" t="s">
        <v>310</v>
      </c>
      <c r="F347" s="751" t="s">
        <v>252</v>
      </c>
      <c r="G347" s="752" t="s">
        <v>1681</v>
      </c>
      <c r="H347" s="753">
        <v>51154</v>
      </c>
      <c r="I347" s="754">
        <v>0</v>
      </c>
      <c r="J347" s="754">
        <v>0</v>
      </c>
      <c r="K347" s="754">
        <v>0</v>
      </c>
      <c r="L347" s="754">
        <v>0</v>
      </c>
      <c r="M347" s="754">
        <f t="shared" si="35"/>
        <v>0</v>
      </c>
      <c r="N347" s="756">
        <v>0</v>
      </c>
      <c r="O347" s="720">
        <f t="shared" si="36"/>
        <v>0</v>
      </c>
      <c r="Q347" s="252"/>
      <c r="R347" s="252"/>
      <c r="S347" s="252"/>
    </row>
    <row r="348" spans="1:19" outlineLevel="2" x14ac:dyDescent="0.25">
      <c r="A348" s="207" t="str">
        <f>VLOOKUP(RIGHT(E348,3)+0,SchLocTable!$A$2:$B$47,2,FALSE)</f>
        <v>Roosevelt</v>
      </c>
      <c r="B348" s="207" t="str">
        <f>VLOOKUP(VALUE(D348),$D$3:F$106,3,FALSE)</f>
        <v>Elementary Classroom</v>
      </c>
      <c r="C348" s="751" t="s">
        <v>246</v>
      </c>
      <c r="D348" s="751" t="s">
        <v>291</v>
      </c>
      <c r="E348" s="751" t="s">
        <v>310</v>
      </c>
      <c r="F348" s="751" t="s">
        <v>254</v>
      </c>
      <c r="G348" s="752" t="s">
        <v>1681</v>
      </c>
      <c r="H348" s="753">
        <v>52360</v>
      </c>
      <c r="I348" s="754">
        <v>14456.02</v>
      </c>
      <c r="J348" s="754">
        <v>0</v>
      </c>
      <c r="K348" s="754">
        <v>0</v>
      </c>
      <c r="L348" s="754">
        <v>2633.22</v>
      </c>
      <c r="M348" s="754">
        <f t="shared" si="35"/>
        <v>2633.22</v>
      </c>
      <c r="N348" s="756">
        <v>14456.02</v>
      </c>
      <c r="O348" s="720">
        <f t="shared" si="36"/>
        <v>0</v>
      </c>
      <c r="Q348" s="252"/>
      <c r="R348" s="252"/>
      <c r="S348" s="252"/>
    </row>
    <row r="349" spans="1:19" outlineLevel="2" x14ac:dyDescent="0.25">
      <c r="A349" s="207" t="str">
        <f>VLOOKUP(RIGHT(E349,3)+0,SchLocTable!$A$2:$B$47,2,FALSE)</f>
        <v>Roosevelt</v>
      </c>
      <c r="B349" s="207" t="str">
        <f>VLOOKUP(VALUE(D349),$D$3:F$106,3,FALSE)</f>
        <v>Elementary Classroom</v>
      </c>
      <c r="C349" s="751" t="s">
        <v>246</v>
      </c>
      <c r="D349" s="751" t="s">
        <v>291</v>
      </c>
      <c r="E349" s="751" t="s">
        <v>310</v>
      </c>
      <c r="F349" s="751" t="s">
        <v>259</v>
      </c>
      <c r="G349" s="752" t="s">
        <v>1681</v>
      </c>
      <c r="H349" s="753">
        <v>52917</v>
      </c>
      <c r="I349" s="754">
        <v>166125.12</v>
      </c>
      <c r="J349" s="754">
        <v>0</v>
      </c>
      <c r="K349" s="754">
        <v>0</v>
      </c>
      <c r="L349" s="754">
        <v>39553.599999999999</v>
      </c>
      <c r="M349" s="754">
        <f t="shared" si="35"/>
        <v>39553.599999999999</v>
      </c>
      <c r="N349" s="756">
        <v>166125.12</v>
      </c>
      <c r="O349" s="720">
        <f t="shared" si="36"/>
        <v>0</v>
      </c>
      <c r="Q349" s="252"/>
      <c r="R349" s="252"/>
      <c r="S349" s="252"/>
    </row>
    <row r="350" spans="1:19" outlineLevel="2" x14ac:dyDescent="0.25">
      <c r="A350" s="207" t="str">
        <f>VLOOKUP(RIGHT(E350,3)+0,SchLocTable!$A$2:$B$47,2,FALSE)</f>
        <v>Waltersville</v>
      </c>
      <c r="B350" s="207" t="str">
        <f>VLOOKUP(VALUE(D350),$D$3:F$106,3,FALSE)</f>
        <v>Elementary Classroom</v>
      </c>
      <c r="C350" s="751" t="s">
        <v>246</v>
      </c>
      <c r="D350" s="751" t="s">
        <v>291</v>
      </c>
      <c r="E350" s="751" t="s">
        <v>311</v>
      </c>
      <c r="F350" s="751" t="s">
        <v>248</v>
      </c>
      <c r="G350" s="752">
        <v>11</v>
      </c>
      <c r="H350" s="753">
        <v>51000</v>
      </c>
      <c r="I350" s="754">
        <v>851260.68</v>
      </c>
      <c r="J350" s="754">
        <v>0</v>
      </c>
      <c r="K350" s="754">
        <v>0</v>
      </c>
      <c r="L350" s="754">
        <v>167417.20000000001</v>
      </c>
      <c r="M350" s="754">
        <f t="shared" si="35"/>
        <v>167417.20000000001</v>
      </c>
      <c r="N350" s="756">
        <v>851260.68</v>
      </c>
      <c r="O350" s="720">
        <f t="shared" si="36"/>
        <v>0</v>
      </c>
      <c r="Q350" s="252"/>
      <c r="R350" s="252"/>
      <c r="S350" s="252"/>
    </row>
    <row r="351" spans="1:19" outlineLevel="2" x14ac:dyDescent="0.25">
      <c r="A351" s="207" t="str">
        <f>VLOOKUP(RIGHT(E351,3)+0,SchLocTable!$A$2:$B$47,2,FALSE)</f>
        <v>Waltersville</v>
      </c>
      <c r="B351" s="207" t="str">
        <f>VLOOKUP(VALUE(D351),$D$3:F$106,3,FALSE)</f>
        <v>Elementary Classroom</v>
      </c>
      <c r="C351" s="751" t="s">
        <v>246</v>
      </c>
      <c r="D351" s="751" t="s">
        <v>291</v>
      </c>
      <c r="E351" s="751" t="s">
        <v>311</v>
      </c>
      <c r="F351" s="751" t="s">
        <v>257</v>
      </c>
      <c r="G351" s="752" t="s">
        <v>1681</v>
      </c>
      <c r="H351" s="753">
        <v>51140</v>
      </c>
      <c r="I351" s="754">
        <v>9300</v>
      </c>
      <c r="J351" s="754">
        <v>0</v>
      </c>
      <c r="K351" s="754">
        <v>0</v>
      </c>
      <c r="L351" s="754">
        <v>0</v>
      </c>
      <c r="M351" s="754">
        <f t="shared" si="35"/>
        <v>0</v>
      </c>
      <c r="N351" s="756">
        <v>9300</v>
      </c>
      <c r="O351" s="720">
        <f t="shared" si="36"/>
        <v>0</v>
      </c>
      <c r="Q351" s="252"/>
      <c r="R351" s="252"/>
      <c r="S351" s="252"/>
    </row>
    <row r="352" spans="1:19" outlineLevel="2" x14ac:dyDescent="0.25">
      <c r="A352" s="207" t="str">
        <f>VLOOKUP(RIGHT(E352,3)+0,SchLocTable!$A$2:$B$47,2,FALSE)</f>
        <v>Waltersville</v>
      </c>
      <c r="B352" s="207" t="str">
        <f>VLOOKUP(VALUE(D352),$D$3:F$106,3,FALSE)</f>
        <v>Elementary Classroom</v>
      </c>
      <c r="C352" s="751" t="s">
        <v>246</v>
      </c>
      <c r="D352" s="751" t="s">
        <v>291</v>
      </c>
      <c r="E352" s="751" t="s">
        <v>311</v>
      </c>
      <c r="F352" s="751" t="s">
        <v>252</v>
      </c>
      <c r="G352" s="752" t="s">
        <v>1681</v>
      </c>
      <c r="H352" s="753">
        <v>51154</v>
      </c>
      <c r="I352" s="754">
        <v>0</v>
      </c>
      <c r="J352" s="754">
        <v>0</v>
      </c>
      <c r="K352" s="754">
        <v>0</v>
      </c>
      <c r="L352" s="754">
        <v>0</v>
      </c>
      <c r="M352" s="754">
        <f t="shared" si="35"/>
        <v>0</v>
      </c>
      <c r="N352" s="756">
        <v>0</v>
      </c>
      <c r="O352" s="720">
        <f t="shared" si="36"/>
        <v>0</v>
      </c>
      <c r="Q352" s="252"/>
      <c r="R352" s="252"/>
      <c r="S352" s="252"/>
    </row>
    <row r="353" spans="1:19" outlineLevel="2" x14ac:dyDescent="0.25">
      <c r="A353" s="207" t="str">
        <f>VLOOKUP(RIGHT(E353,3)+0,SchLocTable!$A$2:$B$47,2,FALSE)</f>
        <v>Waltersville</v>
      </c>
      <c r="B353" s="207" t="str">
        <f>VLOOKUP(VALUE(D353),$D$3:F$106,3,FALSE)</f>
        <v>Elementary Classroom</v>
      </c>
      <c r="C353" s="751" t="s">
        <v>246</v>
      </c>
      <c r="D353" s="751" t="s">
        <v>291</v>
      </c>
      <c r="E353" s="751" t="s">
        <v>311</v>
      </c>
      <c r="F353" s="751" t="s">
        <v>254</v>
      </c>
      <c r="G353" s="752" t="s">
        <v>1681</v>
      </c>
      <c r="H353" s="753">
        <v>52360</v>
      </c>
      <c r="I353" s="754">
        <v>12188.56</v>
      </c>
      <c r="J353" s="754">
        <v>0</v>
      </c>
      <c r="K353" s="754">
        <v>0</v>
      </c>
      <c r="L353" s="754">
        <v>2272.83</v>
      </c>
      <c r="M353" s="754">
        <f t="shared" si="35"/>
        <v>2272.83</v>
      </c>
      <c r="N353" s="756">
        <v>12188.56</v>
      </c>
      <c r="O353" s="720">
        <f t="shared" si="36"/>
        <v>0</v>
      </c>
      <c r="Q353" s="252"/>
      <c r="R353" s="252"/>
      <c r="S353" s="252"/>
    </row>
    <row r="354" spans="1:19" outlineLevel="2" x14ac:dyDescent="0.25">
      <c r="A354" s="207" t="str">
        <f>VLOOKUP(RIGHT(E354,3)+0,SchLocTable!$A$2:$B$47,2,FALSE)</f>
        <v>Waltersville</v>
      </c>
      <c r="B354" s="207" t="str">
        <f>VLOOKUP(VALUE(D354),$D$3:F$106,3,FALSE)</f>
        <v>Elementary Classroom</v>
      </c>
      <c r="C354" s="751" t="s">
        <v>246</v>
      </c>
      <c r="D354" s="751" t="s">
        <v>291</v>
      </c>
      <c r="E354" s="751" t="s">
        <v>311</v>
      </c>
      <c r="F354" s="751" t="s">
        <v>259</v>
      </c>
      <c r="G354" s="752" t="s">
        <v>1681</v>
      </c>
      <c r="H354" s="753">
        <v>52917</v>
      </c>
      <c r="I354" s="754">
        <v>152570.04</v>
      </c>
      <c r="J354" s="754">
        <v>0</v>
      </c>
      <c r="K354" s="754">
        <v>0</v>
      </c>
      <c r="L354" s="754">
        <v>36326.199999999997</v>
      </c>
      <c r="M354" s="754">
        <f t="shared" si="35"/>
        <v>36326.199999999997</v>
      </c>
      <c r="N354" s="756">
        <v>152570.04</v>
      </c>
      <c r="O354" s="720">
        <f t="shared" si="36"/>
        <v>0</v>
      </c>
      <c r="Q354" s="252"/>
      <c r="R354" s="252"/>
      <c r="S354" s="252"/>
    </row>
    <row r="355" spans="1:19" outlineLevel="2" x14ac:dyDescent="0.25">
      <c r="A355" s="207" t="str">
        <f>VLOOKUP(RIGHT(E355,3)+0,SchLocTable!$A$2:$B$47,2,FALSE)</f>
        <v>Claytor</v>
      </c>
      <c r="B355" s="207" t="str">
        <f>VLOOKUP(VALUE(D355),$D$3:F$106,3,FALSE)</f>
        <v>Elementary Classroom</v>
      </c>
      <c r="C355" s="751" t="s">
        <v>246</v>
      </c>
      <c r="D355" s="751" t="s">
        <v>291</v>
      </c>
      <c r="E355" s="751" t="s">
        <v>312</v>
      </c>
      <c r="F355" s="751" t="s">
        <v>248</v>
      </c>
      <c r="G355" s="752">
        <v>12</v>
      </c>
      <c r="H355" s="753">
        <v>51000</v>
      </c>
      <c r="I355" s="754">
        <v>871839.55</v>
      </c>
      <c r="J355" s="754">
        <v>0</v>
      </c>
      <c r="K355" s="754">
        <v>0</v>
      </c>
      <c r="L355" s="754">
        <v>163934.66</v>
      </c>
      <c r="M355" s="754">
        <f t="shared" si="35"/>
        <v>163934.66</v>
      </c>
      <c r="N355" s="756">
        <v>871839.55</v>
      </c>
      <c r="O355" s="720">
        <f t="shared" si="36"/>
        <v>0</v>
      </c>
      <c r="Q355" s="252"/>
      <c r="R355" s="252"/>
      <c r="S355" s="252"/>
    </row>
    <row r="356" spans="1:19" outlineLevel="2" x14ac:dyDescent="0.25">
      <c r="A356" s="207" t="str">
        <f>VLOOKUP(RIGHT(E356,3)+0,SchLocTable!$A$2:$B$47,2,FALSE)</f>
        <v>Claytor</v>
      </c>
      <c r="B356" s="207" t="str">
        <f>VLOOKUP(VALUE(D356),$D$3:F$106,3,FALSE)</f>
        <v>Elementary Classroom</v>
      </c>
      <c r="C356" s="755" t="s">
        <v>246</v>
      </c>
      <c r="D356" s="751" t="s">
        <v>291</v>
      </c>
      <c r="E356" s="751" t="s">
        <v>312</v>
      </c>
      <c r="F356" s="751" t="s">
        <v>257</v>
      </c>
      <c r="G356" s="752" t="s">
        <v>1681</v>
      </c>
      <c r="H356" s="753">
        <v>51140</v>
      </c>
      <c r="I356" s="754">
        <v>4300</v>
      </c>
      <c r="J356" s="754">
        <v>0</v>
      </c>
      <c r="K356" s="754">
        <v>0</v>
      </c>
      <c r="L356" s="754">
        <v>0</v>
      </c>
      <c r="M356" s="754">
        <f t="shared" si="35"/>
        <v>0</v>
      </c>
      <c r="N356" s="756">
        <v>4300</v>
      </c>
      <c r="O356" s="720">
        <f t="shared" si="36"/>
        <v>0</v>
      </c>
      <c r="Q356" s="252"/>
      <c r="R356" s="252"/>
      <c r="S356" s="252"/>
    </row>
    <row r="357" spans="1:19" outlineLevel="2" x14ac:dyDescent="0.25">
      <c r="A357" s="207" t="str">
        <f>VLOOKUP(RIGHT(E357,3)+0,SchLocTable!$A$2:$B$47,2,FALSE)</f>
        <v>Claytor</v>
      </c>
      <c r="B357" s="207" t="str">
        <f>VLOOKUP(VALUE(D357),$D$3:F$106,3,FALSE)</f>
        <v>Elementary Classroom</v>
      </c>
      <c r="C357" s="751" t="s">
        <v>246</v>
      </c>
      <c r="D357" s="751" t="s">
        <v>291</v>
      </c>
      <c r="E357" s="751" t="s">
        <v>312</v>
      </c>
      <c r="F357" s="751" t="s">
        <v>252</v>
      </c>
      <c r="G357" s="752" t="s">
        <v>1681</v>
      </c>
      <c r="H357" s="753">
        <v>51154</v>
      </c>
      <c r="I357" s="754">
        <v>0</v>
      </c>
      <c r="J357" s="754">
        <v>0</v>
      </c>
      <c r="K357" s="754">
        <v>0</v>
      </c>
      <c r="L357" s="754">
        <v>0</v>
      </c>
      <c r="M357" s="754">
        <f t="shared" si="35"/>
        <v>0</v>
      </c>
      <c r="N357" s="756">
        <v>0</v>
      </c>
      <c r="O357" s="720">
        <f t="shared" si="36"/>
        <v>0</v>
      </c>
      <c r="Q357" s="252"/>
      <c r="R357" s="252"/>
      <c r="S357" s="252"/>
    </row>
    <row r="358" spans="1:19" outlineLevel="2" x14ac:dyDescent="0.25">
      <c r="A358" s="207" t="str">
        <f>VLOOKUP(RIGHT(E358,3)+0,SchLocTable!$A$2:$B$47,2,FALSE)</f>
        <v>Claytor</v>
      </c>
      <c r="B358" s="207" t="str">
        <f>VLOOKUP(VALUE(D358),$D$3:F$106,3,FALSE)</f>
        <v>Elementary Classroom</v>
      </c>
      <c r="C358" s="751" t="s">
        <v>246</v>
      </c>
      <c r="D358" s="751" t="s">
        <v>291</v>
      </c>
      <c r="E358" s="751" t="s">
        <v>312</v>
      </c>
      <c r="F358" s="751" t="s">
        <v>254</v>
      </c>
      <c r="G358" s="752" t="s">
        <v>1681</v>
      </c>
      <c r="H358" s="753">
        <v>52360</v>
      </c>
      <c r="I358" s="754">
        <v>12482.29</v>
      </c>
      <c r="J358" s="754">
        <v>0</v>
      </c>
      <c r="K358" s="754">
        <v>0</v>
      </c>
      <c r="L358" s="754">
        <v>2217.67</v>
      </c>
      <c r="M358" s="754">
        <f t="shared" si="35"/>
        <v>2217.67</v>
      </c>
      <c r="N358" s="756">
        <v>12482.29</v>
      </c>
      <c r="O358" s="720">
        <f t="shared" si="36"/>
        <v>0</v>
      </c>
      <c r="Q358" s="252"/>
      <c r="R358" s="252"/>
      <c r="S358" s="252"/>
    </row>
    <row r="359" spans="1:19" outlineLevel="2" x14ac:dyDescent="0.25">
      <c r="A359" s="207" t="str">
        <f>VLOOKUP(RIGHT(E359,3)+0,SchLocTable!$A$2:$B$47,2,FALSE)</f>
        <v>Claytor</v>
      </c>
      <c r="B359" s="207" t="str">
        <f>VLOOKUP(VALUE(D359),$D$3:F$106,3,FALSE)</f>
        <v>Elementary Classroom</v>
      </c>
      <c r="C359" s="755" t="s">
        <v>246</v>
      </c>
      <c r="D359" s="751" t="s">
        <v>291</v>
      </c>
      <c r="E359" s="751" t="s">
        <v>312</v>
      </c>
      <c r="F359" s="751" t="s">
        <v>292</v>
      </c>
      <c r="G359" s="752" t="s">
        <v>1681</v>
      </c>
      <c r="H359" s="753">
        <v>52385</v>
      </c>
      <c r="I359" s="754">
        <v>2956.03</v>
      </c>
      <c r="J359" s="754">
        <v>0</v>
      </c>
      <c r="K359" s="754">
        <v>0</v>
      </c>
      <c r="L359" s="754">
        <v>509.63</v>
      </c>
      <c r="M359" s="754">
        <f t="shared" si="35"/>
        <v>509.63</v>
      </c>
      <c r="N359" s="756">
        <v>2956.03</v>
      </c>
      <c r="O359" s="720">
        <f t="shared" si="36"/>
        <v>0</v>
      </c>
      <c r="Q359" s="252"/>
      <c r="R359" s="252"/>
      <c r="S359" s="252"/>
    </row>
    <row r="360" spans="1:19" outlineLevel="2" x14ac:dyDescent="0.25">
      <c r="A360" s="207" t="str">
        <f>VLOOKUP(RIGHT(E360,3)+0,SchLocTable!$A$2:$B$47,2,FALSE)</f>
        <v>Claytor</v>
      </c>
      <c r="B360" s="207" t="str">
        <f>VLOOKUP(VALUE(D360),$D$3:F$106,3,FALSE)</f>
        <v>Elementary Classroom</v>
      </c>
      <c r="C360" s="751" t="s">
        <v>246</v>
      </c>
      <c r="D360" s="751" t="s">
        <v>291</v>
      </c>
      <c r="E360" s="751" t="s">
        <v>312</v>
      </c>
      <c r="F360" s="751" t="s">
        <v>259</v>
      </c>
      <c r="G360" s="752" t="s">
        <v>1681</v>
      </c>
      <c r="H360" s="753">
        <v>52917</v>
      </c>
      <c r="I360" s="754">
        <v>151934.82</v>
      </c>
      <c r="J360" s="754">
        <v>0</v>
      </c>
      <c r="K360" s="754">
        <v>0</v>
      </c>
      <c r="L360" s="754">
        <v>35862.46</v>
      </c>
      <c r="M360" s="754">
        <f t="shared" si="35"/>
        <v>35862.46</v>
      </c>
      <c r="N360" s="756">
        <v>151934.82</v>
      </c>
      <c r="O360" s="720">
        <f t="shared" si="36"/>
        <v>0</v>
      </c>
      <c r="Q360" s="252"/>
      <c r="R360" s="252"/>
      <c r="S360" s="252"/>
    </row>
    <row r="361" spans="1:19" outlineLevel="2" x14ac:dyDescent="0.25">
      <c r="A361" s="207" t="str">
        <f>VLOOKUP(RIGHT(E361,3)+0,SchLocTable!$A$2:$B$47,2,FALSE)</f>
        <v>Johnson</v>
      </c>
      <c r="B361" s="207" t="str">
        <f>VLOOKUP(VALUE(D361),$D$3:F$106,3,FALSE)</f>
        <v>Elementary Classroom</v>
      </c>
      <c r="C361" s="751" t="s">
        <v>246</v>
      </c>
      <c r="D361" s="751" t="s">
        <v>291</v>
      </c>
      <c r="E361" s="751" t="s">
        <v>313</v>
      </c>
      <c r="F361" s="751" t="s">
        <v>248</v>
      </c>
      <c r="G361" s="752">
        <v>15</v>
      </c>
      <c r="H361" s="753">
        <v>51000</v>
      </c>
      <c r="I361" s="754">
        <v>1246909.42</v>
      </c>
      <c r="J361" s="754">
        <v>0</v>
      </c>
      <c r="K361" s="754">
        <v>0</v>
      </c>
      <c r="L361" s="754">
        <v>245560.6</v>
      </c>
      <c r="M361" s="754">
        <f t="shared" si="35"/>
        <v>245560.6</v>
      </c>
      <c r="N361" s="756">
        <v>1246909.42</v>
      </c>
      <c r="O361" s="720">
        <f t="shared" si="36"/>
        <v>0</v>
      </c>
      <c r="Q361" s="252"/>
      <c r="R361" s="252"/>
      <c r="S361" s="252"/>
    </row>
    <row r="362" spans="1:19" outlineLevel="2" x14ac:dyDescent="0.25">
      <c r="A362" s="207" t="str">
        <f>VLOOKUP(RIGHT(E362,3)+0,SchLocTable!$A$2:$B$47,2,FALSE)</f>
        <v>Johnson</v>
      </c>
      <c r="B362" s="207" t="str">
        <f>VLOOKUP(VALUE(D362),$D$3:F$106,3,FALSE)</f>
        <v>Elementary Classroom</v>
      </c>
      <c r="C362" s="751" t="s">
        <v>246</v>
      </c>
      <c r="D362" s="751" t="s">
        <v>291</v>
      </c>
      <c r="E362" s="751" t="s">
        <v>313</v>
      </c>
      <c r="F362" s="751" t="s">
        <v>257</v>
      </c>
      <c r="G362" s="752" t="s">
        <v>1681</v>
      </c>
      <c r="H362" s="753">
        <v>51140</v>
      </c>
      <c r="I362" s="754">
        <v>8000</v>
      </c>
      <c r="J362" s="754">
        <v>0</v>
      </c>
      <c r="K362" s="754">
        <v>0</v>
      </c>
      <c r="L362" s="754">
        <v>0</v>
      </c>
      <c r="M362" s="754">
        <f t="shared" si="35"/>
        <v>0</v>
      </c>
      <c r="N362" s="756">
        <v>8000</v>
      </c>
      <c r="O362" s="720">
        <f t="shared" si="36"/>
        <v>0</v>
      </c>
      <c r="Q362" s="252"/>
      <c r="R362" s="252"/>
      <c r="S362" s="252"/>
    </row>
    <row r="363" spans="1:19" outlineLevel="2" x14ac:dyDescent="0.25">
      <c r="A363" s="207" t="str">
        <f>VLOOKUP(RIGHT(E363,3)+0,SchLocTable!$A$2:$B$47,2,FALSE)</f>
        <v>Johnson</v>
      </c>
      <c r="B363" s="207" t="str">
        <f>VLOOKUP(VALUE(D363),$D$3:F$106,3,FALSE)</f>
        <v>Elementary Classroom</v>
      </c>
      <c r="C363" s="751" t="s">
        <v>246</v>
      </c>
      <c r="D363" s="751" t="s">
        <v>291</v>
      </c>
      <c r="E363" s="751" t="s">
        <v>313</v>
      </c>
      <c r="F363" s="751" t="s">
        <v>254</v>
      </c>
      <c r="G363" s="752" t="s">
        <v>1681</v>
      </c>
      <c r="H363" s="753">
        <v>52360</v>
      </c>
      <c r="I363" s="754">
        <v>17723.349999999999</v>
      </c>
      <c r="J363" s="754">
        <v>0</v>
      </c>
      <c r="K363" s="754">
        <v>0</v>
      </c>
      <c r="L363" s="754">
        <v>3203.79</v>
      </c>
      <c r="M363" s="754">
        <f t="shared" si="35"/>
        <v>3203.79</v>
      </c>
      <c r="N363" s="756">
        <v>17723.349999999999</v>
      </c>
      <c r="O363" s="720">
        <f t="shared" si="36"/>
        <v>0</v>
      </c>
      <c r="Q363" s="252"/>
      <c r="R363" s="252"/>
      <c r="S363" s="252"/>
    </row>
    <row r="364" spans="1:19" outlineLevel="2" x14ac:dyDescent="0.25">
      <c r="A364" s="207" t="str">
        <f>VLOOKUP(RIGHT(E364,3)+0,SchLocTable!$A$2:$B$47,2,FALSE)</f>
        <v>Johnson</v>
      </c>
      <c r="B364" s="207" t="str">
        <f>VLOOKUP(VALUE(D364),$D$3:F$106,3,FALSE)</f>
        <v>Elementary Classroom</v>
      </c>
      <c r="C364" s="751" t="s">
        <v>246</v>
      </c>
      <c r="D364" s="751" t="s">
        <v>291</v>
      </c>
      <c r="E364" s="751" t="s">
        <v>313</v>
      </c>
      <c r="F364" s="751" t="s">
        <v>292</v>
      </c>
      <c r="G364" s="752" t="s">
        <v>1681</v>
      </c>
      <c r="H364" s="753">
        <v>52385</v>
      </c>
      <c r="I364" s="754">
        <v>0</v>
      </c>
      <c r="J364" s="754">
        <v>0</v>
      </c>
      <c r="K364" s="754">
        <v>0</v>
      </c>
      <c r="L364" s="754">
        <v>0</v>
      </c>
      <c r="M364" s="754">
        <f t="shared" si="35"/>
        <v>0</v>
      </c>
      <c r="N364" s="756">
        <v>0</v>
      </c>
      <c r="O364" s="720">
        <f t="shared" si="36"/>
        <v>0</v>
      </c>
      <c r="Q364" s="252"/>
      <c r="R364" s="252"/>
      <c r="S364" s="252"/>
    </row>
    <row r="365" spans="1:19" outlineLevel="2" x14ac:dyDescent="0.25">
      <c r="A365" s="207" t="str">
        <f>VLOOKUP(RIGHT(E365,3)+0,SchLocTable!$A$2:$B$47,2,FALSE)</f>
        <v>Johnson</v>
      </c>
      <c r="B365" s="207" t="str">
        <f>VLOOKUP(VALUE(D365),$D$3:F$106,3,FALSE)</f>
        <v>Elementary Classroom</v>
      </c>
      <c r="C365" s="751" t="s">
        <v>246</v>
      </c>
      <c r="D365" s="751" t="s">
        <v>291</v>
      </c>
      <c r="E365" s="751" t="s">
        <v>313</v>
      </c>
      <c r="F365" s="751" t="s">
        <v>259</v>
      </c>
      <c r="G365" s="752" t="s">
        <v>1681</v>
      </c>
      <c r="H365" s="753">
        <v>52917</v>
      </c>
      <c r="I365" s="754">
        <v>351620.64</v>
      </c>
      <c r="J365" s="754">
        <v>0</v>
      </c>
      <c r="K365" s="754">
        <v>0</v>
      </c>
      <c r="L365" s="754">
        <v>83719.199999999997</v>
      </c>
      <c r="M365" s="754">
        <f t="shared" si="35"/>
        <v>83719.199999999997</v>
      </c>
      <c r="N365" s="756">
        <v>351620.64</v>
      </c>
      <c r="O365" s="720">
        <f t="shared" si="36"/>
        <v>0</v>
      </c>
      <c r="Q365" s="252"/>
      <c r="R365" s="252"/>
      <c r="S365" s="252"/>
    </row>
    <row r="366" spans="1:19" outlineLevel="2" x14ac:dyDescent="0.25">
      <c r="A366" s="207" t="str">
        <f>VLOOKUP(RIGHT(E366,3)+0,SchLocTable!$A$2:$B$47,2,FALSE)</f>
        <v>Winthrop</v>
      </c>
      <c r="B366" s="207" t="str">
        <f>VLOOKUP(VALUE(D366),$D$3:F$106,3,FALSE)</f>
        <v>Elementary Classroom</v>
      </c>
      <c r="C366" s="751" t="s">
        <v>246</v>
      </c>
      <c r="D366" s="751" t="s">
        <v>291</v>
      </c>
      <c r="E366" s="751" t="s">
        <v>314</v>
      </c>
      <c r="F366" s="751" t="s">
        <v>248</v>
      </c>
      <c r="G366" s="752">
        <v>20</v>
      </c>
      <c r="H366" s="753">
        <v>51000</v>
      </c>
      <c r="I366" s="754">
        <v>1590804.11</v>
      </c>
      <c r="J366" s="754">
        <v>0</v>
      </c>
      <c r="K366" s="754">
        <v>0</v>
      </c>
      <c r="L366" s="754">
        <v>289933.8</v>
      </c>
      <c r="M366" s="754">
        <f t="shared" si="35"/>
        <v>289933.8</v>
      </c>
      <c r="N366" s="756">
        <v>1590804.11</v>
      </c>
      <c r="O366" s="720">
        <f t="shared" si="36"/>
        <v>0</v>
      </c>
      <c r="Q366" s="252"/>
      <c r="R366" s="252"/>
      <c r="S366" s="252"/>
    </row>
    <row r="367" spans="1:19" outlineLevel="2" x14ac:dyDescent="0.25">
      <c r="A367" s="207" t="str">
        <f>VLOOKUP(RIGHT(E367,3)+0,SchLocTable!$A$2:$B$47,2,FALSE)</f>
        <v>Winthrop</v>
      </c>
      <c r="B367" s="207" t="str">
        <f>VLOOKUP(VALUE(D367),$D$3:F$106,3,FALSE)</f>
        <v>Elementary Classroom</v>
      </c>
      <c r="C367" s="751" t="s">
        <v>246</v>
      </c>
      <c r="D367" s="751" t="s">
        <v>291</v>
      </c>
      <c r="E367" s="751" t="s">
        <v>314</v>
      </c>
      <c r="F367" s="751" t="s">
        <v>257</v>
      </c>
      <c r="G367" s="752" t="s">
        <v>1681</v>
      </c>
      <c r="H367" s="753">
        <v>51140</v>
      </c>
      <c r="I367" s="754">
        <v>6200</v>
      </c>
      <c r="J367" s="754">
        <v>0</v>
      </c>
      <c r="K367" s="754">
        <v>0</v>
      </c>
      <c r="L367" s="754">
        <v>0</v>
      </c>
      <c r="M367" s="754">
        <f t="shared" si="35"/>
        <v>0</v>
      </c>
      <c r="N367" s="756">
        <v>6200</v>
      </c>
      <c r="O367" s="720">
        <f t="shared" si="36"/>
        <v>0</v>
      </c>
      <c r="Q367" s="252"/>
      <c r="R367" s="252"/>
      <c r="S367" s="252"/>
    </row>
    <row r="368" spans="1:19" outlineLevel="2" x14ac:dyDescent="0.25">
      <c r="A368" s="207" t="str">
        <f>VLOOKUP(RIGHT(E368,3)+0,SchLocTable!$A$2:$B$47,2,FALSE)</f>
        <v>Winthrop</v>
      </c>
      <c r="B368" s="207" t="str">
        <f>VLOOKUP(VALUE(D368),$D$3:F$106,3,FALSE)</f>
        <v>Elementary Classroom</v>
      </c>
      <c r="C368" s="751" t="s">
        <v>246</v>
      </c>
      <c r="D368" s="751" t="s">
        <v>291</v>
      </c>
      <c r="E368" s="751" t="s">
        <v>314</v>
      </c>
      <c r="F368" s="751" t="s">
        <v>252</v>
      </c>
      <c r="G368" s="752" t="s">
        <v>1681</v>
      </c>
      <c r="H368" s="753">
        <v>51154</v>
      </c>
      <c r="I368" s="754">
        <v>0</v>
      </c>
      <c r="J368" s="754">
        <v>0</v>
      </c>
      <c r="K368" s="754">
        <v>0</v>
      </c>
      <c r="L368" s="754">
        <v>0</v>
      </c>
      <c r="M368" s="754">
        <f t="shared" si="35"/>
        <v>0</v>
      </c>
      <c r="N368" s="756">
        <v>0</v>
      </c>
      <c r="O368" s="720">
        <f t="shared" si="36"/>
        <v>0</v>
      </c>
      <c r="Q368" s="252"/>
      <c r="R368" s="252"/>
      <c r="S368" s="252"/>
    </row>
    <row r="369" spans="1:19" outlineLevel="2" x14ac:dyDescent="0.25">
      <c r="A369" s="207" t="str">
        <f>VLOOKUP(RIGHT(E369,3)+0,SchLocTable!$A$2:$B$47,2,FALSE)</f>
        <v>Winthrop</v>
      </c>
      <c r="B369" s="207" t="str">
        <f>VLOOKUP(VALUE(D369),$D$3:F$106,3,FALSE)</f>
        <v>Elementary Classroom</v>
      </c>
      <c r="C369" s="751" t="s">
        <v>246</v>
      </c>
      <c r="D369" s="751" t="s">
        <v>291</v>
      </c>
      <c r="E369" s="751" t="s">
        <v>314</v>
      </c>
      <c r="F369" s="751" t="s">
        <v>254</v>
      </c>
      <c r="G369" s="752" t="s">
        <v>1681</v>
      </c>
      <c r="H369" s="753">
        <v>52360</v>
      </c>
      <c r="I369" s="754">
        <v>22750.52</v>
      </c>
      <c r="J369" s="754">
        <v>0</v>
      </c>
      <c r="K369" s="754">
        <v>0</v>
      </c>
      <c r="L369" s="754">
        <v>3887.9</v>
      </c>
      <c r="M369" s="754">
        <f t="shared" si="35"/>
        <v>3887.9</v>
      </c>
      <c r="N369" s="756">
        <v>22750.52</v>
      </c>
      <c r="O369" s="720">
        <f t="shared" si="36"/>
        <v>0</v>
      </c>
      <c r="Q369" s="252"/>
      <c r="R369" s="252"/>
      <c r="S369" s="252"/>
    </row>
    <row r="370" spans="1:19" outlineLevel="2" x14ac:dyDescent="0.25">
      <c r="A370" s="207" t="str">
        <f>VLOOKUP(RIGHT(E370,3)+0,SchLocTable!$A$2:$B$47,2,FALSE)</f>
        <v>Winthrop</v>
      </c>
      <c r="B370" s="207" t="str">
        <f>VLOOKUP(VALUE(D370),$D$3:F$106,3,FALSE)</f>
        <v>Elementary Classroom</v>
      </c>
      <c r="C370" s="751" t="s">
        <v>246</v>
      </c>
      <c r="D370" s="751" t="s">
        <v>291</v>
      </c>
      <c r="E370" s="751" t="s">
        <v>314</v>
      </c>
      <c r="F370" s="751" t="s">
        <v>292</v>
      </c>
      <c r="G370" s="752" t="s">
        <v>1681</v>
      </c>
      <c r="H370" s="753">
        <v>52385</v>
      </c>
      <c r="I370" s="754">
        <v>113.7</v>
      </c>
      <c r="J370" s="754">
        <v>0</v>
      </c>
      <c r="K370" s="754">
        <v>0</v>
      </c>
      <c r="L370" s="754">
        <v>113.7</v>
      </c>
      <c r="M370" s="754">
        <f t="shared" si="35"/>
        <v>113.7</v>
      </c>
      <c r="N370" s="756">
        <v>113.7</v>
      </c>
      <c r="O370" s="720">
        <f t="shared" si="36"/>
        <v>0</v>
      </c>
      <c r="Q370" s="252"/>
      <c r="R370" s="252"/>
      <c r="S370" s="252"/>
    </row>
    <row r="371" spans="1:19" outlineLevel="2" x14ac:dyDescent="0.25">
      <c r="A371" s="207" t="str">
        <f>VLOOKUP(RIGHT(E371,3)+0,SchLocTable!$A$2:$B$47,2,FALSE)</f>
        <v>Winthrop</v>
      </c>
      <c r="B371" s="207" t="str">
        <f>VLOOKUP(VALUE(D371),$D$3:F$106,3,FALSE)</f>
        <v>Elementary Classroom</v>
      </c>
      <c r="C371" s="751" t="s">
        <v>246</v>
      </c>
      <c r="D371" s="751" t="s">
        <v>291</v>
      </c>
      <c r="E371" s="751" t="s">
        <v>314</v>
      </c>
      <c r="F371" s="751" t="s">
        <v>259</v>
      </c>
      <c r="G371" s="752" t="s">
        <v>1681</v>
      </c>
      <c r="H371" s="753">
        <v>52917</v>
      </c>
      <c r="I371" s="754">
        <v>313455</v>
      </c>
      <c r="J371" s="754">
        <v>0</v>
      </c>
      <c r="K371" s="754">
        <v>0</v>
      </c>
      <c r="L371" s="754">
        <v>73343</v>
      </c>
      <c r="M371" s="754">
        <f t="shared" si="35"/>
        <v>73343</v>
      </c>
      <c r="N371" s="756">
        <v>313455</v>
      </c>
      <c r="O371" s="720">
        <f t="shared" si="36"/>
        <v>0</v>
      </c>
      <c r="Q371" s="252"/>
      <c r="R371" s="252"/>
      <c r="S371" s="252"/>
    </row>
    <row r="372" spans="1:19" outlineLevel="2" x14ac:dyDescent="0.25">
      <c r="A372" s="207" t="str">
        <f>VLOOKUP(RIGHT(E372,3)+0,SchLocTable!$A$2:$B$47,2,FALSE)</f>
        <v>Discovery</v>
      </c>
      <c r="B372" s="207" t="str">
        <f>VLOOKUP(VALUE(D372),$D$3:F$106,3,FALSE)</f>
        <v>Elementary Classroom</v>
      </c>
      <c r="C372" s="751" t="s">
        <v>246</v>
      </c>
      <c r="D372" s="751" t="s">
        <v>291</v>
      </c>
      <c r="E372" s="751" t="s">
        <v>2085</v>
      </c>
      <c r="F372" s="751" t="s">
        <v>257</v>
      </c>
      <c r="G372" s="752" t="s">
        <v>1681</v>
      </c>
      <c r="H372" s="753">
        <v>51140</v>
      </c>
      <c r="I372" s="754">
        <v>5000</v>
      </c>
      <c r="J372" s="754">
        <v>0</v>
      </c>
      <c r="K372" s="754">
        <v>0</v>
      </c>
      <c r="L372" s="754">
        <v>0</v>
      </c>
      <c r="M372" s="754">
        <f t="shared" si="35"/>
        <v>0</v>
      </c>
      <c r="N372" s="756">
        <v>5000</v>
      </c>
      <c r="O372" s="720">
        <f t="shared" si="36"/>
        <v>0</v>
      </c>
    </row>
    <row r="373" spans="1:19" outlineLevel="2" x14ac:dyDescent="0.25">
      <c r="A373" s="207" t="str">
        <f>VLOOKUP(RIGHT(E373,3)+0,SchLocTable!$A$2:$B$47,2,FALSE)</f>
        <v>Discovery</v>
      </c>
      <c r="B373" s="207" t="str">
        <f>VLOOKUP(VALUE(D373),$D$3:F$106,3,FALSE)</f>
        <v>Elementary Classroom</v>
      </c>
      <c r="C373" s="751" t="s">
        <v>246</v>
      </c>
      <c r="D373" s="751" t="s">
        <v>291</v>
      </c>
      <c r="E373" s="751" t="s">
        <v>2085</v>
      </c>
      <c r="F373" s="751" t="s">
        <v>254</v>
      </c>
      <c r="G373" s="752" t="s">
        <v>1681</v>
      </c>
      <c r="H373" s="753">
        <v>52360</v>
      </c>
      <c r="I373" s="754">
        <v>0</v>
      </c>
      <c r="J373" s="754">
        <v>0</v>
      </c>
      <c r="K373" s="754">
        <v>0</v>
      </c>
      <c r="L373" s="754">
        <v>0</v>
      </c>
      <c r="M373" s="754">
        <f t="shared" si="35"/>
        <v>0</v>
      </c>
      <c r="N373" s="756">
        <v>0</v>
      </c>
      <c r="O373" s="720">
        <f t="shared" si="36"/>
        <v>0</v>
      </c>
    </row>
    <row r="374" spans="1:19" outlineLevel="2" x14ac:dyDescent="0.25">
      <c r="A374" s="207" t="str">
        <f>VLOOKUP(RIGHT(E374,3)+0,SchLocTable!$A$2:$B$47,2,FALSE)</f>
        <v>Cross</v>
      </c>
      <c r="B374" s="207" t="str">
        <f>VLOOKUP(VALUE(D374),$D$3:F$106,3,FALSE)</f>
        <v>Elementary Classroom</v>
      </c>
      <c r="C374" s="751" t="s">
        <v>246</v>
      </c>
      <c r="D374" s="751" t="s">
        <v>291</v>
      </c>
      <c r="E374" s="751" t="s">
        <v>315</v>
      </c>
      <c r="F374" s="751" t="s">
        <v>248</v>
      </c>
      <c r="G374" s="752">
        <v>8</v>
      </c>
      <c r="H374" s="753">
        <v>51000</v>
      </c>
      <c r="I374" s="754">
        <v>498722.3</v>
      </c>
      <c r="J374" s="754">
        <v>0</v>
      </c>
      <c r="K374" s="754">
        <v>0</v>
      </c>
      <c r="L374" s="754">
        <v>94854.45</v>
      </c>
      <c r="M374" s="754">
        <f t="shared" si="35"/>
        <v>94854.45</v>
      </c>
      <c r="N374" s="756">
        <v>498722.3</v>
      </c>
      <c r="O374" s="720">
        <f t="shared" si="36"/>
        <v>0</v>
      </c>
    </row>
    <row r="375" spans="1:19" outlineLevel="2" x14ac:dyDescent="0.25">
      <c r="A375" s="207" t="str">
        <f>VLOOKUP(RIGHT(E375,3)+0,SchLocTable!$A$2:$B$47,2,FALSE)</f>
        <v>Cross</v>
      </c>
      <c r="B375" s="207" t="str">
        <f>VLOOKUP(VALUE(D375),$D$3:F$106,3,FALSE)</f>
        <v>Elementary Classroom</v>
      </c>
      <c r="C375" s="751" t="s">
        <v>246</v>
      </c>
      <c r="D375" s="751" t="s">
        <v>291</v>
      </c>
      <c r="E375" s="751" t="s">
        <v>315</v>
      </c>
      <c r="F375" s="751" t="s">
        <v>257</v>
      </c>
      <c r="G375" s="752" t="s">
        <v>1681</v>
      </c>
      <c r="H375" s="753">
        <v>51140</v>
      </c>
      <c r="I375" s="754">
        <v>3200</v>
      </c>
      <c r="J375" s="754">
        <v>0</v>
      </c>
      <c r="K375" s="754">
        <v>0</v>
      </c>
      <c r="L375" s="754">
        <v>0</v>
      </c>
      <c r="M375" s="754">
        <f t="shared" si="35"/>
        <v>0</v>
      </c>
      <c r="N375" s="756">
        <v>3200</v>
      </c>
      <c r="O375" s="720">
        <f t="shared" si="36"/>
        <v>0</v>
      </c>
    </row>
    <row r="376" spans="1:19" outlineLevel="2" x14ac:dyDescent="0.25">
      <c r="A376" s="207" t="str">
        <f>VLOOKUP(RIGHT(E376,3)+0,SchLocTable!$A$2:$B$47,2,FALSE)</f>
        <v>Cross</v>
      </c>
      <c r="B376" s="207" t="str">
        <f>VLOOKUP(VALUE(D376),$D$3:F$106,3,FALSE)</f>
        <v>Elementary Classroom</v>
      </c>
      <c r="C376" s="751" t="s">
        <v>246</v>
      </c>
      <c r="D376" s="751" t="s">
        <v>291</v>
      </c>
      <c r="E376" s="751" t="s">
        <v>315</v>
      </c>
      <c r="F376" s="751" t="s">
        <v>252</v>
      </c>
      <c r="G376" s="752" t="s">
        <v>1681</v>
      </c>
      <c r="H376" s="753">
        <v>51154</v>
      </c>
      <c r="I376" s="754">
        <v>0</v>
      </c>
      <c r="J376" s="754">
        <v>0</v>
      </c>
      <c r="K376" s="754">
        <v>0</v>
      </c>
      <c r="L376" s="754">
        <v>0</v>
      </c>
      <c r="M376" s="754">
        <f t="shared" si="35"/>
        <v>0</v>
      </c>
      <c r="N376" s="756">
        <v>0</v>
      </c>
      <c r="O376" s="720">
        <f t="shared" si="36"/>
        <v>0</v>
      </c>
    </row>
    <row r="377" spans="1:19" outlineLevel="2" x14ac:dyDescent="0.25">
      <c r="A377" s="207" t="str">
        <f>VLOOKUP(RIGHT(E377,3)+0,SchLocTable!$A$2:$B$47,2,FALSE)</f>
        <v>Cross</v>
      </c>
      <c r="B377" s="207" t="str">
        <f>VLOOKUP(VALUE(D377),$D$3:F$106,3,FALSE)</f>
        <v>Elementary Classroom</v>
      </c>
      <c r="C377" s="751" t="s">
        <v>246</v>
      </c>
      <c r="D377" s="751" t="s">
        <v>291</v>
      </c>
      <c r="E377" s="751" t="s">
        <v>315</v>
      </c>
      <c r="F377" s="751" t="s">
        <v>254</v>
      </c>
      <c r="G377" s="752" t="s">
        <v>1681</v>
      </c>
      <c r="H377" s="753">
        <v>52360</v>
      </c>
      <c r="I377" s="754">
        <v>7197.03</v>
      </c>
      <c r="J377" s="754">
        <v>0</v>
      </c>
      <c r="K377" s="754">
        <v>0</v>
      </c>
      <c r="L377" s="754">
        <v>1340.95</v>
      </c>
      <c r="M377" s="754">
        <f t="shared" si="35"/>
        <v>1340.95</v>
      </c>
      <c r="N377" s="756">
        <v>7197.03</v>
      </c>
      <c r="O377" s="720">
        <f t="shared" si="36"/>
        <v>0</v>
      </c>
    </row>
    <row r="378" spans="1:19" outlineLevel="2" x14ac:dyDescent="0.25">
      <c r="A378" s="207" t="str">
        <f>VLOOKUP(RIGHT(E378,3)+0,SchLocTable!$A$2:$B$47,2,FALSE)</f>
        <v>Cross</v>
      </c>
      <c r="B378" s="207" t="str">
        <f>VLOOKUP(VALUE(D378),$D$3:F$106,3,FALSE)</f>
        <v>Elementary Classroom</v>
      </c>
      <c r="C378" s="751" t="s">
        <v>246</v>
      </c>
      <c r="D378" s="751" t="s">
        <v>291</v>
      </c>
      <c r="E378" s="751" t="s">
        <v>315</v>
      </c>
      <c r="F378" s="751" t="s">
        <v>292</v>
      </c>
      <c r="G378" s="752" t="s">
        <v>1681</v>
      </c>
      <c r="H378" s="753">
        <v>52385</v>
      </c>
      <c r="I378" s="754">
        <v>3134.64</v>
      </c>
      <c r="J378" s="754">
        <v>0</v>
      </c>
      <c r="K378" s="754">
        <v>0</v>
      </c>
      <c r="L378" s="754">
        <v>609.69000000000005</v>
      </c>
      <c r="M378" s="754">
        <f t="shared" si="35"/>
        <v>609.69000000000005</v>
      </c>
      <c r="N378" s="756">
        <v>3134.64</v>
      </c>
      <c r="O378" s="720">
        <f t="shared" si="36"/>
        <v>0</v>
      </c>
    </row>
    <row r="379" spans="1:19" outlineLevel="2" x14ac:dyDescent="0.25">
      <c r="A379" s="207" t="str">
        <f>VLOOKUP(RIGHT(E379,3)+0,SchLocTable!$A$2:$B$47,2,FALSE)</f>
        <v>Cross</v>
      </c>
      <c r="B379" s="207" t="str">
        <f>VLOOKUP(VALUE(D379),$D$3:F$106,3,FALSE)</f>
        <v>Elementary Classroom</v>
      </c>
      <c r="C379" s="751" t="s">
        <v>246</v>
      </c>
      <c r="D379" s="751" t="s">
        <v>291</v>
      </c>
      <c r="E379" s="751" t="s">
        <v>315</v>
      </c>
      <c r="F379" s="751" t="s">
        <v>259</v>
      </c>
      <c r="G379" s="752" t="s">
        <v>1681</v>
      </c>
      <c r="H379" s="753">
        <v>52917</v>
      </c>
      <c r="I379" s="754">
        <v>36211.440000000002</v>
      </c>
      <c r="J379" s="754">
        <v>0</v>
      </c>
      <c r="K379" s="754">
        <v>0</v>
      </c>
      <c r="L379" s="754">
        <v>8178.16</v>
      </c>
      <c r="M379" s="754">
        <f t="shared" si="35"/>
        <v>8178.16</v>
      </c>
      <c r="N379" s="756">
        <v>36211.440000000002</v>
      </c>
      <c r="O379" s="720">
        <f t="shared" si="36"/>
        <v>0</v>
      </c>
    </row>
    <row r="380" spans="1:19" outlineLevel="2" x14ac:dyDescent="0.25">
      <c r="A380" s="207" t="str">
        <f>VLOOKUP(RIGHT(E380,3)+0,SchLocTable!$A$2:$B$47,2,FALSE)</f>
        <v>Blackham</v>
      </c>
      <c r="B380" s="207" t="str">
        <f>VLOOKUP(VALUE(D380),$D$3:F$106,3,FALSE)</f>
        <v>Elementary Classroom</v>
      </c>
      <c r="C380" s="751" t="s">
        <v>246</v>
      </c>
      <c r="D380" s="751" t="s">
        <v>291</v>
      </c>
      <c r="E380" s="751" t="s">
        <v>316</v>
      </c>
      <c r="F380" s="751" t="s">
        <v>248</v>
      </c>
      <c r="G380" s="752">
        <v>23</v>
      </c>
      <c r="H380" s="753">
        <v>51000</v>
      </c>
      <c r="I380" s="754">
        <v>1830284.64</v>
      </c>
      <c r="J380" s="754">
        <v>0</v>
      </c>
      <c r="K380" s="754">
        <v>0</v>
      </c>
      <c r="L380" s="754">
        <v>361888.65</v>
      </c>
      <c r="M380" s="754">
        <f t="shared" si="35"/>
        <v>361888.65</v>
      </c>
      <c r="N380" s="756">
        <v>1830284.64</v>
      </c>
      <c r="O380" s="720">
        <f t="shared" si="36"/>
        <v>0</v>
      </c>
    </row>
    <row r="381" spans="1:19" outlineLevel="2" x14ac:dyDescent="0.25">
      <c r="A381" s="207" t="str">
        <f>VLOOKUP(RIGHT(E381,3)+0,SchLocTable!$A$2:$B$47,2,FALSE)</f>
        <v>Blackham</v>
      </c>
      <c r="B381" s="207" t="str">
        <f>VLOOKUP(VALUE(D381),$D$3:F$106,3,FALSE)</f>
        <v>Elementary Classroom</v>
      </c>
      <c r="C381" s="751" t="s">
        <v>246</v>
      </c>
      <c r="D381" s="751" t="s">
        <v>291</v>
      </c>
      <c r="E381" s="751" t="s">
        <v>316</v>
      </c>
      <c r="F381" s="751" t="s">
        <v>257</v>
      </c>
      <c r="G381" s="752" t="s">
        <v>1681</v>
      </c>
      <c r="H381" s="753">
        <v>51140</v>
      </c>
      <c r="I381" s="754">
        <v>9600</v>
      </c>
      <c r="J381" s="754">
        <v>0</v>
      </c>
      <c r="K381" s="754">
        <v>0</v>
      </c>
      <c r="L381" s="754">
        <v>0</v>
      </c>
      <c r="M381" s="754">
        <f t="shared" si="35"/>
        <v>0</v>
      </c>
      <c r="N381" s="756">
        <v>9600</v>
      </c>
      <c r="O381" s="720">
        <f t="shared" si="36"/>
        <v>0</v>
      </c>
    </row>
    <row r="382" spans="1:19" outlineLevel="2" x14ac:dyDescent="0.25">
      <c r="A382" s="207" t="str">
        <f>VLOOKUP(RIGHT(E382,3)+0,SchLocTable!$A$2:$B$47,2,FALSE)</f>
        <v>Blackham</v>
      </c>
      <c r="B382" s="207" t="str">
        <f>VLOOKUP(VALUE(D382),$D$3:F$106,3,FALSE)</f>
        <v>Elementary Classroom</v>
      </c>
      <c r="C382" s="751" t="s">
        <v>246</v>
      </c>
      <c r="D382" s="751" t="s">
        <v>291</v>
      </c>
      <c r="E382" s="751" t="s">
        <v>316</v>
      </c>
      <c r="F382" s="751" t="s">
        <v>252</v>
      </c>
      <c r="G382" s="752" t="s">
        <v>1681</v>
      </c>
      <c r="H382" s="753">
        <v>51154</v>
      </c>
      <c r="I382" s="754">
        <v>0</v>
      </c>
      <c r="J382" s="754">
        <v>0</v>
      </c>
      <c r="K382" s="754">
        <v>0</v>
      </c>
      <c r="L382" s="754">
        <v>0</v>
      </c>
      <c r="M382" s="754">
        <f t="shared" si="35"/>
        <v>0</v>
      </c>
      <c r="N382" s="756">
        <v>0</v>
      </c>
      <c r="O382" s="720">
        <f t="shared" si="36"/>
        <v>0</v>
      </c>
    </row>
    <row r="383" spans="1:19" outlineLevel="2" x14ac:dyDescent="0.25">
      <c r="A383" s="207" t="str">
        <f>VLOOKUP(RIGHT(E383,3)+0,SchLocTable!$A$2:$B$47,2,FALSE)</f>
        <v>Blackham</v>
      </c>
      <c r="B383" s="207" t="str">
        <f>VLOOKUP(VALUE(D383),$D$3:F$106,3,FALSE)</f>
        <v>Elementary Classroom</v>
      </c>
      <c r="C383" s="751" t="s">
        <v>246</v>
      </c>
      <c r="D383" s="751" t="s">
        <v>291</v>
      </c>
      <c r="E383" s="751" t="s">
        <v>316</v>
      </c>
      <c r="F383" s="751" t="s">
        <v>254</v>
      </c>
      <c r="G383" s="752" t="s">
        <v>1681</v>
      </c>
      <c r="H383" s="753">
        <v>52360</v>
      </c>
      <c r="I383" s="754">
        <v>26191.83</v>
      </c>
      <c r="J383" s="754">
        <v>0</v>
      </c>
      <c r="K383" s="754">
        <v>0</v>
      </c>
      <c r="L383" s="754">
        <v>4900.09</v>
      </c>
      <c r="M383" s="754">
        <f t="shared" ref="M383:M446" si="37">SUM(J383:L383)</f>
        <v>4900.09</v>
      </c>
      <c r="N383" s="756">
        <v>26191.83</v>
      </c>
      <c r="O383" s="720">
        <f t="shared" ref="O383:O446" si="38">I383-N383</f>
        <v>0</v>
      </c>
    </row>
    <row r="384" spans="1:19" outlineLevel="2" x14ac:dyDescent="0.25">
      <c r="A384" s="207" t="str">
        <f>VLOOKUP(RIGHT(E384,3)+0,SchLocTable!$A$2:$B$47,2,FALSE)</f>
        <v>Blackham</v>
      </c>
      <c r="B384" s="207" t="str">
        <f>VLOOKUP(VALUE(D384),$D$3:F$106,3,FALSE)</f>
        <v>Elementary Classroom</v>
      </c>
      <c r="C384" s="755" t="s">
        <v>246</v>
      </c>
      <c r="D384" s="751" t="s">
        <v>291</v>
      </c>
      <c r="E384" s="751" t="s">
        <v>316</v>
      </c>
      <c r="F384" s="751" t="s">
        <v>259</v>
      </c>
      <c r="G384" s="752" t="s">
        <v>1681</v>
      </c>
      <c r="H384" s="753">
        <v>52917</v>
      </c>
      <c r="I384" s="754">
        <v>332801.21999999997</v>
      </c>
      <c r="J384" s="754">
        <v>0</v>
      </c>
      <c r="K384" s="754">
        <v>0</v>
      </c>
      <c r="L384" s="754">
        <v>79668.100000000006</v>
      </c>
      <c r="M384" s="754">
        <f t="shared" si="37"/>
        <v>79668.100000000006</v>
      </c>
      <c r="N384" s="756">
        <v>332801.21999999997</v>
      </c>
      <c r="O384" s="720">
        <f t="shared" si="38"/>
        <v>0</v>
      </c>
    </row>
    <row r="385" spans="1:15" outlineLevel="2" x14ac:dyDescent="0.25">
      <c r="A385" s="207" t="str">
        <f>VLOOKUP(RIGHT(E385,3)+0,SchLocTable!$A$2:$B$47,2,FALSE)</f>
        <v>Dunbar</v>
      </c>
      <c r="B385" s="207" t="str">
        <f>VLOOKUP(VALUE(D385),$D$3:F$106,3,FALSE)</f>
        <v>Elementary Classroom</v>
      </c>
      <c r="C385" s="751" t="s">
        <v>246</v>
      </c>
      <c r="D385" s="751" t="s">
        <v>291</v>
      </c>
      <c r="E385" s="751" t="s">
        <v>317</v>
      </c>
      <c r="F385" s="751" t="s">
        <v>248</v>
      </c>
      <c r="G385" s="752">
        <v>6</v>
      </c>
      <c r="H385" s="753">
        <v>51000</v>
      </c>
      <c r="I385" s="754">
        <v>391715.23</v>
      </c>
      <c r="J385" s="754">
        <v>0</v>
      </c>
      <c r="K385" s="754">
        <v>0</v>
      </c>
      <c r="L385" s="754">
        <v>82939.679999999993</v>
      </c>
      <c r="M385" s="754">
        <f t="shared" si="37"/>
        <v>82939.679999999993</v>
      </c>
      <c r="N385" s="756">
        <v>391715.23</v>
      </c>
      <c r="O385" s="720">
        <f t="shared" si="38"/>
        <v>0</v>
      </c>
    </row>
    <row r="386" spans="1:15" outlineLevel="2" x14ac:dyDescent="0.25">
      <c r="A386" s="207" t="str">
        <f>VLOOKUP(RIGHT(E386,3)+0,SchLocTable!$A$2:$B$47,2,FALSE)</f>
        <v>Dunbar</v>
      </c>
      <c r="B386" s="207" t="str">
        <f>VLOOKUP(VALUE(D386),$D$3:F$106,3,FALSE)</f>
        <v>Elementary Classroom</v>
      </c>
      <c r="C386" s="751" t="s">
        <v>246</v>
      </c>
      <c r="D386" s="751" t="s">
        <v>291</v>
      </c>
      <c r="E386" s="751" t="s">
        <v>317</v>
      </c>
      <c r="F386" s="751" t="s">
        <v>257</v>
      </c>
      <c r="G386" s="752" t="s">
        <v>1681</v>
      </c>
      <c r="H386" s="753">
        <v>51140</v>
      </c>
      <c r="I386" s="754">
        <v>2000</v>
      </c>
      <c r="J386" s="754">
        <v>0</v>
      </c>
      <c r="K386" s="754">
        <v>0</v>
      </c>
      <c r="L386" s="754">
        <v>0</v>
      </c>
      <c r="M386" s="754">
        <f t="shared" si="37"/>
        <v>0</v>
      </c>
      <c r="N386" s="756">
        <v>2000</v>
      </c>
      <c r="O386" s="720">
        <f t="shared" si="38"/>
        <v>0</v>
      </c>
    </row>
    <row r="387" spans="1:15" outlineLevel="2" x14ac:dyDescent="0.25">
      <c r="A387" s="207" t="str">
        <f>VLOOKUP(RIGHT(E387,3)+0,SchLocTable!$A$2:$B$47,2,FALSE)</f>
        <v>Dunbar</v>
      </c>
      <c r="B387" s="207" t="str">
        <f>VLOOKUP(VALUE(D387),$D$3:F$106,3,FALSE)</f>
        <v>Elementary Classroom</v>
      </c>
      <c r="C387" s="751" t="s">
        <v>246</v>
      </c>
      <c r="D387" s="751" t="s">
        <v>291</v>
      </c>
      <c r="E387" s="751" t="s">
        <v>317</v>
      </c>
      <c r="F387" s="751" t="s">
        <v>254</v>
      </c>
      <c r="G387" s="752" t="s">
        <v>1681</v>
      </c>
      <c r="H387" s="753">
        <v>52360</v>
      </c>
      <c r="I387" s="754">
        <v>5558.03</v>
      </c>
      <c r="J387" s="754">
        <v>0</v>
      </c>
      <c r="K387" s="754">
        <v>0</v>
      </c>
      <c r="L387" s="754">
        <v>1080.78</v>
      </c>
      <c r="M387" s="754">
        <f t="shared" si="37"/>
        <v>1080.78</v>
      </c>
      <c r="N387" s="756">
        <v>5558.03</v>
      </c>
      <c r="O387" s="720">
        <f t="shared" si="38"/>
        <v>0</v>
      </c>
    </row>
    <row r="388" spans="1:15" outlineLevel="2" x14ac:dyDescent="0.25">
      <c r="A388" s="207" t="str">
        <f>VLOOKUP(RIGHT(E388,3)+0,SchLocTable!$A$2:$B$47,2,FALSE)</f>
        <v>Dunbar</v>
      </c>
      <c r="B388" s="207" t="str">
        <f>VLOOKUP(VALUE(D388),$D$3:F$106,3,FALSE)</f>
        <v>Elementary Classroom</v>
      </c>
      <c r="C388" s="751" t="s">
        <v>246</v>
      </c>
      <c r="D388" s="751" t="s">
        <v>291</v>
      </c>
      <c r="E388" s="751" t="s">
        <v>317</v>
      </c>
      <c r="F388" s="751" t="s">
        <v>292</v>
      </c>
      <c r="G388" s="752" t="s">
        <v>1681</v>
      </c>
      <c r="H388" s="753">
        <v>52385</v>
      </c>
      <c r="I388" s="754">
        <v>0</v>
      </c>
      <c r="J388" s="754">
        <v>0</v>
      </c>
      <c r="K388" s="754">
        <v>0</v>
      </c>
      <c r="L388" s="754">
        <v>0</v>
      </c>
      <c r="M388" s="754">
        <f t="shared" si="37"/>
        <v>0</v>
      </c>
      <c r="N388" s="756">
        <v>0</v>
      </c>
      <c r="O388" s="720">
        <f t="shared" si="38"/>
        <v>0</v>
      </c>
    </row>
    <row r="389" spans="1:15" outlineLevel="2" x14ac:dyDescent="0.25">
      <c r="A389" s="207" t="str">
        <f>VLOOKUP(RIGHT(E389,3)+0,SchLocTable!$A$2:$B$47,2,FALSE)</f>
        <v>Dunbar</v>
      </c>
      <c r="B389" s="207" t="str">
        <f>VLOOKUP(VALUE(D389),$D$3:F$106,3,FALSE)</f>
        <v>Elementary Classroom</v>
      </c>
      <c r="C389" s="751" t="s">
        <v>246</v>
      </c>
      <c r="D389" s="751" t="s">
        <v>291</v>
      </c>
      <c r="E389" s="751" t="s">
        <v>317</v>
      </c>
      <c r="F389" s="751" t="s">
        <v>259</v>
      </c>
      <c r="G389" s="752" t="s">
        <v>1681</v>
      </c>
      <c r="H389" s="753">
        <v>52917</v>
      </c>
      <c r="I389" s="754">
        <v>107401.86</v>
      </c>
      <c r="J389" s="754">
        <v>0</v>
      </c>
      <c r="K389" s="754">
        <v>0</v>
      </c>
      <c r="L389" s="754">
        <v>26431.3</v>
      </c>
      <c r="M389" s="754">
        <f t="shared" si="37"/>
        <v>26431.3</v>
      </c>
      <c r="N389" s="756">
        <v>107401.86</v>
      </c>
      <c r="O389" s="720">
        <f t="shared" si="38"/>
        <v>0</v>
      </c>
    </row>
    <row r="390" spans="1:15" outlineLevel="2" x14ac:dyDescent="0.25">
      <c r="A390" s="207" t="str">
        <f>VLOOKUP(RIGHT(E390,3)+0,SchLocTable!$A$2:$B$47,2,FALSE)</f>
        <v>Curiale</v>
      </c>
      <c r="B390" s="207" t="str">
        <f>VLOOKUP(VALUE(D390),$D$3:F$106,3,FALSE)</f>
        <v>Elementary Classroom</v>
      </c>
      <c r="C390" s="751" t="s">
        <v>246</v>
      </c>
      <c r="D390" s="751" t="s">
        <v>291</v>
      </c>
      <c r="E390" s="751" t="s">
        <v>318</v>
      </c>
      <c r="F390" s="751" t="s">
        <v>248</v>
      </c>
      <c r="G390" s="752">
        <v>12</v>
      </c>
      <c r="H390" s="753">
        <v>51000</v>
      </c>
      <c r="I390" s="754">
        <v>1026466.02</v>
      </c>
      <c r="J390" s="754">
        <v>0</v>
      </c>
      <c r="K390" s="754">
        <v>0</v>
      </c>
      <c r="L390" s="754">
        <v>196641</v>
      </c>
      <c r="M390" s="754">
        <f t="shared" si="37"/>
        <v>196641</v>
      </c>
      <c r="N390" s="756">
        <v>1026466.02</v>
      </c>
      <c r="O390" s="720">
        <f t="shared" si="38"/>
        <v>0</v>
      </c>
    </row>
    <row r="391" spans="1:15" outlineLevel="2" x14ac:dyDescent="0.25">
      <c r="A391" s="207" t="str">
        <f>VLOOKUP(RIGHT(E391,3)+0,SchLocTable!$A$2:$B$47,2,FALSE)</f>
        <v>Curiale</v>
      </c>
      <c r="B391" s="207" t="str">
        <f>VLOOKUP(VALUE(D391),$D$3:F$106,3,FALSE)</f>
        <v>Elementary Classroom</v>
      </c>
      <c r="C391" s="751" t="s">
        <v>246</v>
      </c>
      <c r="D391" s="751" t="s">
        <v>291</v>
      </c>
      <c r="E391" s="751" t="s">
        <v>318</v>
      </c>
      <c r="F391" s="751" t="s">
        <v>257</v>
      </c>
      <c r="G391" s="752" t="s">
        <v>1681</v>
      </c>
      <c r="H391" s="753">
        <v>51140</v>
      </c>
      <c r="I391" s="754">
        <v>5500</v>
      </c>
      <c r="J391" s="754">
        <v>0</v>
      </c>
      <c r="K391" s="754">
        <v>0</v>
      </c>
      <c r="L391" s="754">
        <v>0</v>
      </c>
      <c r="M391" s="754">
        <f t="shared" si="37"/>
        <v>0</v>
      </c>
      <c r="N391" s="756">
        <v>5500</v>
      </c>
      <c r="O391" s="720">
        <f t="shared" si="38"/>
        <v>0</v>
      </c>
    </row>
    <row r="392" spans="1:15" outlineLevel="2" x14ac:dyDescent="0.25">
      <c r="A392" s="207" t="str">
        <f>VLOOKUP(RIGHT(E392,3)+0,SchLocTable!$A$2:$B$47,2,FALSE)</f>
        <v>Curiale</v>
      </c>
      <c r="B392" s="207" t="str">
        <f>VLOOKUP(VALUE(D392),$D$3:F$106,3,FALSE)</f>
        <v>Elementary Classroom</v>
      </c>
      <c r="C392" s="751" t="s">
        <v>246</v>
      </c>
      <c r="D392" s="751" t="s">
        <v>291</v>
      </c>
      <c r="E392" s="751" t="s">
        <v>318</v>
      </c>
      <c r="F392" s="751" t="s">
        <v>254</v>
      </c>
      <c r="G392" s="752" t="s">
        <v>1681</v>
      </c>
      <c r="H392" s="753">
        <v>52360</v>
      </c>
      <c r="I392" s="754">
        <v>14380.66</v>
      </c>
      <c r="J392" s="754">
        <v>0</v>
      </c>
      <c r="K392" s="754">
        <v>0</v>
      </c>
      <c r="L392" s="754">
        <v>2348.1999999999998</v>
      </c>
      <c r="M392" s="754">
        <f t="shared" si="37"/>
        <v>2348.1999999999998</v>
      </c>
      <c r="N392" s="756">
        <v>14380.66</v>
      </c>
      <c r="O392" s="720">
        <f t="shared" si="38"/>
        <v>0</v>
      </c>
    </row>
    <row r="393" spans="1:15" outlineLevel="2" x14ac:dyDescent="0.25">
      <c r="A393" s="207" t="str">
        <f>VLOOKUP(RIGHT(E393,3)+0,SchLocTable!$A$2:$B$47,2,FALSE)</f>
        <v>Curiale</v>
      </c>
      <c r="B393" s="207" t="str">
        <f>VLOOKUP(VALUE(D393),$D$3:F$106,3,FALSE)</f>
        <v>Elementary Classroom</v>
      </c>
      <c r="C393" s="751" t="s">
        <v>246</v>
      </c>
      <c r="D393" s="751" t="s">
        <v>291</v>
      </c>
      <c r="E393" s="751" t="s">
        <v>318</v>
      </c>
      <c r="F393" s="751" t="s">
        <v>292</v>
      </c>
      <c r="G393" s="752" t="s">
        <v>1681</v>
      </c>
      <c r="H393" s="753">
        <v>52385</v>
      </c>
      <c r="I393" s="754">
        <v>0</v>
      </c>
      <c r="J393" s="754">
        <v>0</v>
      </c>
      <c r="K393" s="754">
        <v>0</v>
      </c>
      <c r="L393" s="754">
        <v>0</v>
      </c>
      <c r="M393" s="754">
        <f t="shared" si="37"/>
        <v>0</v>
      </c>
      <c r="N393" s="756">
        <v>0</v>
      </c>
      <c r="O393" s="720">
        <f t="shared" si="38"/>
        <v>0</v>
      </c>
    </row>
    <row r="394" spans="1:15" outlineLevel="2" x14ac:dyDescent="0.25">
      <c r="A394" s="207" t="str">
        <f>VLOOKUP(RIGHT(E394,3)+0,SchLocTable!$A$2:$B$47,2,FALSE)</f>
        <v>Curiale</v>
      </c>
      <c r="B394" s="207" t="str">
        <f>VLOOKUP(VALUE(D394),$D$3:F$106,3,FALSE)</f>
        <v>Elementary Classroom</v>
      </c>
      <c r="C394" s="751" t="s">
        <v>246</v>
      </c>
      <c r="D394" s="751" t="s">
        <v>291</v>
      </c>
      <c r="E394" s="751" t="s">
        <v>318</v>
      </c>
      <c r="F394" s="751" t="s">
        <v>259</v>
      </c>
      <c r="G394" s="752" t="s">
        <v>1681</v>
      </c>
      <c r="H394" s="753">
        <v>52917</v>
      </c>
      <c r="I394" s="754">
        <v>234109.68</v>
      </c>
      <c r="J394" s="754">
        <v>0</v>
      </c>
      <c r="K394" s="754">
        <v>0</v>
      </c>
      <c r="L394" s="754">
        <v>55740.4</v>
      </c>
      <c r="M394" s="754">
        <f t="shared" si="37"/>
        <v>55740.4</v>
      </c>
      <c r="N394" s="756">
        <v>234109.68</v>
      </c>
      <c r="O394" s="720">
        <f t="shared" si="38"/>
        <v>0</v>
      </c>
    </row>
    <row r="395" spans="1:15" outlineLevel="2" x14ac:dyDescent="0.25">
      <c r="A395" s="207" t="str">
        <f>VLOOKUP(RIGHT(E395,3)+0,SchLocTable!$A$2:$B$47,2,FALSE)</f>
        <v>High Horizons Magnet</v>
      </c>
      <c r="B395" s="207" t="str">
        <f>VLOOKUP(VALUE(D395),$D$3:F$106,3,FALSE)</f>
        <v>Elementary Classroom</v>
      </c>
      <c r="C395" s="751" t="s">
        <v>246</v>
      </c>
      <c r="D395" s="751" t="s">
        <v>291</v>
      </c>
      <c r="E395" s="751" t="s">
        <v>319</v>
      </c>
      <c r="F395" s="751" t="s">
        <v>248</v>
      </c>
      <c r="G395" s="752">
        <v>8</v>
      </c>
      <c r="H395" s="753">
        <v>51000</v>
      </c>
      <c r="I395" s="754">
        <v>713204.68</v>
      </c>
      <c r="J395" s="754">
        <v>0</v>
      </c>
      <c r="K395" s="754">
        <v>0</v>
      </c>
      <c r="L395" s="754">
        <v>136629.25</v>
      </c>
      <c r="M395" s="754">
        <f t="shared" si="37"/>
        <v>136629.25</v>
      </c>
      <c r="N395" s="756">
        <v>713204.68</v>
      </c>
      <c r="O395" s="720">
        <f t="shared" si="38"/>
        <v>0</v>
      </c>
    </row>
    <row r="396" spans="1:15" outlineLevel="2" x14ac:dyDescent="0.25">
      <c r="A396" s="207" t="str">
        <f>VLOOKUP(RIGHT(E396,3)+0,SchLocTable!$A$2:$B$47,2,FALSE)</f>
        <v>High Horizons Magnet</v>
      </c>
      <c r="B396" s="207" t="str">
        <f>VLOOKUP(VALUE(D396),$D$3:F$106,3,FALSE)</f>
        <v>Elementary Classroom</v>
      </c>
      <c r="C396" s="755" t="s">
        <v>246</v>
      </c>
      <c r="D396" s="751" t="s">
        <v>291</v>
      </c>
      <c r="E396" s="751" t="s">
        <v>319</v>
      </c>
      <c r="F396" s="751" t="s">
        <v>257</v>
      </c>
      <c r="G396" s="752" t="s">
        <v>1681</v>
      </c>
      <c r="H396" s="753">
        <v>51140</v>
      </c>
      <c r="I396" s="754">
        <v>6100</v>
      </c>
      <c r="J396" s="754">
        <v>0</v>
      </c>
      <c r="K396" s="754">
        <v>0</v>
      </c>
      <c r="L396" s="754">
        <v>0</v>
      </c>
      <c r="M396" s="754">
        <f t="shared" si="37"/>
        <v>0</v>
      </c>
      <c r="N396" s="756">
        <v>6100</v>
      </c>
      <c r="O396" s="720">
        <f t="shared" si="38"/>
        <v>0</v>
      </c>
    </row>
    <row r="397" spans="1:15" outlineLevel="2" x14ac:dyDescent="0.25">
      <c r="A397" s="207" t="str">
        <f>VLOOKUP(RIGHT(E397,3)+0,SchLocTable!$A$2:$B$47,2,FALSE)</f>
        <v>High Horizons Magnet</v>
      </c>
      <c r="B397" s="207" t="str">
        <f>VLOOKUP(VALUE(D397),$D$3:F$106,3,FALSE)</f>
        <v>Elementary Classroom</v>
      </c>
      <c r="C397" s="751" t="s">
        <v>246</v>
      </c>
      <c r="D397" s="751" t="s">
        <v>291</v>
      </c>
      <c r="E397" s="751" t="s">
        <v>319</v>
      </c>
      <c r="F397" s="751" t="s">
        <v>254</v>
      </c>
      <c r="G397" s="752" t="s">
        <v>1681</v>
      </c>
      <c r="H397" s="753">
        <v>52360</v>
      </c>
      <c r="I397" s="754">
        <v>10137.42</v>
      </c>
      <c r="J397" s="754">
        <v>0</v>
      </c>
      <c r="K397" s="754">
        <v>0</v>
      </c>
      <c r="L397" s="754">
        <v>1777.08</v>
      </c>
      <c r="M397" s="754">
        <f t="shared" si="37"/>
        <v>1777.08</v>
      </c>
      <c r="N397" s="756">
        <v>10137.42</v>
      </c>
      <c r="O397" s="720">
        <f t="shared" si="38"/>
        <v>0</v>
      </c>
    </row>
    <row r="398" spans="1:15" outlineLevel="2" x14ac:dyDescent="0.25">
      <c r="A398" s="207" t="str">
        <f>VLOOKUP(RIGHT(E398,3)+0,SchLocTable!$A$2:$B$47,2,FALSE)</f>
        <v>High Horizons Magnet</v>
      </c>
      <c r="B398" s="207" t="str">
        <f>VLOOKUP(VALUE(D398),$D$3:F$106,3,FALSE)</f>
        <v>Elementary Classroom</v>
      </c>
      <c r="C398" s="751" t="s">
        <v>246</v>
      </c>
      <c r="D398" s="751" t="s">
        <v>291</v>
      </c>
      <c r="E398" s="751" t="s">
        <v>319</v>
      </c>
      <c r="F398" s="751" t="s">
        <v>259</v>
      </c>
      <c r="G398" s="752" t="s">
        <v>1681</v>
      </c>
      <c r="H398" s="753">
        <v>52917</v>
      </c>
      <c r="I398" s="754">
        <v>199506.72</v>
      </c>
      <c r="J398" s="754">
        <v>0</v>
      </c>
      <c r="K398" s="754">
        <v>0</v>
      </c>
      <c r="L398" s="754">
        <v>47501.599999999999</v>
      </c>
      <c r="M398" s="754">
        <f t="shared" si="37"/>
        <v>47501.599999999999</v>
      </c>
      <c r="N398" s="756">
        <v>199506.72</v>
      </c>
      <c r="O398" s="720">
        <f t="shared" si="38"/>
        <v>0</v>
      </c>
    </row>
    <row r="399" spans="1:15" outlineLevel="2" x14ac:dyDescent="0.25">
      <c r="A399" s="207" t="str">
        <f>VLOOKUP(RIGHT(E399,3)+0,SchLocTable!$A$2:$B$47,2,FALSE)</f>
        <v>Multicultural Magnet</v>
      </c>
      <c r="B399" s="207" t="str">
        <f>VLOOKUP(VALUE(D399),$D$3:F$106,3,FALSE)</f>
        <v>Elementary Classroom</v>
      </c>
      <c r="C399" s="751" t="s">
        <v>246</v>
      </c>
      <c r="D399" s="751" t="s">
        <v>291</v>
      </c>
      <c r="E399" s="751" t="s">
        <v>320</v>
      </c>
      <c r="F399" s="751" t="s">
        <v>248</v>
      </c>
      <c r="G399" s="752">
        <v>8</v>
      </c>
      <c r="H399" s="753">
        <v>51000</v>
      </c>
      <c r="I399" s="754">
        <v>614046.31000000006</v>
      </c>
      <c r="J399" s="754">
        <v>0</v>
      </c>
      <c r="K399" s="754">
        <v>0</v>
      </c>
      <c r="L399" s="754">
        <v>122081.24</v>
      </c>
      <c r="M399" s="754">
        <f t="shared" si="37"/>
        <v>122081.24</v>
      </c>
      <c r="N399" s="756">
        <v>614046.31000000006</v>
      </c>
      <c r="O399" s="720">
        <f t="shared" si="38"/>
        <v>0</v>
      </c>
    </row>
    <row r="400" spans="1:15" outlineLevel="2" x14ac:dyDescent="0.25">
      <c r="A400" s="207" t="str">
        <f>VLOOKUP(RIGHT(E400,3)+0,SchLocTable!$A$2:$B$47,2,FALSE)</f>
        <v>Multicultural Magnet</v>
      </c>
      <c r="B400" s="207" t="str">
        <f>VLOOKUP(VALUE(D400),$D$3:F$106,3,FALSE)</f>
        <v>Elementary Classroom</v>
      </c>
      <c r="C400" s="751" t="s">
        <v>246</v>
      </c>
      <c r="D400" s="751" t="s">
        <v>291</v>
      </c>
      <c r="E400" s="751" t="s">
        <v>320</v>
      </c>
      <c r="F400" s="751" t="s">
        <v>257</v>
      </c>
      <c r="G400" s="752" t="s">
        <v>1681</v>
      </c>
      <c r="H400" s="753">
        <v>51140</v>
      </c>
      <c r="I400" s="754">
        <v>6800</v>
      </c>
      <c r="J400" s="754">
        <v>0</v>
      </c>
      <c r="K400" s="754">
        <v>0</v>
      </c>
      <c r="L400" s="754">
        <v>0</v>
      </c>
      <c r="M400" s="754">
        <f t="shared" si="37"/>
        <v>0</v>
      </c>
      <c r="N400" s="756">
        <v>6800</v>
      </c>
      <c r="O400" s="720">
        <f t="shared" si="38"/>
        <v>0</v>
      </c>
    </row>
    <row r="401" spans="1:15" outlineLevel="2" x14ac:dyDescent="0.25">
      <c r="A401" s="207" t="str">
        <f>VLOOKUP(RIGHT(E401,3)+0,SchLocTable!$A$2:$B$47,2,FALSE)</f>
        <v>Multicultural Magnet</v>
      </c>
      <c r="B401" s="207" t="str">
        <f>VLOOKUP(VALUE(D401),$D$3:F$106,3,FALSE)</f>
        <v>Elementary Classroom</v>
      </c>
      <c r="C401" s="755" t="s">
        <v>246</v>
      </c>
      <c r="D401" s="751" t="s">
        <v>291</v>
      </c>
      <c r="E401" s="751" t="s">
        <v>320</v>
      </c>
      <c r="F401" s="751" t="s">
        <v>252</v>
      </c>
      <c r="G401" s="752" t="s">
        <v>1681</v>
      </c>
      <c r="H401" s="753">
        <v>51154</v>
      </c>
      <c r="I401" s="754">
        <v>0</v>
      </c>
      <c r="J401" s="754">
        <v>0</v>
      </c>
      <c r="K401" s="754">
        <v>0</v>
      </c>
      <c r="L401" s="754">
        <v>0</v>
      </c>
      <c r="M401" s="754">
        <f t="shared" si="37"/>
        <v>0</v>
      </c>
      <c r="N401" s="756">
        <v>0</v>
      </c>
      <c r="O401" s="720">
        <f t="shared" si="38"/>
        <v>0</v>
      </c>
    </row>
    <row r="402" spans="1:15" outlineLevel="2" x14ac:dyDescent="0.25">
      <c r="A402" s="207" t="str">
        <f>VLOOKUP(RIGHT(E402,3)+0,SchLocTable!$A$2:$B$47,2,FALSE)</f>
        <v>Multicultural Magnet</v>
      </c>
      <c r="B402" s="207" t="str">
        <f>VLOOKUP(VALUE(D402),$D$3:F$106,3,FALSE)</f>
        <v>Elementary Classroom</v>
      </c>
      <c r="C402" s="755" t="s">
        <v>246</v>
      </c>
      <c r="D402" s="751" t="s">
        <v>291</v>
      </c>
      <c r="E402" s="751" t="s">
        <v>320</v>
      </c>
      <c r="F402" s="751" t="s">
        <v>254</v>
      </c>
      <c r="G402" s="752" t="s">
        <v>1681</v>
      </c>
      <c r="H402" s="753">
        <v>52360</v>
      </c>
      <c r="I402" s="754">
        <v>8738.36</v>
      </c>
      <c r="J402" s="754">
        <v>0</v>
      </c>
      <c r="K402" s="754">
        <v>0</v>
      </c>
      <c r="L402" s="754">
        <v>1604.87</v>
      </c>
      <c r="M402" s="754">
        <f t="shared" si="37"/>
        <v>1604.87</v>
      </c>
      <c r="N402" s="756">
        <v>8738.36</v>
      </c>
      <c r="O402" s="720">
        <f t="shared" si="38"/>
        <v>0</v>
      </c>
    </row>
    <row r="403" spans="1:15" outlineLevel="2" x14ac:dyDescent="0.25">
      <c r="A403" s="207" t="str">
        <f>VLOOKUP(RIGHT(E403,3)+0,SchLocTable!$A$2:$B$47,2,FALSE)</f>
        <v>Multicultural Magnet</v>
      </c>
      <c r="B403" s="207" t="str">
        <f>VLOOKUP(VALUE(D403),$D$3:F$106,3,FALSE)</f>
        <v>Elementary Classroom</v>
      </c>
      <c r="C403" s="751" t="s">
        <v>246</v>
      </c>
      <c r="D403" s="751" t="s">
        <v>291</v>
      </c>
      <c r="E403" s="751" t="s">
        <v>320</v>
      </c>
      <c r="F403" s="751" t="s">
        <v>259</v>
      </c>
      <c r="G403" s="752" t="s">
        <v>1681</v>
      </c>
      <c r="H403" s="753">
        <v>52917</v>
      </c>
      <c r="I403" s="754">
        <v>163190.92000000001</v>
      </c>
      <c r="J403" s="754">
        <v>0</v>
      </c>
      <c r="K403" s="754">
        <v>0</v>
      </c>
      <c r="L403" s="754">
        <v>37897.480000000003</v>
      </c>
      <c r="M403" s="754">
        <f t="shared" si="37"/>
        <v>37897.480000000003</v>
      </c>
      <c r="N403" s="756">
        <v>163190.92000000001</v>
      </c>
      <c r="O403" s="720">
        <f t="shared" si="38"/>
        <v>0</v>
      </c>
    </row>
    <row r="404" spans="1:15" outlineLevel="2" x14ac:dyDescent="0.25">
      <c r="A404" s="207" t="e">
        <f>VLOOKUP(RIGHT(E404,3)+0,SchLocTable!$A$2:$B$47,2,FALSE)</f>
        <v>#N/A</v>
      </c>
      <c r="B404" s="207" t="str">
        <f>VLOOKUP(VALUE(D404),$D$3:F$106,3,FALSE)</f>
        <v>Substitutes</v>
      </c>
      <c r="C404" s="755" t="s">
        <v>246</v>
      </c>
      <c r="D404" s="751" t="s">
        <v>321</v>
      </c>
      <c r="E404" s="751" t="s">
        <v>322</v>
      </c>
      <c r="F404" s="751" t="s">
        <v>323</v>
      </c>
      <c r="G404" s="752" t="s">
        <v>1681</v>
      </c>
      <c r="H404" s="753">
        <v>56115</v>
      </c>
      <c r="I404" s="754">
        <v>3483798</v>
      </c>
      <c r="J404" s="754">
        <v>1360594.27</v>
      </c>
      <c r="K404" s="754">
        <v>0</v>
      </c>
      <c r="L404" s="754">
        <v>123203.73</v>
      </c>
      <c r="M404" s="754">
        <f t="shared" si="37"/>
        <v>1483798</v>
      </c>
      <c r="N404" s="756">
        <v>8861285</v>
      </c>
      <c r="O404" s="720">
        <f t="shared" si="38"/>
        <v>-5377487</v>
      </c>
    </row>
    <row r="405" spans="1:15" outlineLevel="2" x14ac:dyDescent="0.25">
      <c r="A405" s="207" t="str">
        <f>VLOOKUP(RIGHT(E405,3)+0,SchLocTable!$A$2:$B$47,2,FALSE)</f>
        <v>Beardsley</v>
      </c>
      <c r="B405" s="207" t="str">
        <f>VLOOKUP(VALUE(D405),$D$3:F$106,3,FALSE)</f>
        <v>Paraprofessionals</v>
      </c>
      <c r="C405" s="751" t="s">
        <v>246</v>
      </c>
      <c r="D405" s="751" t="s">
        <v>1474</v>
      </c>
      <c r="E405" s="751" t="s">
        <v>2086</v>
      </c>
      <c r="F405" s="751" t="s">
        <v>257</v>
      </c>
      <c r="G405" s="752" t="s">
        <v>1681</v>
      </c>
      <c r="H405" s="753">
        <v>51140</v>
      </c>
      <c r="I405" s="754">
        <v>2660</v>
      </c>
      <c r="J405" s="754">
        <v>0</v>
      </c>
      <c r="K405" s="754">
        <v>0</v>
      </c>
      <c r="L405" s="754">
        <v>0</v>
      </c>
      <c r="M405" s="754">
        <f t="shared" si="37"/>
        <v>0</v>
      </c>
      <c r="N405" s="756">
        <v>2660</v>
      </c>
      <c r="O405" s="720">
        <f t="shared" si="38"/>
        <v>0</v>
      </c>
    </row>
    <row r="406" spans="1:15" outlineLevel="2" x14ac:dyDescent="0.25">
      <c r="A406" s="207" t="str">
        <f>VLOOKUP(RIGHT(E406,3)+0,SchLocTable!$A$2:$B$47,2,FALSE)</f>
        <v>Beardsley</v>
      </c>
      <c r="B406" s="207" t="str">
        <f>VLOOKUP(VALUE(D406),$D$3:F$106,3,FALSE)</f>
        <v>Paraprofessionals</v>
      </c>
      <c r="C406" s="751" t="s">
        <v>246</v>
      </c>
      <c r="D406" s="751" t="s">
        <v>1474</v>
      </c>
      <c r="E406" s="751" t="s">
        <v>2086</v>
      </c>
      <c r="F406" s="751" t="s">
        <v>254</v>
      </c>
      <c r="G406" s="752" t="s">
        <v>1681</v>
      </c>
      <c r="H406" s="753">
        <v>52360</v>
      </c>
      <c r="I406" s="754">
        <v>0</v>
      </c>
      <c r="J406" s="754">
        <v>0</v>
      </c>
      <c r="K406" s="754">
        <v>0</v>
      </c>
      <c r="L406" s="754">
        <v>0</v>
      </c>
      <c r="M406" s="754">
        <f t="shared" si="37"/>
        <v>0</v>
      </c>
      <c r="N406" s="756">
        <v>0</v>
      </c>
      <c r="O406" s="720">
        <f t="shared" si="38"/>
        <v>0</v>
      </c>
    </row>
    <row r="407" spans="1:15" outlineLevel="2" x14ac:dyDescent="0.25">
      <c r="A407" s="207" t="str">
        <f>VLOOKUP(RIGHT(E407,3)+0,SchLocTable!$A$2:$B$47,2,FALSE)</f>
        <v>Beardsley</v>
      </c>
      <c r="B407" s="207" t="str">
        <f>VLOOKUP(VALUE(D407),$D$3:F$106,3,FALSE)</f>
        <v>Paraprofessionals</v>
      </c>
      <c r="C407" s="751" t="s">
        <v>246</v>
      </c>
      <c r="D407" s="751" t="s">
        <v>1474</v>
      </c>
      <c r="E407" s="751" t="s">
        <v>2086</v>
      </c>
      <c r="F407" s="751" t="s">
        <v>331</v>
      </c>
      <c r="G407" s="752" t="s">
        <v>1681</v>
      </c>
      <c r="H407" s="753">
        <v>52504</v>
      </c>
      <c r="I407" s="754">
        <v>0</v>
      </c>
      <c r="J407" s="754">
        <v>0</v>
      </c>
      <c r="K407" s="754">
        <v>0</v>
      </c>
      <c r="L407" s="754">
        <v>0</v>
      </c>
      <c r="M407" s="754">
        <f t="shared" si="37"/>
        <v>0</v>
      </c>
      <c r="N407" s="756">
        <v>0</v>
      </c>
      <c r="O407" s="720">
        <f t="shared" si="38"/>
        <v>0</v>
      </c>
    </row>
    <row r="408" spans="1:15" outlineLevel="2" x14ac:dyDescent="0.25">
      <c r="A408" s="207" t="str">
        <f>VLOOKUP(RIGHT(E408,3)+0,SchLocTable!$A$2:$B$47,2,FALSE)</f>
        <v>Black Rock</v>
      </c>
      <c r="B408" s="207" t="str">
        <f>VLOOKUP(VALUE(D408),$D$3:F$106,3,FALSE)</f>
        <v>Paraprofessionals</v>
      </c>
      <c r="C408" s="751" t="s">
        <v>246</v>
      </c>
      <c r="D408" s="751" t="s">
        <v>1474</v>
      </c>
      <c r="E408" s="751" t="s">
        <v>2087</v>
      </c>
      <c r="F408" s="751" t="s">
        <v>257</v>
      </c>
      <c r="G408" s="752" t="s">
        <v>1681</v>
      </c>
      <c r="H408" s="753">
        <v>51140</v>
      </c>
      <c r="I408" s="754">
        <v>1610</v>
      </c>
      <c r="J408" s="754">
        <v>0</v>
      </c>
      <c r="K408" s="754">
        <v>0</v>
      </c>
      <c r="L408" s="754">
        <v>0</v>
      </c>
      <c r="M408" s="754">
        <f t="shared" si="37"/>
        <v>0</v>
      </c>
      <c r="N408" s="756">
        <v>1610</v>
      </c>
      <c r="O408" s="720">
        <f t="shared" si="38"/>
        <v>0</v>
      </c>
    </row>
    <row r="409" spans="1:15" outlineLevel="2" x14ac:dyDescent="0.25">
      <c r="A409" s="207" t="str">
        <f>VLOOKUP(RIGHT(E409,3)+0,SchLocTable!$A$2:$B$47,2,FALSE)</f>
        <v>Black Rock</v>
      </c>
      <c r="B409" s="207" t="str">
        <f>VLOOKUP(VALUE(D409),$D$3:F$106,3,FALSE)</f>
        <v>Paraprofessionals</v>
      </c>
      <c r="C409" s="751" t="s">
        <v>246</v>
      </c>
      <c r="D409" s="751" t="s">
        <v>1474</v>
      </c>
      <c r="E409" s="751" t="s">
        <v>2087</v>
      </c>
      <c r="F409" s="751" t="s">
        <v>254</v>
      </c>
      <c r="G409" s="752" t="s">
        <v>1681</v>
      </c>
      <c r="H409" s="753">
        <v>52360</v>
      </c>
      <c r="I409" s="754">
        <v>0</v>
      </c>
      <c r="J409" s="754">
        <v>0</v>
      </c>
      <c r="K409" s="754">
        <v>0</v>
      </c>
      <c r="L409" s="754">
        <v>0</v>
      </c>
      <c r="M409" s="754">
        <f t="shared" si="37"/>
        <v>0</v>
      </c>
      <c r="N409" s="756">
        <v>0</v>
      </c>
      <c r="O409" s="720">
        <f t="shared" si="38"/>
        <v>0</v>
      </c>
    </row>
    <row r="410" spans="1:15" outlineLevel="2" x14ac:dyDescent="0.25">
      <c r="A410" s="207" t="str">
        <f>VLOOKUP(RIGHT(E410,3)+0,SchLocTable!$A$2:$B$47,2,FALSE)</f>
        <v>Black Rock</v>
      </c>
      <c r="B410" s="207" t="str">
        <f>VLOOKUP(VALUE(D410),$D$3:F$106,3,FALSE)</f>
        <v>Paraprofessionals</v>
      </c>
      <c r="C410" s="751" t="s">
        <v>246</v>
      </c>
      <c r="D410" s="751" t="s">
        <v>1474</v>
      </c>
      <c r="E410" s="751" t="s">
        <v>2087</v>
      </c>
      <c r="F410" s="751" t="s">
        <v>331</v>
      </c>
      <c r="G410" s="752" t="s">
        <v>1681</v>
      </c>
      <c r="H410" s="753">
        <v>52504</v>
      </c>
      <c r="I410" s="754">
        <v>0</v>
      </c>
      <c r="J410" s="754">
        <v>0</v>
      </c>
      <c r="K410" s="754">
        <v>0</v>
      </c>
      <c r="L410" s="754">
        <v>0</v>
      </c>
      <c r="M410" s="754">
        <f t="shared" si="37"/>
        <v>0</v>
      </c>
      <c r="N410" s="756">
        <v>0</v>
      </c>
      <c r="O410" s="720">
        <f t="shared" si="38"/>
        <v>0</v>
      </c>
    </row>
    <row r="411" spans="1:15" outlineLevel="2" x14ac:dyDescent="0.25">
      <c r="A411" s="207" t="str">
        <f>VLOOKUP(RIGHT(E411,3)+0,SchLocTable!$A$2:$B$47,2,FALSE)</f>
        <v>Bryant</v>
      </c>
      <c r="B411" s="207" t="str">
        <f>VLOOKUP(VALUE(D411),$D$3:F$106,3,FALSE)</f>
        <v>Paraprofessionals</v>
      </c>
      <c r="C411" s="751" t="s">
        <v>246</v>
      </c>
      <c r="D411" s="751" t="s">
        <v>1474</v>
      </c>
      <c r="E411" s="751" t="s">
        <v>2088</v>
      </c>
      <c r="F411" s="751" t="s">
        <v>257</v>
      </c>
      <c r="G411" s="752" t="s">
        <v>1681</v>
      </c>
      <c r="H411" s="753">
        <v>51140</v>
      </c>
      <c r="I411" s="754">
        <v>1540</v>
      </c>
      <c r="J411" s="754">
        <v>0</v>
      </c>
      <c r="K411" s="754">
        <v>0</v>
      </c>
      <c r="L411" s="754">
        <v>0</v>
      </c>
      <c r="M411" s="754">
        <f t="shared" si="37"/>
        <v>0</v>
      </c>
      <c r="N411" s="756">
        <v>1540</v>
      </c>
      <c r="O411" s="720">
        <f t="shared" si="38"/>
        <v>0</v>
      </c>
    </row>
    <row r="412" spans="1:15" outlineLevel="2" x14ac:dyDescent="0.25">
      <c r="A412" s="207" t="str">
        <f>VLOOKUP(RIGHT(E412,3)+0,SchLocTable!$A$2:$B$47,2,FALSE)</f>
        <v>Marin</v>
      </c>
      <c r="B412" s="207" t="str">
        <f>VLOOKUP(VALUE(D412),$D$3:F$106,3,FALSE)</f>
        <v>Paraprofessionals</v>
      </c>
      <c r="C412" s="755" t="s">
        <v>246</v>
      </c>
      <c r="D412" s="751" t="s">
        <v>1474</v>
      </c>
      <c r="E412" s="751" t="s">
        <v>2089</v>
      </c>
      <c r="F412" s="751" t="s">
        <v>257</v>
      </c>
      <c r="G412" s="752" t="s">
        <v>1681</v>
      </c>
      <c r="H412" s="753">
        <v>51140</v>
      </c>
      <c r="I412" s="754">
        <v>2450</v>
      </c>
      <c r="J412" s="754">
        <v>0</v>
      </c>
      <c r="K412" s="754">
        <v>0</v>
      </c>
      <c r="L412" s="754">
        <v>0</v>
      </c>
      <c r="M412" s="754">
        <f t="shared" si="37"/>
        <v>0</v>
      </c>
      <c r="N412" s="756">
        <v>2450</v>
      </c>
      <c r="O412" s="720">
        <f t="shared" si="38"/>
        <v>0</v>
      </c>
    </row>
    <row r="413" spans="1:15" outlineLevel="2" x14ac:dyDescent="0.25">
      <c r="A413" s="207" t="str">
        <f>VLOOKUP(RIGHT(E413,3)+0,SchLocTable!$A$2:$B$47,2,FALSE)</f>
        <v>Marin</v>
      </c>
      <c r="B413" s="207" t="str">
        <f>VLOOKUP(VALUE(D413),$D$3:F$106,3,FALSE)</f>
        <v>Paraprofessionals</v>
      </c>
      <c r="C413" s="751" t="s">
        <v>246</v>
      </c>
      <c r="D413" s="751" t="s">
        <v>1474</v>
      </c>
      <c r="E413" s="751" t="s">
        <v>2089</v>
      </c>
      <c r="F413" s="751" t="s">
        <v>254</v>
      </c>
      <c r="G413" s="752" t="s">
        <v>1681</v>
      </c>
      <c r="H413" s="753">
        <v>52360</v>
      </c>
      <c r="I413" s="754">
        <v>0</v>
      </c>
      <c r="J413" s="754">
        <v>0</v>
      </c>
      <c r="K413" s="754">
        <v>0</v>
      </c>
      <c r="L413" s="754">
        <v>0</v>
      </c>
      <c r="M413" s="754">
        <f t="shared" si="37"/>
        <v>0</v>
      </c>
      <c r="N413" s="756">
        <v>0</v>
      </c>
      <c r="O413" s="720">
        <f t="shared" si="38"/>
        <v>0</v>
      </c>
    </row>
    <row r="414" spans="1:15" outlineLevel="2" x14ac:dyDescent="0.25">
      <c r="A414" s="207" t="str">
        <f>VLOOKUP(RIGHT(E414,3)+0,SchLocTable!$A$2:$B$47,2,FALSE)</f>
        <v>Marin</v>
      </c>
      <c r="B414" s="207" t="str">
        <f>VLOOKUP(VALUE(D414),$D$3:F$106,3,FALSE)</f>
        <v>Paraprofessionals</v>
      </c>
      <c r="C414" s="751" t="s">
        <v>246</v>
      </c>
      <c r="D414" s="751" t="s">
        <v>1474</v>
      </c>
      <c r="E414" s="751" t="s">
        <v>2089</v>
      </c>
      <c r="F414" s="751" t="s">
        <v>331</v>
      </c>
      <c r="G414" s="752" t="s">
        <v>1681</v>
      </c>
      <c r="H414" s="753">
        <v>52504</v>
      </c>
      <c r="I414" s="754">
        <v>0</v>
      </c>
      <c r="J414" s="754">
        <v>0</v>
      </c>
      <c r="K414" s="754">
        <v>0</v>
      </c>
      <c r="L414" s="754">
        <v>0</v>
      </c>
      <c r="M414" s="754">
        <f t="shared" si="37"/>
        <v>0</v>
      </c>
      <c r="N414" s="756">
        <v>0</v>
      </c>
      <c r="O414" s="720">
        <f t="shared" si="38"/>
        <v>0</v>
      </c>
    </row>
    <row r="415" spans="1:15" outlineLevel="2" x14ac:dyDescent="0.25">
      <c r="A415" s="207" t="str">
        <f>VLOOKUP(RIGHT(E415,3)+0,SchLocTable!$A$2:$B$47,2,FALSE)</f>
        <v>Hooker</v>
      </c>
      <c r="B415" s="207" t="str">
        <f>VLOOKUP(VALUE(D415),$D$3:F$106,3,FALSE)</f>
        <v>Paraprofessionals</v>
      </c>
      <c r="C415" s="751" t="s">
        <v>246</v>
      </c>
      <c r="D415" s="751" t="s">
        <v>1474</v>
      </c>
      <c r="E415" s="751" t="s">
        <v>2090</v>
      </c>
      <c r="F415" s="751" t="s">
        <v>257</v>
      </c>
      <c r="G415" s="752" t="s">
        <v>1681</v>
      </c>
      <c r="H415" s="753">
        <v>51140</v>
      </c>
      <c r="I415" s="754">
        <v>980</v>
      </c>
      <c r="J415" s="754">
        <v>0</v>
      </c>
      <c r="K415" s="754">
        <v>0</v>
      </c>
      <c r="L415" s="754">
        <v>0</v>
      </c>
      <c r="M415" s="754">
        <f t="shared" si="37"/>
        <v>0</v>
      </c>
      <c r="N415" s="756">
        <v>980</v>
      </c>
      <c r="O415" s="720">
        <f t="shared" si="38"/>
        <v>0</v>
      </c>
    </row>
    <row r="416" spans="1:15" outlineLevel="2" x14ac:dyDescent="0.25">
      <c r="A416" s="207" t="str">
        <f>VLOOKUP(RIGHT(E416,3)+0,SchLocTable!$A$2:$B$47,2,FALSE)</f>
        <v>Hooker</v>
      </c>
      <c r="B416" s="207" t="str">
        <f>VLOOKUP(VALUE(D416),$D$3:F$106,3,FALSE)</f>
        <v>Paraprofessionals</v>
      </c>
      <c r="C416" s="751" t="s">
        <v>246</v>
      </c>
      <c r="D416" s="751" t="s">
        <v>1474</v>
      </c>
      <c r="E416" s="751" t="s">
        <v>2090</v>
      </c>
      <c r="F416" s="751" t="s">
        <v>254</v>
      </c>
      <c r="G416" s="752" t="s">
        <v>1681</v>
      </c>
      <c r="H416" s="753">
        <v>52360</v>
      </c>
      <c r="I416" s="754">
        <v>0</v>
      </c>
      <c r="J416" s="754">
        <v>0</v>
      </c>
      <c r="K416" s="754">
        <v>0</v>
      </c>
      <c r="L416" s="754">
        <v>0</v>
      </c>
      <c r="M416" s="754">
        <f t="shared" si="37"/>
        <v>0</v>
      </c>
      <c r="N416" s="756">
        <v>0</v>
      </c>
      <c r="O416" s="720">
        <f t="shared" si="38"/>
        <v>0</v>
      </c>
    </row>
    <row r="417" spans="1:15" outlineLevel="2" x14ac:dyDescent="0.25">
      <c r="A417" s="207" t="str">
        <f>VLOOKUP(RIGHT(E417,3)+0,SchLocTable!$A$2:$B$47,2,FALSE)</f>
        <v>Hooker</v>
      </c>
      <c r="B417" s="207" t="str">
        <f>VLOOKUP(VALUE(D417),$D$3:F$106,3,FALSE)</f>
        <v>Paraprofessionals</v>
      </c>
      <c r="C417" s="755" t="s">
        <v>246</v>
      </c>
      <c r="D417" s="751" t="s">
        <v>1474</v>
      </c>
      <c r="E417" s="751" t="s">
        <v>2090</v>
      </c>
      <c r="F417" s="751" t="s">
        <v>331</v>
      </c>
      <c r="G417" s="752" t="s">
        <v>1681</v>
      </c>
      <c r="H417" s="753">
        <v>52504</v>
      </c>
      <c r="I417" s="754">
        <v>0</v>
      </c>
      <c r="J417" s="754">
        <v>0</v>
      </c>
      <c r="K417" s="754">
        <v>0</v>
      </c>
      <c r="L417" s="754">
        <v>0</v>
      </c>
      <c r="M417" s="754">
        <f t="shared" si="37"/>
        <v>0</v>
      </c>
      <c r="N417" s="756">
        <v>0</v>
      </c>
      <c r="O417" s="720">
        <f t="shared" si="38"/>
        <v>0</v>
      </c>
    </row>
    <row r="418" spans="1:15" outlineLevel="2" x14ac:dyDescent="0.25">
      <c r="A418" s="207" t="str">
        <f>VLOOKUP(RIGHT(E418,3)+0,SchLocTable!$A$2:$B$47,2,FALSE)</f>
        <v>Batalla</v>
      </c>
      <c r="B418" s="207" t="str">
        <f>VLOOKUP(VALUE(D418),$D$3:F$106,3,FALSE)</f>
        <v>Paraprofessionals</v>
      </c>
      <c r="C418" s="751" t="s">
        <v>246</v>
      </c>
      <c r="D418" s="751" t="s">
        <v>1474</v>
      </c>
      <c r="E418" s="751" t="s">
        <v>2091</v>
      </c>
      <c r="F418" s="751" t="s">
        <v>257</v>
      </c>
      <c r="G418" s="752" t="s">
        <v>1681</v>
      </c>
      <c r="H418" s="753">
        <v>51140</v>
      </c>
      <c r="I418" s="754">
        <v>6300</v>
      </c>
      <c r="J418" s="754">
        <v>0</v>
      </c>
      <c r="K418" s="754">
        <v>0</v>
      </c>
      <c r="L418" s="754">
        <v>0</v>
      </c>
      <c r="M418" s="754">
        <f t="shared" si="37"/>
        <v>0</v>
      </c>
      <c r="N418" s="756">
        <v>6300</v>
      </c>
      <c r="O418" s="720">
        <f t="shared" si="38"/>
        <v>0</v>
      </c>
    </row>
    <row r="419" spans="1:15" outlineLevel="2" x14ac:dyDescent="0.25">
      <c r="A419" s="207" t="str">
        <f>VLOOKUP(RIGHT(E419,3)+0,SchLocTable!$A$2:$B$47,2,FALSE)</f>
        <v>Batalla</v>
      </c>
      <c r="B419" s="207" t="str">
        <f>VLOOKUP(VALUE(D419),$D$3:F$106,3,FALSE)</f>
        <v>Paraprofessionals</v>
      </c>
      <c r="C419" s="755" t="s">
        <v>246</v>
      </c>
      <c r="D419" s="751" t="s">
        <v>1474</v>
      </c>
      <c r="E419" s="751" t="s">
        <v>2091</v>
      </c>
      <c r="F419" s="751" t="s">
        <v>254</v>
      </c>
      <c r="G419" s="752" t="s">
        <v>1681</v>
      </c>
      <c r="H419" s="753">
        <v>52360</v>
      </c>
      <c r="I419" s="754">
        <v>0</v>
      </c>
      <c r="J419" s="754">
        <v>0</v>
      </c>
      <c r="K419" s="754">
        <v>0</v>
      </c>
      <c r="L419" s="754">
        <v>0</v>
      </c>
      <c r="M419" s="754">
        <f t="shared" si="37"/>
        <v>0</v>
      </c>
      <c r="N419" s="756">
        <v>0</v>
      </c>
      <c r="O419" s="720">
        <f t="shared" si="38"/>
        <v>0</v>
      </c>
    </row>
    <row r="420" spans="1:15" outlineLevel="2" x14ac:dyDescent="0.25">
      <c r="A420" s="207" t="str">
        <f>VLOOKUP(RIGHT(E420,3)+0,SchLocTable!$A$2:$B$47,2,FALSE)</f>
        <v>Batalla</v>
      </c>
      <c r="B420" s="207" t="str">
        <f>VLOOKUP(VALUE(D420),$D$3:F$106,3,FALSE)</f>
        <v>Paraprofessionals</v>
      </c>
      <c r="C420" s="751" t="s">
        <v>246</v>
      </c>
      <c r="D420" s="751" t="s">
        <v>1474</v>
      </c>
      <c r="E420" s="751" t="s">
        <v>2091</v>
      </c>
      <c r="F420" s="751" t="s">
        <v>331</v>
      </c>
      <c r="G420" s="752" t="s">
        <v>1681</v>
      </c>
      <c r="H420" s="753">
        <v>52504</v>
      </c>
      <c r="I420" s="754">
        <v>0</v>
      </c>
      <c r="J420" s="754">
        <v>0</v>
      </c>
      <c r="K420" s="754">
        <v>0</v>
      </c>
      <c r="L420" s="754">
        <v>0</v>
      </c>
      <c r="M420" s="754">
        <f t="shared" si="37"/>
        <v>0</v>
      </c>
      <c r="N420" s="756">
        <v>0</v>
      </c>
      <c r="O420" s="720">
        <f t="shared" si="38"/>
        <v>0</v>
      </c>
    </row>
    <row r="421" spans="1:15" outlineLevel="2" x14ac:dyDescent="0.25">
      <c r="A421" s="207" t="str">
        <f>VLOOKUP(RIGHT(E421,3)+0,SchLocTable!$A$2:$B$47,2,FALSE)</f>
        <v>Park City Magnet</v>
      </c>
      <c r="B421" s="207" t="str">
        <f>VLOOKUP(VALUE(D421),$D$3:F$106,3,FALSE)</f>
        <v>Paraprofessionals</v>
      </c>
      <c r="C421" s="751" t="s">
        <v>246</v>
      </c>
      <c r="D421" s="751" t="s">
        <v>1474</v>
      </c>
      <c r="E421" s="751" t="s">
        <v>2092</v>
      </c>
      <c r="F421" s="751" t="s">
        <v>257</v>
      </c>
      <c r="G421" s="752" t="s">
        <v>1681</v>
      </c>
      <c r="H421" s="753">
        <v>51140</v>
      </c>
      <c r="I421" s="754">
        <v>1260</v>
      </c>
      <c r="J421" s="754">
        <v>0</v>
      </c>
      <c r="K421" s="754">
        <v>0</v>
      </c>
      <c r="L421" s="754">
        <v>0</v>
      </c>
      <c r="M421" s="754">
        <f t="shared" si="37"/>
        <v>0</v>
      </c>
      <c r="N421" s="756">
        <v>1260</v>
      </c>
      <c r="O421" s="720">
        <f t="shared" si="38"/>
        <v>0</v>
      </c>
    </row>
    <row r="422" spans="1:15" outlineLevel="2" x14ac:dyDescent="0.25">
      <c r="A422" s="207" t="str">
        <f>VLOOKUP(RIGHT(E422,3)+0,SchLocTable!$A$2:$B$47,2,FALSE)</f>
        <v>Park City Magnet</v>
      </c>
      <c r="B422" s="207" t="str">
        <f>VLOOKUP(VALUE(D422),$D$3:F$106,3,FALSE)</f>
        <v>Paraprofessionals</v>
      </c>
      <c r="C422" s="755" t="s">
        <v>246</v>
      </c>
      <c r="D422" s="751" t="s">
        <v>1474</v>
      </c>
      <c r="E422" s="751" t="s">
        <v>2092</v>
      </c>
      <c r="F422" s="751" t="s">
        <v>254</v>
      </c>
      <c r="G422" s="752" t="s">
        <v>1681</v>
      </c>
      <c r="H422" s="753">
        <v>52360</v>
      </c>
      <c r="I422" s="754">
        <v>0</v>
      </c>
      <c r="J422" s="754">
        <v>0</v>
      </c>
      <c r="K422" s="754">
        <v>0</v>
      </c>
      <c r="L422" s="754">
        <v>0</v>
      </c>
      <c r="M422" s="754">
        <f t="shared" si="37"/>
        <v>0</v>
      </c>
      <c r="N422" s="756">
        <v>0</v>
      </c>
      <c r="O422" s="720">
        <f t="shared" si="38"/>
        <v>0</v>
      </c>
    </row>
    <row r="423" spans="1:15" outlineLevel="2" x14ac:dyDescent="0.25">
      <c r="A423" s="207" t="str">
        <f>VLOOKUP(RIGHT(E423,3)+0,SchLocTable!$A$2:$B$47,2,FALSE)</f>
        <v>Park City Magnet</v>
      </c>
      <c r="B423" s="207" t="str">
        <f>VLOOKUP(VALUE(D423),$D$3:F$106,3,FALSE)</f>
        <v>Paraprofessionals</v>
      </c>
      <c r="C423" s="755" t="s">
        <v>246</v>
      </c>
      <c r="D423" s="751" t="s">
        <v>1474</v>
      </c>
      <c r="E423" s="751" t="s">
        <v>2092</v>
      </c>
      <c r="F423" s="751" t="s">
        <v>331</v>
      </c>
      <c r="G423" s="752" t="s">
        <v>1681</v>
      </c>
      <c r="H423" s="753">
        <v>52504</v>
      </c>
      <c r="I423" s="754">
        <v>0</v>
      </c>
      <c r="J423" s="754">
        <v>0</v>
      </c>
      <c r="K423" s="754">
        <v>0</v>
      </c>
      <c r="L423" s="754">
        <v>0</v>
      </c>
      <c r="M423" s="754">
        <f t="shared" si="37"/>
        <v>0</v>
      </c>
      <c r="N423" s="756">
        <v>0</v>
      </c>
      <c r="O423" s="720">
        <f t="shared" si="38"/>
        <v>0</v>
      </c>
    </row>
    <row r="424" spans="1:15" outlineLevel="2" x14ac:dyDescent="0.25">
      <c r="A424" s="207" t="str">
        <f>VLOOKUP(RIGHT(E424,3)+0,SchLocTable!$A$2:$B$47,2,FALSE)</f>
        <v>Madison</v>
      </c>
      <c r="B424" s="207" t="str">
        <f>VLOOKUP(VALUE(D424),$D$3:F$106,3,FALSE)</f>
        <v>Paraprofessionals</v>
      </c>
      <c r="C424" s="751" t="s">
        <v>246</v>
      </c>
      <c r="D424" s="751" t="s">
        <v>1474</v>
      </c>
      <c r="E424" s="751" t="s">
        <v>2093</v>
      </c>
      <c r="F424" s="751" t="s">
        <v>257</v>
      </c>
      <c r="G424" s="752" t="s">
        <v>1681</v>
      </c>
      <c r="H424" s="753">
        <v>51140</v>
      </c>
      <c r="I424" s="754">
        <v>1800</v>
      </c>
      <c r="J424" s="754">
        <v>0</v>
      </c>
      <c r="K424" s="754">
        <v>0</v>
      </c>
      <c r="L424" s="754">
        <v>0</v>
      </c>
      <c r="M424" s="754">
        <f t="shared" si="37"/>
        <v>0</v>
      </c>
      <c r="N424" s="756">
        <v>1800</v>
      </c>
      <c r="O424" s="720">
        <f t="shared" si="38"/>
        <v>0</v>
      </c>
    </row>
    <row r="425" spans="1:15" outlineLevel="2" x14ac:dyDescent="0.25">
      <c r="A425" s="207" t="str">
        <f>VLOOKUP(RIGHT(E425,3)+0,SchLocTable!$A$2:$B$47,2,FALSE)</f>
        <v>Madison</v>
      </c>
      <c r="B425" s="207" t="str">
        <f>VLOOKUP(VALUE(D425),$D$3:F$106,3,FALSE)</f>
        <v>Paraprofessionals</v>
      </c>
      <c r="C425" s="751" t="s">
        <v>246</v>
      </c>
      <c r="D425" s="751" t="s">
        <v>1474</v>
      </c>
      <c r="E425" s="751" t="s">
        <v>2093</v>
      </c>
      <c r="F425" s="751" t="s">
        <v>331</v>
      </c>
      <c r="G425" s="752" t="s">
        <v>1681</v>
      </c>
      <c r="H425" s="753">
        <v>52504</v>
      </c>
      <c r="I425" s="754">
        <v>0</v>
      </c>
      <c r="J425" s="754">
        <v>0</v>
      </c>
      <c r="K425" s="754">
        <v>0</v>
      </c>
      <c r="L425" s="754">
        <v>0</v>
      </c>
      <c r="M425" s="754">
        <f t="shared" si="37"/>
        <v>0</v>
      </c>
      <c r="N425" s="756">
        <v>0</v>
      </c>
      <c r="O425" s="720">
        <f t="shared" si="38"/>
        <v>0</v>
      </c>
    </row>
    <row r="426" spans="1:15" outlineLevel="2" x14ac:dyDescent="0.25">
      <c r="A426" s="207" t="str">
        <f>VLOOKUP(RIGHT(E426,3)+0,SchLocTable!$A$2:$B$47,2,FALSE)</f>
        <v>Tisdale</v>
      </c>
      <c r="B426" s="207" t="str">
        <f>VLOOKUP(VALUE(D426),$D$3:F$106,3,FALSE)</f>
        <v>Paraprofessionals</v>
      </c>
      <c r="C426" s="755" t="s">
        <v>246</v>
      </c>
      <c r="D426" s="751" t="s">
        <v>1474</v>
      </c>
      <c r="E426" s="751" t="s">
        <v>2094</v>
      </c>
      <c r="F426" s="751" t="s">
        <v>257</v>
      </c>
      <c r="G426" s="752" t="s">
        <v>1681</v>
      </c>
      <c r="H426" s="753">
        <v>51140</v>
      </c>
      <c r="I426" s="754">
        <v>1800</v>
      </c>
      <c r="J426" s="754">
        <v>0</v>
      </c>
      <c r="K426" s="754">
        <v>0</v>
      </c>
      <c r="L426" s="754">
        <v>0</v>
      </c>
      <c r="M426" s="754">
        <f t="shared" si="37"/>
        <v>0</v>
      </c>
      <c r="N426" s="756">
        <v>1800</v>
      </c>
      <c r="O426" s="720">
        <f t="shared" si="38"/>
        <v>0</v>
      </c>
    </row>
    <row r="427" spans="1:15" outlineLevel="2" x14ac:dyDescent="0.25">
      <c r="A427" s="207" t="str">
        <f>VLOOKUP(RIGHT(E427,3)+0,SchLocTable!$A$2:$B$47,2,FALSE)</f>
        <v>Tisdale</v>
      </c>
      <c r="B427" s="207" t="str">
        <f>VLOOKUP(VALUE(D427),$D$3:F$106,3,FALSE)</f>
        <v>Paraprofessionals</v>
      </c>
      <c r="C427" s="751" t="s">
        <v>246</v>
      </c>
      <c r="D427" s="751" t="s">
        <v>1474</v>
      </c>
      <c r="E427" s="751" t="s">
        <v>2094</v>
      </c>
      <c r="F427" s="751" t="s">
        <v>254</v>
      </c>
      <c r="G427" s="752" t="s">
        <v>1681</v>
      </c>
      <c r="H427" s="753">
        <v>52360</v>
      </c>
      <c r="I427" s="754">
        <v>0</v>
      </c>
      <c r="J427" s="754">
        <v>0</v>
      </c>
      <c r="K427" s="754">
        <v>0</v>
      </c>
      <c r="L427" s="754">
        <v>0</v>
      </c>
      <c r="M427" s="754">
        <f t="shared" si="37"/>
        <v>0</v>
      </c>
      <c r="N427" s="756">
        <v>0</v>
      </c>
      <c r="O427" s="720">
        <f t="shared" si="38"/>
        <v>0</v>
      </c>
    </row>
    <row r="428" spans="1:15" outlineLevel="2" x14ac:dyDescent="0.25">
      <c r="A428" s="207" t="str">
        <f>VLOOKUP(RIGHT(E428,3)+0,SchLocTable!$A$2:$B$47,2,FALSE)</f>
        <v>Tisdale</v>
      </c>
      <c r="B428" s="207" t="str">
        <f>VLOOKUP(VALUE(D428),$D$3:F$106,3,FALSE)</f>
        <v>Paraprofessionals</v>
      </c>
      <c r="C428" s="751" t="s">
        <v>246</v>
      </c>
      <c r="D428" s="751" t="s">
        <v>1474</v>
      </c>
      <c r="E428" s="751" t="s">
        <v>2094</v>
      </c>
      <c r="F428" s="751" t="s">
        <v>331</v>
      </c>
      <c r="G428" s="752" t="s">
        <v>1681</v>
      </c>
      <c r="H428" s="753">
        <v>52504</v>
      </c>
      <c r="I428" s="754">
        <v>0</v>
      </c>
      <c r="J428" s="754">
        <v>0</v>
      </c>
      <c r="K428" s="754">
        <v>0</v>
      </c>
      <c r="L428" s="754">
        <v>0</v>
      </c>
      <c r="M428" s="754">
        <f t="shared" si="37"/>
        <v>0</v>
      </c>
      <c r="N428" s="756">
        <v>0</v>
      </c>
      <c r="O428" s="720">
        <f t="shared" si="38"/>
        <v>0</v>
      </c>
    </row>
    <row r="429" spans="1:15" outlineLevel="2" x14ac:dyDescent="0.25">
      <c r="A429" s="207" t="str">
        <f>VLOOKUP(RIGHT(E429,3)+0,SchLocTable!$A$2:$B$47,2,FALSE)</f>
        <v>Read</v>
      </c>
      <c r="B429" s="207" t="str">
        <f>VLOOKUP(VALUE(D429),$D$3:F$106,3,FALSE)</f>
        <v>Paraprofessionals</v>
      </c>
      <c r="C429" s="751" t="s">
        <v>246</v>
      </c>
      <c r="D429" s="751" t="s">
        <v>1474</v>
      </c>
      <c r="E429" s="751" t="s">
        <v>2095</v>
      </c>
      <c r="F429" s="751" t="s">
        <v>257</v>
      </c>
      <c r="G429" s="752" t="s">
        <v>1681</v>
      </c>
      <c r="H429" s="753">
        <v>51140</v>
      </c>
      <c r="I429" s="754">
        <v>980</v>
      </c>
      <c r="J429" s="754">
        <v>0</v>
      </c>
      <c r="K429" s="754">
        <v>0</v>
      </c>
      <c r="L429" s="754">
        <v>0</v>
      </c>
      <c r="M429" s="754">
        <f t="shared" si="37"/>
        <v>0</v>
      </c>
      <c r="N429" s="756">
        <v>980</v>
      </c>
      <c r="O429" s="720">
        <f t="shared" si="38"/>
        <v>0</v>
      </c>
    </row>
    <row r="430" spans="1:15" outlineLevel="2" x14ac:dyDescent="0.25">
      <c r="A430" s="207" t="str">
        <f>VLOOKUP(RIGHT(E430,3)+0,SchLocTable!$A$2:$B$47,2,FALSE)</f>
        <v>Read</v>
      </c>
      <c r="B430" s="207" t="str">
        <f>VLOOKUP(VALUE(D430),$D$3:F$106,3,FALSE)</f>
        <v>Paraprofessionals</v>
      </c>
      <c r="C430" s="751" t="s">
        <v>246</v>
      </c>
      <c r="D430" s="751" t="s">
        <v>1474</v>
      </c>
      <c r="E430" s="751" t="s">
        <v>2095</v>
      </c>
      <c r="F430" s="751" t="s">
        <v>254</v>
      </c>
      <c r="G430" s="752" t="s">
        <v>1681</v>
      </c>
      <c r="H430" s="753">
        <v>52360</v>
      </c>
      <c r="I430" s="754">
        <v>0</v>
      </c>
      <c r="J430" s="754">
        <v>0</v>
      </c>
      <c r="K430" s="754">
        <v>0</v>
      </c>
      <c r="L430" s="754">
        <v>0</v>
      </c>
      <c r="M430" s="754">
        <f t="shared" si="37"/>
        <v>0</v>
      </c>
      <c r="N430" s="756">
        <v>0</v>
      </c>
      <c r="O430" s="720">
        <f t="shared" si="38"/>
        <v>0</v>
      </c>
    </row>
    <row r="431" spans="1:15" outlineLevel="2" x14ac:dyDescent="0.25">
      <c r="A431" s="207" t="str">
        <f>VLOOKUP(RIGHT(E431,3)+0,SchLocTable!$A$2:$B$47,2,FALSE)</f>
        <v>Read</v>
      </c>
      <c r="B431" s="207" t="str">
        <f>VLOOKUP(VALUE(D431),$D$3:F$106,3,FALSE)</f>
        <v>Paraprofessionals</v>
      </c>
      <c r="C431" s="751" t="s">
        <v>246</v>
      </c>
      <c r="D431" s="751" t="s">
        <v>1474</v>
      </c>
      <c r="E431" s="751" t="s">
        <v>2095</v>
      </c>
      <c r="F431" s="751" t="s">
        <v>331</v>
      </c>
      <c r="G431" s="752" t="s">
        <v>1681</v>
      </c>
      <c r="H431" s="753">
        <v>52504</v>
      </c>
      <c r="I431" s="754">
        <v>0</v>
      </c>
      <c r="J431" s="754">
        <v>0</v>
      </c>
      <c r="K431" s="754">
        <v>0</v>
      </c>
      <c r="L431" s="754">
        <v>0</v>
      </c>
      <c r="M431" s="754">
        <f t="shared" si="37"/>
        <v>0</v>
      </c>
      <c r="N431" s="756">
        <v>0</v>
      </c>
      <c r="O431" s="720">
        <f t="shared" si="38"/>
        <v>0</v>
      </c>
    </row>
    <row r="432" spans="1:15" outlineLevel="2" x14ac:dyDescent="0.25">
      <c r="A432" s="207" t="str">
        <f>VLOOKUP(RIGHT(E432,3)+0,SchLocTable!$A$2:$B$47,2,FALSE)</f>
        <v>Roosevelt</v>
      </c>
      <c r="B432" s="207" t="str">
        <f>VLOOKUP(VALUE(D432),$D$3:F$106,3,FALSE)</f>
        <v>Paraprofessionals</v>
      </c>
      <c r="C432" s="751" t="s">
        <v>246</v>
      </c>
      <c r="D432" s="751" t="s">
        <v>1474</v>
      </c>
      <c r="E432" s="751" t="s">
        <v>2096</v>
      </c>
      <c r="F432" s="751" t="s">
        <v>257</v>
      </c>
      <c r="G432" s="752" t="s">
        <v>1681</v>
      </c>
      <c r="H432" s="753">
        <v>51140</v>
      </c>
      <c r="I432" s="754">
        <v>2230</v>
      </c>
      <c r="J432" s="754">
        <v>0</v>
      </c>
      <c r="K432" s="754">
        <v>0</v>
      </c>
      <c r="L432" s="754">
        <v>0</v>
      </c>
      <c r="M432" s="754">
        <f t="shared" si="37"/>
        <v>0</v>
      </c>
      <c r="N432" s="756">
        <v>2230</v>
      </c>
      <c r="O432" s="720">
        <f t="shared" si="38"/>
        <v>0</v>
      </c>
    </row>
    <row r="433" spans="1:15" outlineLevel="2" x14ac:dyDescent="0.25">
      <c r="A433" s="207" t="str">
        <f>VLOOKUP(RIGHT(E433,3)+0,SchLocTable!$A$2:$B$47,2,FALSE)</f>
        <v>Roosevelt</v>
      </c>
      <c r="B433" s="207" t="str">
        <f>VLOOKUP(VALUE(D433),$D$3:F$106,3,FALSE)</f>
        <v>Paraprofessionals</v>
      </c>
      <c r="C433" s="751" t="s">
        <v>246</v>
      </c>
      <c r="D433" s="751" t="s">
        <v>1474</v>
      </c>
      <c r="E433" s="751" t="s">
        <v>2096</v>
      </c>
      <c r="F433" s="751" t="s">
        <v>254</v>
      </c>
      <c r="G433" s="752" t="s">
        <v>1681</v>
      </c>
      <c r="H433" s="753">
        <v>52360</v>
      </c>
      <c r="I433" s="754">
        <v>0</v>
      </c>
      <c r="J433" s="754">
        <v>0</v>
      </c>
      <c r="K433" s="754">
        <v>0</v>
      </c>
      <c r="L433" s="754">
        <v>0</v>
      </c>
      <c r="M433" s="754">
        <f t="shared" si="37"/>
        <v>0</v>
      </c>
      <c r="N433" s="756">
        <v>0</v>
      </c>
      <c r="O433" s="720">
        <f t="shared" si="38"/>
        <v>0</v>
      </c>
    </row>
    <row r="434" spans="1:15" outlineLevel="2" x14ac:dyDescent="0.25">
      <c r="A434" s="207" t="str">
        <f>VLOOKUP(RIGHT(E434,3)+0,SchLocTable!$A$2:$B$47,2,FALSE)</f>
        <v>Roosevelt</v>
      </c>
      <c r="B434" s="207" t="str">
        <f>VLOOKUP(VALUE(D434),$D$3:F$106,3,FALSE)</f>
        <v>Paraprofessionals</v>
      </c>
      <c r="C434" s="751" t="s">
        <v>246</v>
      </c>
      <c r="D434" s="751" t="s">
        <v>1474</v>
      </c>
      <c r="E434" s="751" t="s">
        <v>2096</v>
      </c>
      <c r="F434" s="751" t="s">
        <v>331</v>
      </c>
      <c r="G434" s="752" t="s">
        <v>1681</v>
      </c>
      <c r="H434" s="753">
        <v>52504</v>
      </c>
      <c r="I434" s="754">
        <v>0</v>
      </c>
      <c r="J434" s="754">
        <v>0</v>
      </c>
      <c r="K434" s="754">
        <v>0</v>
      </c>
      <c r="L434" s="754">
        <v>0</v>
      </c>
      <c r="M434" s="754">
        <f t="shared" si="37"/>
        <v>0</v>
      </c>
      <c r="N434" s="756">
        <v>0</v>
      </c>
      <c r="O434" s="720">
        <f t="shared" si="38"/>
        <v>0</v>
      </c>
    </row>
    <row r="435" spans="1:15" outlineLevel="2" x14ac:dyDescent="0.25">
      <c r="A435" s="207" t="str">
        <f>VLOOKUP(RIGHT(E435,3)+0,SchLocTable!$A$2:$B$47,2,FALSE)</f>
        <v>Waltersville</v>
      </c>
      <c r="B435" s="207" t="str">
        <f>VLOOKUP(VALUE(D435),$D$3:F$106,3,FALSE)</f>
        <v>Paraprofessionals</v>
      </c>
      <c r="C435" s="751" t="s">
        <v>246</v>
      </c>
      <c r="D435" s="751" t="s">
        <v>1474</v>
      </c>
      <c r="E435" s="751" t="s">
        <v>2097</v>
      </c>
      <c r="F435" s="751" t="s">
        <v>257</v>
      </c>
      <c r="G435" s="752" t="s">
        <v>1681</v>
      </c>
      <c r="H435" s="753">
        <v>51140</v>
      </c>
      <c r="I435" s="754">
        <v>1120</v>
      </c>
      <c r="J435" s="754">
        <v>0</v>
      </c>
      <c r="K435" s="754">
        <v>0</v>
      </c>
      <c r="L435" s="754">
        <v>0</v>
      </c>
      <c r="M435" s="754">
        <f t="shared" si="37"/>
        <v>0</v>
      </c>
      <c r="N435" s="756">
        <v>1120</v>
      </c>
      <c r="O435" s="720">
        <f t="shared" si="38"/>
        <v>0</v>
      </c>
    </row>
    <row r="436" spans="1:15" outlineLevel="2" x14ac:dyDescent="0.25">
      <c r="A436" s="207" t="str">
        <f>VLOOKUP(RIGHT(E436,3)+0,SchLocTable!$A$2:$B$47,2,FALSE)</f>
        <v>Waltersville</v>
      </c>
      <c r="B436" s="207" t="str">
        <f>VLOOKUP(VALUE(D436),$D$3:F$106,3,FALSE)</f>
        <v>Paraprofessionals</v>
      </c>
      <c r="C436" s="751" t="s">
        <v>246</v>
      </c>
      <c r="D436" s="751" t="s">
        <v>1474</v>
      </c>
      <c r="E436" s="751" t="s">
        <v>2097</v>
      </c>
      <c r="F436" s="751" t="s">
        <v>254</v>
      </c>
      <c r="G436" s="752" t="s">
        <v>1681</v>
      </c>
      <c r="H436" s="753">
        <v>52360</v>
      </c>
      <c r="I436" s="754">
        <v>0</v>
      </c>
      <c r="J436" s="754">
        <v>0</v>
      </c>
      <c r="K436" s="754">
        <v>0</v>
      </c>
      <c r="L436" s="754">
        <v>0</v>
      </c>
      <c r="M436" s="754">
        <f t="shared" si="37"/>
        <v>0</v>
      </c>
      <c r="N436" s="756">
        <v>0</v>
      </c>
      <c r="O436" s="720">
        <f t="shared" si="38"/>
        <v>0</v>
      </c>
    </row>
    <row r="437" spans="1:15" outlineLevel="2" x14ac:dyDescent="0.25">
      <c r="A437" s="207" t="str">
        <f>VLOOKUP(RIGHT(E437,3)+0,SchLocTable!$A$2:$B$47,2,FALSE)</f>
        <v>Waltersville</v>
      </c>
      <c r="B437" s="207" t="str">
        <f>VLOOKUP(VALUE(D437),$D$3:F$106,3,FALSE)</f>
        <v>Paraprofessionals</v>
      </c>
      <c r="C437" s="751" t="s">
        <v>246</v>
      </c>
      <c r="D437" s="751" t="s">
        <v>1474</v>
      </c>
      <c r="E437" s="751" t="s">
        <v>2097</v>
      </c>
      <c r="F437" s="751" t="s">
        <v>331</v>
      </c>
      <c r="G437" s="752" t="s">
        <v>1681</v>
      </c>
      <c r="H437" s="753">
        <v>52504</v>
      </c>
      <c r="I437" s="754">
        <v>0</v>
      </c>
      <c r="J437" s="754">
        <v>0</v>
      </c>
      <c r="K437" s="754">
        <v>0</v>
      </c>
      <c r="L437" s="754">
        <v>0</v>
      </c>
      <c r="M437" s="754">
        <f t="shared" si="37"/>
        <v>0</v>
      </c>
      <c r="N437" s="756">
        <v>0</v>
      </c>
      <c r="O437" s="720">
        <f t="shared" si="38"/>
        <v>0</v>
      </c>
    </row>
    <row r="438" spans="1:15" outlineLevel="2" x14ac:dyDescent="0.25">
      <c r="A438" s="207" t="str">
        <f>VLOOKUP(RIGHT(E438,3)+0,SchLocTable!$A$2:$B$47,2,FALSE)</f>
        <v>Johnson</v>
      </c>
      <c r="B438" s="207" t="str">
        <f>VLOOKUP(VALUE(D438),$D$3:F$106,3,FALSE)</f>
        <v>Paraprofessionals</v>
      </c>
      <c r="C438" s="751" t="s">
        <v>246</v>
      </c>
      <c r="D438" s="751" t="s">
        <v>1474</v>
      </c>
      <c r="E438" s="751" t="s">
        <v>2098</v>
      </c>
      <c r="F438" s="751" t="s">
        <v>257</v>
      </c>
      <c r="G438" s="752" t="s">
        <v>1681</v>
      </c>
      <c r="H438" s="753">
        <v>51140</v>
      </c>
      <c r="I438" s="754">
        <v>2380</v>
      </c>
      <c r="J438" s="754">
        <v>0</v>
      </c>
      <c r="K438" s="754">
        <v>0</v>
      </c>
      <c r="L438" s="754">
        <v>0</v>
      </c>
      <c r="M438" s="754">
        <f t="shared" si="37"/>
        <v>0</v>
      </c>
      <c r="N438" s="756">
        <v>2380</v>
      </c>
      <c r="O438" s="720">
        <f t="shared" si="38"/>
        <v>0</v>
      </c>
    </row>
    <row r="439" spans="1:15" outlineLevel="2" x14ac:dyDescent="0.25">
      <c r="A439" s="207" t="str">
        <f>VLOOKUP(RIGHT(E439,3)+0,SchLocTable!$A$2:$B$47,2,FALSE)</f>
        <v>Johnson</v>
      </c>
      <c r="B439" s="207" t="str">
        <f>VLOOKUP(VALUE(D439),$D$3:F$106,3,FALSE)</f>
        <v>Paraprofessionals</v>
      </c>
      <c r="C439" s="751" t="s">
        <v>246</v>
      </c>
      <c r="D439" s="751" t="s">
        <v>1474</v>
      </c>
      <c r="E439" s="751" t="s">
        <v>2098</v>
      </c>
      <c r="F439" s="751" t="s">
        <v>254</v>
      </c>
      <c r="G439" s="752" t="s">
        <v>1681</v>
      </c>
      <c r="H439" s="753">
        <v>52360</v>
      </c>
      <c r="I439" s="754">
        <v>0</v>
      </c>
      <c r="J439" s="754">
        <v>0</v>
      </c>
      <c r="K439" s="754">
        <v>0</v>
      </c>
      <c r="L439" s="754">
        <v>0</v>
      </c>
      <c r="M439" s="754">
        <f t="shared" si="37"/>
        <v>0</v>
      </c>
      <c r="N439" s="756">
        <v>0</v>
      </c>
      <c r="O439" s="720">
        <f t="shared" si="38"/>
        <v>0</v>
      </c>
    </row>
    <row r="440" spans="1:15" outlineLevel="2" x14ac:dyDescent="0.25">
      <c r="A440" s="207" t="str">
        <f>VLOOKUP(RIGHT(E440,3)+0,SchLocTable!$A$2:$B$47,2,FALSE)</f>
        <v>Johnson</v>
      </c>
      <c r="B440" s="207" t="str">
        <f>VLOOKUP(VALUE(D440),$D$3:F$106,3,FALSE)</f>
        <v>Paraprofessionals</v>
      </c>
      <c r="C440" s="751" t="s">
        <v>246</v>
      </c>
      <c r="D440" s="751" t="s">
        <v>1474</v>
      </c>
      <c r="E440" s="751" t="s">
        <v>2098</v>
      </c>
      <c r="F440" s="751" t="s">
        <v>331</v>
      </c>
      <c r="G440" s="752" t="s">
        <v>1681</v>
      </c>
      <c r="H440" s="753">
        <v>52504</v>
      </c>
      <c r="I440" s="754">
        <v>0</v>
      </c>
      <c r="J440" s="754">
        <v>0</v>
      </c>
      <c r="K440" s="754">
        <v>0</v>
      </c>
      <c r="L440" s="754">
        <v>0</v>
      </c>
      <c r="M440" s="754">
        <f t="shared" si="37"/>
        <v>0</v>
      </c>
      <c r="N440" s="756">
        <v>0</v>
      </c>
      <c r="O440" s="720">
        <f t="shared" si="38"/>
        <v>0</v>
      </c>
    </row>
    <row r="441" spans="1:15" outlineLevel="2" x14ac:dyDescent="0.25">
      <c r="A441" s="207" t="str">
        <f>VLOOKUP(RIGHT(E441,3)+0,SchLocTable!$A$2:$B$47,2,FALSE)</f>
        <v>Discovery</v>
      </c>
      <c r="B441" s="207" t="str">
        <f>VLOOKUP(VALUE(D441),$D$3:F$106,3,FALSE)</f>
        <v>Paraprofessionals</v>
      </c>
      <c r="C441" s="751" t="s">
        <v>246</v>
      </c>
      <c r="D441" s="751" t="s">
        <v>1474</v>
      </c>
      <c r="E441" s="751" t="s">
        <v>2099</v>
      </c>
      <c r="F441" s="751" t="s">
        <v>257</v>
      </c>
      <c r="G441" s="752" t="s">
        <v>1681</v>
      </c>
      <c r="H441" s="753">
        <v>51140</v>
      </c>
      <c r="I441" s="754">
        <v>4620</v>
      </c>
      <c r="J441" s="754">
        <v>0</v>
      </c>
      <c r="K441" s="754">
        <v>0</v>
      </c>
      <c r="L441" s="754">
        <v>0</v>
      </c>
      <c r="M441" s="754">
        <f t="shared" si="37"/>
        <v>0</v>
      </c>
      <c r="N441" s="756">
        <v>4620</v>
      </c>
      <c r="O441" s="720">
        <f t="shared" si="38"/>
        <v>0</v>
      </c>
    </row>
    <row r="442" spans="1:15" outlineLevel="2" x14ac:dyDescent="0.25">
      <c r="A442" s="207" t="str">
        <f>VLOOKUP(RIGHT(E442,3)+0,SchLocTable!$A$2:$B$47,2,FALSE)</f>
        <v>Discovery</v>
      </c>
      <c r="B442" s="207" t="str">
        <f>VLOOKUP(VALUE(D442),$D$3:F$106,3,FALSE)</f>
        <v>Paraprofessionals</v>
      </c>
      <c r="C442" s="751" t="s">
        <v>246</v>
      </c>
      <c r="D442" s="751" t="s">
        <v>1474</v>
      </c>
      <c r="E442" s="751" t="s">
        <v>2099</v>
      </c>
      <c r="F442" s="751" t="s">
        <v>254</v>
      </c>
      <c r="G442" s="752" t="s">
        <v>1681</v>
      </c>
      <c r="H442" s="753">
        <v>52360</v>
      </c>
      <c r="I442" s="754">
        <v>0</v>
      </c>
      <c r="J442" s="754">
        <v>0</v>
      </c>
      <c r="K442" s="754">
        <v>0</v>
      </c>
      <c r="L442" s="754">
        <v>0</v>
      </c>
      <c r="M442" s="754">
        <f t="shared" si="37"/>
        <v>0</v>
      </c>
      <c r="N442" s="756">
        <v>0</v>
      </c>
      <c r="O442" s="720">
        <f t="shared" si="38"/>
        <v>0</v>
      </c>
    </row>
    <row r="443" spans="1:15" outlineLevel="1" x14ac:dyDescent="0.25">
      <c r="A443" s="207" t="str">
        <f>VLOOKUP(RIGHT(E443,3)+0,SchLocTable!$A$2:$B$47,2,FALSE)</f>
        <v>Discovery</v>
      </c>
      <c r="B443" s="207" t="str">
        <f>VLOOKUP(VALUE(D443),$D$3:F$106,3,FALSE)</f>
        <v>Paraprofessionals</v>
      </c>
      <c r="C443" s="751" t="s">
        <v>246</v>
      </c>
      <c r="D443" s="751" t="s">
        <v>1474</v>
      </c>
      <c r="E443" s="751" t="s">
        <v>2099</v>
      </c>
      <c r="F443" s="751" t="s">
        <v>331</v>
      </c>
      <c r="G443" s="752" t="s">
        <v>1681</v>
      </c>
      <c r="H443" s="753">
        <v>52504</v>
      </c>
      <c r="I443" s="754">
        <v>0</v>
      </c>
      <c r="J443" s="754">
        <v>0</v>
      </c>
      <c r="K443" s="754">
        <v>0</v>
      </c>
      <c r="L443" s="754">
        <v>0</v>
      </c>
      <c r="M443" s="754">
        <f t="shared" si="37"/>
        <v>0</v>
      </c>
      <c r="N443" s="756">
        <v>0</v>
      </c>
      <c r="O443" s="720">
        <f t="shared" si="38"/>
        <v>0</v>
      </c>
    </row>
    <row r="444" spans="1:15" outlineLevel="2" x14ac:dyDescent="0.25">
      <c r="A444" s="207" t="str">
        <f>VLOOKUP(RIGHT(E444,3)+0,SchLocTable!$A$2:$B$47,2,FALSE)</f>
        <v>Blackham</v>
      </c>
      <c r="B444" s="207" t="str">
        <f>VLOOKUP(VALUE(D444),$D$3:F$106,3,FALSE)</f>
        <v>Paraprofessionals</v>
      </c>
      <c r="C444" s="751" t="s">
        <v>246</v>
      </c>
      <c r="D444" s="751" t="s">
        <v>1474</v>
      </c>
      <c r="E444" s="751" t="s">
        <v>2100</v>
      </c>
      <c r="F444" s="751" t="s">
        <v>257</v>
      </c>
      <c r="G444" s="752" t="s">
        <v>1681</v>
      </c>
      <c r="H444" s="753">
        <v>51140</v>
      </c>
      <c r="I444" s="754">
        <v>910</v>
      </c>
      <c r="J444" s="754">
        <v>0</v>
      </c>
      <c r="K444" s="754">
        <v>0</v>
      </c>
      <c r="L444" s="754">
        <v>0</v>
      </c>
      <c r="M444" s="754">
        <f t="shared" si="37"/>
        <v>0</v>
      </c>
      <c r="N444" s="756">
        <v>910</v>
      </c>
      <c r="O444" s="720">
        <f t="shared" si="38"/>
        <v>0</v>
      </c>
    </row>
    <row r="445" spans="1:15" outlineLevel="2" x14ac:dyDescent="0.25">
      <c r="A445" s="207" t="str">
        <f>VLOOKUP(RIGHT(E445,3)+0,SchLocTable!$A$2:$B$47,2,FALSE)</f>
        <v>Blackham</v>
      </c>
      <c r="B445" s="207" t="str">
        <f>VLOOKUP(VALUE(D445),$D$3:F$106,3,FALSE)</f>
        <v>Paraprofessionals</v>
      </c>
      <c r="C445" s="751" t="s">
        <v>246</v>
      </c>
      <c r="D445" s="751" t="s">
        <v>1474</v>
      </c>
      <c r="E445" s="751" t="s">
        <v>2100</v>
      </c>
      <c r="F445" s="751" t="s">
        <v>254</v>
      </c>
      <c r="G445" s="752" t="s">
        <v>1681</v>
      </c>
      <c r="H445" s="753">
        <v>52360</v>
      </c>
      <c r="I445" s="754">
        <v>0</v>
      </c>
      <c r="J445" s="754">
        <v>0</v>
      </c>
      <c r="K445" s="754">
        <v>0</v>
      </c>
      <c r="L445" s="754">
        <v>0</v>
      </c>
      <c r="M445" s="754">
        <f t="shared" si="37"/>
        <v>0</v>
      </c>
      <c r="N445" s="756">
        <v>0</v>
      </c>
      <c r="O445" s="720">
        <f t="shared" si="38"/>
        <v>0</v>
      </c>
    </row>
    <row r="446" spans="1:15" outlineLevel="1" x14ac:dyDescent="0.25">
      <c r="A446" s="207" t="str">
        <f>VLOOKUP(RIGHT(E446,3)+0,SchLocTable!$A$2:$B$47,2,FALSE)</f>
        <v>Blackham</v>
      </c>
      <c r="B446" s="207" t="str">
        <f>VLOOKUP(VALUE(D446),$D$3:F$106,3,FALSE)</f>
        <v>Paraprofessionals</v>
      </c>
      <c r="C446" s="755" t="s">
        <v>246</v>
      </c>
      <c r="D446" s="751" t="s">
        <v>1474</v>
      </c>
      <c r="E446" s="751" t="s">
        <v>2100</v>
      </c>
      <c r="F446" s="751" t="s">
        <v>331</v>
      </c>
      <c r="G446" s="752" t="s">
        <v>1681</v>
      </c>
      <c r="H446" s="753">
        <v>52504</v>
      </c>
      <c r="I446" s="754">
        <v>0</v>
      </c>
      <c r="J446" s="754">
        <v>0</v>
      </c>
      <c r="K446" s="754">
        <v>0</v>
      </c>
      <c r="L446" s="754">
        <v>0</v>
      </c>
      <c r="M446" s="754">
        <f t="shared" si="37"/>
        <v>0</v>
      </c>
      <c r="N446" s="756">
        <v>0</v>
      </c>
      <c r="O446" s="720">
        <f t="shared" si="38"/>
        <v>0</v>
      </c>
    </row>
    <row r="447" spans="1:15" outlineLevel="2" x14ac:dyDescent="0.25">
      <c r="A447" s="207" t="str">
        <f>VLOOKUP(RIGHT(E447,3)+0,SchLocTable!$A$2:$B$47,2,FALSE)</f>
        <v>Dunbar</v>
      </c>
      <c r="B447" s="207" t="str">
        <f>VLOOKUP(VALUE(D447),$D$3:F$106,3,FALSE)</f>
        <v>Paraprofessionals</v>
      </c>
      <c r="C447" s="751" t="s">
        <v>246</v>
      </c>
      <c r="D447" s="751" t="s">
        <v>1474</v>
      </c>
      <c r="E447" s="751" t="s">
        <v>2101</v>
      </c>
      <c r="F447" s="751" t="s">
        <v>257</v>
      </c>
      <c r="G447" s="752" t="s">
        <v>1681</v>
      </c>
      <c r="H447" s="753">
        <v>51140</v>
      </c>
      <c r="I447" s="754">
        <v>1470</v>
      </c>
      <c r="J447" s="754">
        <v>0</v>
      </c>
      <c r="K447" s="754">
        <v>0</v>
      </c>
      <c r="L447" s="754">
        <v>0</v>
      </c>
      <c r="M447" s="754">
        <f t="shared" ref="M447:M510" si="39">SUM(J447:L447)</f>
        <v>0</v>
      </c>
      <c r="N447" s="756">
        <v>1470</v>
      </c>
      <c r="O447" s="720">
        <f t="shared" ref="O447:O510" si="40">I447-N447</f>
        <v>0</v>
      </c>
    </row>
    <row r="448" spans="1:15" outlineLevel="2" x14ac:dyDescent="0.25">
      <c r="A448" s="207" t="str">
        <f>VLOOKUP(RIGHT(E448,3)+0,SchLocTable!$A$2:$B$47,2,FALSE)</f>
        <v>Dunbar</v>
      </c>
      <c r="B448" s="207" t="str">
        <f>VLOOKUP(VALUE(D448),$D$3:F$106,3,FALSE)</f>
        <v>Paraprofessionals</v>
      </c>
      <c r="C448" s="751" t="s">
        <v>246</v>
      </c>
      <c r="D448" s="751" t="s">
        <v>1474</v>
      </c>
      <c r="E448" s="751" t="s">
        <v>2101</v>
      </c>
      <c r="F448" s="751" t="s">
        <v>254</v>
      </c>
      <c r="G448" s="752" t="s">
        <v>1681</v>
      </c>
      <c r="H448" s="753">
        <v>52360</v>
      </c>
      <c r="I448" s="754">
        <v>0</v>
      </c>
      <c r="J448" s="754">
        <v>0</v>
      </c>
      <c r="K448" s="754">
        <v>0</v>
      </c>
      <c r="L448" s="754">
        <v>0</v>
      </c>
      <c r="M448" s="754">
        <f t="shared" si="39"/>
        <v>0</v>
      </c>
      <c r="N448" s="756">
        <v>0</v>
      </c>
      <c r="O448" s="720">
        <f t="shared" si="40"/>
        <v>0</v>
      </c>
    </row>
    <row r="449" spans="1:15" outlineLevel="2" x14ac:dyDescent="0.25">
      <c r="A449" s="207" t="str">
        <f>VLOOKUP(RIGHT(E449,3)+0,SchLocTable!$A$2:$B$47,2,FALSE)</f>
        <v>Dunbar</v>
      </c>
      <c r="B449" s="207" t="str">
        <f>VLOOKUP(VALUE(D449),$D$3:F$106,3,FALSE)</f>
        <v>Paraprofessionals</v>
      </c>
      <c r="C449" s="751" t="s">
        <v>246</v>
      </c>
      <c r="D449" s="751" t="s">
        <v>1474</v>
      </c>
      <c r="E449" s="751" t="s">
        <v>2101</v>
      </c>
      <c r="F449" s="751" t="s">
        <v>331</v>
      </c>
      <c r="G449" s="752" t="s">
        <v>1681</v>
      </c>
      <c r="H449" s="753">
        <v>52504</v>
      </c>
      <c r="I449" s="754">
        <v>0</v>
      </c>
      <c r="J449" s="754">
        <v>0</v>
      </c>
      <c r="K449" s="754">
        <v>0</v>
      </c>
      <c r="L449" s="754">
        <v>0</v>
      </c>
      <c r="M449" s="754">
        <f t="shared" si="39"/>
        <v>0</v>
      </c>
      <c r="N449" s="756">
        <v>0</v>
      </c>
      <c r="O449" s="720">
        <f t="shared" si="40"/>
        <v>0</v>
      </c>
    </row>
    <row r="450" spans="1:15" outlineLevel="2" x14ac:dyDescent="0.25">
      <c r="A450" s="207" t="str">
        <f>VLOOKUP(RIGHT(E450,3)+0,SchLocTable!$A$2:$B$47,2,FALSE)</f>
        <v>High Horizons Magnet</v>
      </c>
      <c r="B450" s="207" t="str">
        <f>VLOOKUP(VALUE(D450),$D$3:F$106,3,FALSE)</f>
        <v>Paraprofessionals</v>
      </c>
      <c r="C450" s="755" t="s">
        <v>246</v>
      </c>
      <c r="D450" s="751" t="s">
        <v>1474</v>
      </c>
      <c r="E450" s="751" t="s">
        <v>2102</v>
      </c>
      <c r="F450" s="751" t="s">
        <v>257</v>
      </c>
      <c r="G450" s="752" t="s">
        <v>1681</v>
      </c>
      <c r="H450" s="753">
        <v>51140</v>
      </c>
      <c r="I450" s="754">
        <v>1800</v>
      </c>
      <c r="J450" s="754">
        <v>0</v>
      </c>
      <c r="K450" s="754">
        <v>0</v>
      </c>
      <c r="L450" s="754">
        <v>0</v>
      </c>
      <c r="M450" s="754">
        <f t="shared" si="39"/>
        <v>0</v>
      </c>
      <c r="N450" s="756">
        <v>1800</v>
      </c>
      <c r="O450" s="720">
        <f t="shared" si="40"/>
        <v>0</v>
      </c>
    </row>
    <row r="451" spans="1:15" outlineLevel="2" x14ac:dyDescent="0.25">
      <c r="A451" s="207" t="str">
        <f>VLOOKUP(RIGHT(E451,3)+0,SchLocTable!$A$2:$B$47,2,FALSE)</f>
        <v>High Horizons Magnet</v>
      </c>
      <c r="B451" s="207" t="str">
        <f>VLOOKUP(VALUE(D451),$D$3:F$106,3,FALSE)</f>
        <v>Paraprofessionals</v>
      </c>
      <c r="C451" s="751" t="s">
        <v>246</v>
      </c>
      <c r="D451" s="751" t="s">
        <v>1474</v>
      </c>
      <c r="E451" s="751" t="s">
        <v>2102</v>
      </c>
      <c r="F451" s="751" t="s">
        <v>254</v>
      </c>
      <c r="G451" s="752" t="s">
        <v>1681</v>
      </c>
      <c r="H451" s="753">
        <v>52360</v>
      </c>
      <c r="I451" s="754">
        <v>0</v>
      </c>
      <c r="J451" s="754">
        <v>0</v>
      </c>
      <c r="K451" s="754">
        <v>0</v>
      </c>
      <c r="L451" s="754">
        <v>0</v>
      </c>
      <c r="M451" s="754">
        <f t="shared" si="39"/>
        <v>0</v>
      </c>
      <c r="N451" s="756">
        <v>0</v>
      </c>
      <c r="O451" s="720">
        <f t="shared" si="40"/>
        <v>0</v>
      </c>
    </row>
    <row r="452" spans="1:15" outlineLevel="2" x14ac:dyDescent="0.25">
      <c r="A452" s="207" t="str">
        <f>VLOOKUP(RIGHT(E452,3)+0,SchLocTable!$A$2:$B$47,2,FALSE)</f>
        <v>High Horizons Magnet</v>
      </c>
      <c r="B452" s="207" t="str">
        <f>VLOOKUP(VALUE(D452),$D$3:F$106,3,FALSE)</f>
        <v>Paraprofessionals</v>
      </c>
      <c r="C452" s="751" t="s">
        <v>246</v>
      </c>
      <c r="D452" s="751" t="s">
        <v>1474</v>
      </c>
      <c r="E452" s="751" t="s">
        <v>2102</v>
      </c>
      <c r="F452" s="751" t="s">
        <v>331</v>
      </c>
      <c r="G452" s="752" t="s">
        <v>1681</v>
      </c>
      <c r="H452" s="753">
        <v>52504</v>
      </c>
      <c r="I452" s="754">
        <v>0</v>
      </c>
      <c r="J452" s="754">
        <v>0</v>
      </c>
      <c r="K452" s="754">
        <v>0</v>
      </c>
      <c r="L452" s="754">
        <v>0</v>
      </c>
      <c r="M452" s="754">
        <f t="shared" si="39"/>
        <v>0</v>
      </c>
      <c r="N452" s="756">
        <v>0</v>
      </c>
      <c r="O452" s="720">
        <f t="shared" si="40"/>
        <v>0</v>
      </c>
    </row>
    <row r="453" spans="1:15" outlineLevel="2" x14ac:dyDescent="0.25">
      <c r="A453" s="207" t="str">
        <f>VLOOKUP(RIGHT(E453,3)+0,SchLocTable!$A$2:$B$47,2,FALSE)</f>
        <v>Multicultural Magnet</v>
      </c>
      <c r="B453" s="207" t="str">
        <f>VLOOKUP(VALUE(D453),$D$3:F$106,3,FALSE)</f>
        <v>Paraprofessionals</v>
      </c>
      <c r="C453" s="751" t="s">
        <v>246</v>
      </c>
      <c r="D453" s="751" t="s">
        <v>1474</v>
      </c>
      <c r="E453" s="751" t="s">
        <v>2103</v>
      </c>
      <c r="F453" s="751" t="s">
        <v>257</v>
      </c>
      <c r="G453" s="752" t="s">
        <v>1681</v>
      </c>
      <c r="H453" s="753">
        <v>51140</v>
      </c>
      <c r="I453" s="754">
        <v>3600</v>
      </c>
      <c r="J453" s="754">
        <v>0</v>
      </c>
      <c r="K453" s="754">
        <v>0</v>
      </c>
      <c r="L453" s="754">
        <v>0</v>
      </c>
      <c r="M453" s="754">
        <f t="shared" si="39"/>
        <v>0</v>
      </c>
      <c r="N453" s="756">
        <v>3600</v>
      </c>
      <c r="O453" s="720">
        <f t="shared" si="40"/>
        <v>0</v>
      </c>
    </row>
    <row r="454" spans="1:15" outlineLevel="2" x14ac:dyDescent="0.25">
      <c r="A454" s="207" t="str">
        <f>VLOOKUP(RIGHT(E454,3)+0,SchLocTable!$A$2:$B$47,2,FALSE)</f>
        <v>Multicultural Magnet</v>
      </c>
      <c r="B454" s="207" t="str">
        <f>VLOOKUP(VALUE(D454),$D$3:F$106,3,FALSE)</f>
        <v>Paraprofessionals</v>
      </c>
      <c r="C454" s="751" t="s">
        <v>246</v>
      </c>
      <c r="D454" s="751" t="s">
        <v>1474</v>
      </c>
      <c r="E454" s="751" t="s">
        <v>2103</v>
      </c>
      <c r="F454" s="751" t="s">
        <v>254</v>
      </c>
      <c r="G454" s="752" t="s">
        <v>1681</v>
      </c>
      <c r="H454" s="753">
        <v>52360</v>
      </c>
      <c r="I454" s="754">
        <v>0</v>
      </c>
      <c r="J454" s="754">
        <v>0</v>
      </c>
      <c r="K454" s="754">
        <v>0</v>
      </c>
      <c r="L454" s="754">
        <v>0</v>
      </c>
      <c r="M454" s="754">
        <f t="shared" si="39"/>
        <v>0</v>
      </c>
      <c r="N454" s="756">
        <v>0</v>
      </c>
      <c r="O454" s="720">
        <f t="shared" si="40"/>
        <v>0</v>
      </c>
    </row>
    <row r="455" spans="1:15" outlineLevel="2" x14ac:dyDescent="0.25">
      <c r="A455" s="207" t="str">
        <f>VLOOKUP(RIGHT(E455,3)+0,SchLocTable!$A$2:$B$47,2,FALSE)</f>
        <v>Multicultural Magnet</v>
      </c>
      <c r="B455" s="207" t="str">
        <f>VLOOKUP(VALUE(D455),$D$3:F$106,3,FALSE)</f>
        <v>Paraprofessionals</v>
      </c>
      <c r="C455" s="751" t="s">
        <v>246</v>
      </c>
      <c r="D455" s="751" t="s">
        <v>1474</v>
      </c>
      <c r="E455" s="751" t="s">
        <v>2103</v>
      </c>
      <c r="F455" s="751" t="s">
        <v>331</v>
      </c>
      <c r="G455" s="752" t="s">
        <v>1681</v>
      </c>
      <c r="H455" s="753">
        <v>52504</v>
      </c>
      <c r="I455" s="754">
        <v>0</v>
      </c>
      <c r="J455" s="754">
        <v>0</v>
      </c>
      <c r="K455" s="754">
        <v>0</v>
      </c>
      <c r="L455" s="754">
        <v>0</v>
      </c>
      <c r="M455" s="754">
        <f t="shared" si="39"/>
        <v>0</v>
      </c>
      <c r="N455" s="756">
        <v>0</v>
      </c>
      <c r="O455" s="720">
        <f t="shared" si="40"/>
        <v>0</v>
      </c>
    </row>
    <row r="456" spans="1:15" outlineLevel="2" x14ac:dyDescent="0.25">
      <c r="A456" s="207" t="str">
        <f>VLOOKUP(RIGHT(E456,3)+0,SchLocTable!$A$2:$B$47,2,FALSE)</f>
        <v>Bassick HS</v>
      </c>
      <c r="B456" s="207" t="str">
        <f>VLOOKUP(VALUE(D456),$D$3:F$106,3,FALSE)</f>
        <v>Paraprofessionals</v>
      </c>
      <c r="C456" s="755" t="s">
        <v>246</v>
      </c>
      <c r="D456" s="751" t="s">
        <v>1474</v>
      </c>
      <c r="E456" s="751" t="s">
        <v>1610</v>
      </c>
      <c r="F456" s="751" t="s">
        <v>248</v>
      </c>
      <c r="G456" s="752">
        <v>1</v>
      </c>
      <c r="H456" s="753">
        <v>51000</v>
      </c>
      <c r="I456" s="754">
        <v>53980.38</v>
      </c>
      <c r="J456" s="754">
        <v>0</v>
      </c>
      <c r="K456" s="754">
        <v>0</v>
      </c>
      <c r="L456" s="754">
        <v>16880.07</v>
      </c>
      <c r="M456" s="754">
        <f t="shared" si="39"/>
        <v>16880.07</v>
      </c>
      <c r="N456" s="756">
        <v>53980.38</v>
      </c>
      <c r="O456" s="720">
        <f t="shared" si="40"/>
        <v>0</v>
      </c>
    </row>
    <row r="457" spans="1:15" outlineLevel="2" x14ac:dyDescent="0.25">
      <c r="A457" s="207" t="str">
        <f>VLOOKUP(RIGHT(E457,3)+0,SchLocTable!$A$2:$B$47,2,FALSE)</f>
        <v>Bassick HS</v>
      </c>
      <c r="B457" s="207" t="str">
        <f>VLOOKUP(VALUE(D457),$D$3:F$106,3,FALSE)</f>
        <v>Paraprofessionals</v>
      </c>
      <c r="C457" s="751" t="s">
        <v>246</v>
      </c>
      <c r="D457" s="751" t="s">
        <v>1474</v>
      </c>
      <c r="E457" s="751" t="s">
        <v>1610</v>
      </c>
      <c r="F457" s="751" t="s">
        <v>254</v>
      </c>
      <c r="G457" s="752" t="s">
        <v>1681</v>
      </c>
      <c r="H457" s="753">
        <v>52360</v>
      </c>
      <c r="I457" s="754">
        <v>782.71</v>
      </c>
      <c r="J457" s="754">
        <v>0</v>
      </c>
      <c r="K457" s="754">
        <v>0</v>
      </c>
      <c r="L457" s="754">
        <v>244.76</v>
      </c>
      <c r="M457" s="754">
        <f t="shared" si="39"/>
        <v>244.76</v>
      </c>
      <c r="N457" s="756">
        <v>782.71</v>
      </c>
      <c r="O457" s="720">
        <f t="shared" si="40"/>
        <v>0</v>
      </c>
    </row>
    <row r="458" spans="1:15" outlineLevel="2" x14ac:dyDescent="0.25">
      <c r="A458" s="207" t="str">
        <f>VLOOKUP(RIGHT(E458,3)+0,SchLocTable!$A$2:$B$47,2,FALSE)</f>
        <v>Bassick HS</v>
      </c>
      <c r="B458" s="207" t="str">
        <f>VLOOKUP(VALUE(D458),$D$3:F$106,3,FALSE)</f>
        <v>Paraprofessionals</v>
      </c>
      <c r="C458" s="751" t="s">
        <v>246</v>
      </c>
      <c r="D458" s="751" t="s">
        <v>1474</v>
      </c>
      <c r="E458" s="751" t="s">
        <v>1610</v>
      </c>
      <c r="F458" s="751" t="s">
        <v>331</v>
      </c>
      <c r="G458" s="752" t="s">
        <v>1681</v>
      </c>
      <c r="H458" s="753">
        <v>52504</v>
      </c>
      <c r="I458" s="754">
        <v>11114.56</v>
      </c>
      <c r="J458" s="754">
        <v>0</v>
      </c>
      <c r="K458" s="754">
        <v>0</v>
      </c>
      <c r="L458" s="754">
        <v>3475.61</v>
      </c>
      <c r="M458" s="754">
        <f t="shared" si="39"/>
        <v>3475.61</v>
      </c>
      <c r="N458" s="756">
        <v>11114.56</v>
      </c>
      <c r="O458" s="720">
        <f t="shared" si="40"/>
        <v>0</v>
      </c>
    </row>
    <row r="459" spans="1:15" outlineLevel="2" x14ac:dyDescent="0.25">
      <c r="A459" s="207" t="str">
        <f>VLOOKUP(RIGHT(E459,3)+0,SchLocTable!$A$2:$B$47,2,FALSE)</f>
        <v>Bassick HS</v>
      </c>
      <c r="B459" s="207" t="str">
        <f>VLOOKUP(VALUE(D459),$D$3:F$106,3,FALSE)</f>
        <v>Paraprofessionals</v>
      </c>
      <c r="C459" s="751" t="s">
        <v>246</v>
      </c>
      <c r="D459" s="751" t="s">
        <v>1474</v>
      </c>
      <c r="E459" s="751" t="s">
        <v>1610</v>
      </c>
      <c r="F459" s="751" t="s">
        <v>333</v>
      </c>
      <c r="G459" s="752" t="s">
        <v>1681</v>
      </c>
      <c r="H459" s="753">
        <v>52920</v>
      </c>
      <c r="I459" s="754">
        <v>500</v>
      </c>
      <c r="J459" s="754">
        <v>0</v>
      </c>
      <c r="K459" s="754">
        <v>0</v>
      </c>
      <c r="L459" s="754">
        <v>0</v>
      </c>
      <c r="M459" s="754">
        <f t="shared" si="39"/>
        <v>0</v>
      </c>
      <c r="N459" s="756">
        <v>500</v>
      </c>
      <c r="O459" s="720">
        <f t="shared" si="40"/>
        <v>0</v>
      </c>
    </row>
    <row r="460" spans="1:15" outlineLevel="2" x14ac:dyDescent="0.25">
      <c r="A460" s="207" t="str">
        <f>VLOOKUP(RIGHT(E460,3)+0,SchLocTable!$A$2:$B$47,2,FALSE)</f>
        <v>Central HS</v>
      </c>
      <c r="B460" s="207" t="str">
        <f>VLOOKUP(VALUE(D460),$D$3:F$106,3,FALSE)</f>
        <v>Paraprofessionals</v>
      </c>
      <c r="C460" s="751" t="s">
        <v>246</v>
      </c>
      <c r="D460" s="751" t="s">
        <v>1474</v>
      </c>
      <c r="E460" s="751" t="s">
        <v>1611</v>
      </c>
      <c r="F460" s="751" t="s">
        <v>248</v>
      </c>
      <c r="G460" s="752">
        <v>1</v>
      </c>
      <c r="H460" s="753">
        <v>51000</v>
      </c>
      <c r="I460" s="754">
        <v>48470.25</v>
      </c>
      <c r="J460" s="754">
        <v>0</v>
      </c>
      <c r="K460" s="754">
        <v>0</v>
      </c>
      <c r="L460" s="754">
        <v>14509.85</v>
      </c>
      <c r="M460" s="754">
        <f t="shared" si="39"/>
        <v>14509.85</v>
      </c>
      <c r="N460" s="756">
        <v>48470.25</v>
      </c>
      <c r="O460" s="720">
        <f t="shared" si="40"/>
        <v>0</v>
      </c>
    </row>
    <row r="461" spans="1:15" outlineLevel="2" x14ac:dyDescent="0.25">
      <c r="A461" s="207" t="str">
        <f>VLOOKUP(RIGHT(E461,3)+0,SchLocTable!$A$2:$B$47,2,FALSE)</f>
        <v>Central HS</v>
      </c>
      <c r="B461" s="207" t="str">
        <f>VLOOKUP(VALUE(D461),$D$3:F$106,3,FALSE)</f>
        <v>Paraprofessionals</v>
      </c>
      <c r="C461" s="751" t="s">
        <v>246</v>
      </c>
      <c r="D461" s="751" t="s">
        <v>1474</v>
      </c>
      <c r="E461" s="751" t="s">
        <v>1611</v>
      </c>
      <c r="F461" s="751" t="s">
        <v>254</v>
      </c>
      <c r="G461" s="752" t="s">
        <v>1681</v>
      </c>
      <c r="H461" s="753">
        <v>52360</v>
      </c>
      <c r="I461" s="754">
        <v>681.25</v>
      </c>
      <c r="J461" s="754">
        <v>0</v>
      </c>
      <c r="K461" s="754">
        <v>0</v>
      </c>
      <c r="L461" s="754">
        <v>188.82</v>
      </c>
      <c r="M461" s="754">
        <f t="shared" si="39"/>
        <v>188.82</v>
      </c>
      <c r="N461" s="756">
        <v>681.25</v>
      </c>
      <c r="O461" s="720">
        <f t="shared" si="40"/>
        <v>0</v>
      </c>
    </row>
    <row r="462" spans="1:15" outlineLevel="2" x14ac:dyDescent="0.25">
      <c r="A462" s="207" t="str">
        <f>VLOOKUP(RIGHT(E462,3)+0,SchLocTable!$A$2:$B$47,2,FALSE)</f>
        <v>Central HS</v>
      </c>
      <c r="B462" s="207" t="str">
        <f>VLOOKUP(VALUE(D462),$D$3:F$106,3,FALSE)</f>
        <v>Paraprofessionals</v>
      </c>
      <c r="C462" s="751" t="s">
        <v>246</v>
      </c>
      <c r="D462" s="751" t="s">
        <v>1474</v>
      </c>
      <c r="E462" s="751" t="s">
        <v>1611</v>
      </c>
      <c r="F462" s="751" t="s">
        <v>292</v>
      </c>
      <c r="G462" s="752" t="s">
        <v>1681</v>
      </c>
      <c r="H462" s="753">
        <v>52385</v>
      </c>
      <c r="I462" s="754">
        <v>0</v>
      </c>
      <c r="J462" s="754">
        <v>0</v>
      </c>
      <c r="K462" s="754">
        <v>0</v>
      </c>
      <c r="L462" s="754">
        <v>0</v>
      </c>
      <c r="M462" s="754">
        <f t="shared" si="39"/>
        <v>0</v>
      </c>
      <c r="N462" s="756">
        <v>0</v>
      </c>
      <c r="O462" s="720">
        <f t="shared" si="40"/>
        <v>0</v>
      </c>
    </row>
    <row r="463" spans="1:15" outlineLevel="2" x14ac:dyDescent="0.25">
      <c r="A463" s="207" t="str">
        <f>VLOOKUP(RIGHT(E463,3)+0,SchLocTable!$A$2:$B$47,2,FALSE)</f>
        <v>Central HS</v>
      </c>
      <c r="B463" s="207" t="str">
        <f>VLOOKUP(VALUE(D463),$D$3:F$106,3,FALSE)</f>
        <v>Paraprofessionals</v>
      </c>
      <c r="C463" s="751" t="s">
        <v>246</v>
      </c>
      <c r="D463" s="751" t="s">
        <v>1474</v>
      </c>
      <c r="E463" s="751" t="s">
        <v>1611</v>
      </c>
      <c r="F463" s="751" t="s">
        <v>331</v>
      </c>
      <c r="G463" s="752" t="s">
        <v>1681</v>
      </c>
      <c r="H463" s="753">
        <v>52504</v>
      </c>
      <c r="I463" s="754">
        <v>9979.98</v>
      </c>
      <c r="J463" s="754">
        <v>0</v>
      </c>
      <c r="K463" s="754">
        <v>0</v>
      </c>
      <c r="L463" s="754">
        <v>2987.55</v>
      </c>
      <c r="M463" s="754">
        <f t="shared" si="39"/>
        <v>2987.55</v>
      </c>
      <c r="N463" s="756">
        <v>9979.98</v>
      </c>
      <c r="O463" s="720">
        <f t="shared" si="40"/>
        <v>0</v>
      </c>
    </row>
    <row r="464" spans="1:15" outlineLevel="2" x14ac:dyDescent="0.25">
      <c r="A464" s="207" t="str">
        <f>VLOOKUP(RIGHT(E464,3)+0,SchLocTable!$A$2:$B$47,2,FALSE)</f>
        <v>Central HS</v>
      </c>
      <c r="B464" s="207" t="str">
        <f>VLOOKUP(VALUE(D464),$D$3:F$106,3,FALSE)</f>
        <v>Paraprofessionals</v>
      </c>
      <c r="C464" s="751" t="s">
        <v>246</v>
      </c>
      <c r="D464" s="751" t="s">
        <v>1474</v>
      </c>
      <c r="E464" s="751" t="s">
        <v>1611</v>
      </c>
      <c r="F464" s="751" t="s">
        <v>259</v>
      </c>
      <c r="G464" s="752" t="s">
        <v>1681</v>
      </c>
      <c r="H464" s="753">
        <v>52917</v>
      </c>
      <c r="I464" s="754">
        <v>9535.19</v>
      </c>
      <c r="J464" s="754">
        <v>0</v>
      </c>
      <c r="K464" s="754">
        <v>0</v>
      </c>
      <c r="L464" s="754">
        <v>2782.8</v>
      </c>
      <c r="M464" s="754">
        <f t="shared" si="39"/>
        <v>2782.8</v>
      </c>
      <c r="N464" s="756">
        <v>9535.19</v>
      </c>
      <c r="O464" s="720">
        <f t="shared" si="40"/>
        <v>0</v>
      </c>
    </row>
    <row r="465" spans="1:15" outlineLevel="2" x14ac:dyDescent="0.25">
      <c r="A465" s="207" t="str">
        <f>VLOOKUP(RIGHT(E465,3)+0,SchLocTable!$A$2:$B$47,2,FALSE)</f>
        <v>Central HS</v>
      </c>
      <c r="B465" s="207" t="str">
        <f>VLOOKUP(VALUE(D465),$D$3:F$106,3,FALSE)</f>
        <v>Paraprofessionals</v>
      </c>
      <c r="C465" s="751" t="s">
        <v>246</v>
      </c>
      <c r="D465" s="751" t="s">
        <v>1474</v>
      </c>
      <c r="E465" s="751" t="s">
        <v>1611</v>
      </c>
      <c r="F465" s="751" t="s">
        <v>333</v>
      </c>
      <c r="G465" s="752" t="s">
        <v>1681</v>
      </c>
      <c r="H465" s="753">
        <v>52920</v>
      </c>
      <c r="I465" s="754">
        <v>500</v>
      </c>
      <c r="J465" s="754">
        <v>0</v>
      </c>
      <c r="K465" s="754">
        <v>0</v>
      </c>
      <c r="L465" s="754">
        <v>0</v>
      </c>
      <c r="M465" s="754">
        <f t="shared" si="39"/>
        <v>0</v>
      </c>
      <c r="N465" s="756">
        <v>500</v>
      </c>
      <c r="O465" s="720">
        <f t="shared" si="40"/>
        <v>0</v>
      </c>
    </row>
    <row r="466" spans="1:15" outlineLevel="2" x14ac:dyDescent="0.25">
      <c r="A466" s="207" t="str">
        <f>VLOOKUP(RIGHT(E466,3)+0,SchLocTable!$A$2:$B$47,2,FALSE)</f>
        <v>Harding HS</v>
      </c>
      <c r="B466" s="207" t="str">
        <f>VLOOKUP(VALUE(D466),$D$3:F$106,3,FALSE)</f>
        <v>Paraprofessionals</v>
      </c>
      <c r="C466" s="751" t="s">
        <v>246</v>
      </c>
      <c r="D466" s="751" t="s">
        <v>1474</v>
      </c>
      <c r="E466" s="751" t="s">
        <v>1612</v>
      </c>
      <c r="F466" s="751" t="s">
        <v>248</v>
      </c>
      <c r="G466" s="752" t="s">
        <v>1681</v>
      </c>
      <c r="H466" s="753">
        <v>51000</v>
      </c>
      <c r="I466" s="754">
        <v>5510.07</v>
      </c>
      <c r="J466" s="754">
        <v>0</v>
      </c>
      <c r="K466" s="754">
        <v>0</v>
      </c>
      <c r="L466" s="754">
        <v>5510.07</v>
      </c>
      <c r="M466" s="754">
        <f t="shared" si="39"/>
        <v>5510.07</v>
      </c>
      <c r="N466" s="756">
        <v>5510.07</v>
      </c>
      <c r="O466" s="720">
        <f t="shared" si="40"/>
        <v>0</v>
      </c>
    </row>
    <row r="467" spans="1:15" outlineLevel="2" x14ac:dyDescent="0.25">
      <c r="A467" s="207" t="str">
        <f>VLOOKUP(RIGHT(E467,3)+0,SchLocTable!$A$2:$B$47,2,FALSE)</f>
        <v>Harding HS</v>
      </c>
      <c r="B467" s="207" t="str">
        <f>VLOOKUP(VALUE(D467),$D$3:F$106,3,FALSE)</f>
        <v>Paraprofessionals</v>
      </c>
      <c r="C467" s="751" t="s">
        <v>246</v>
      </c>
      <c r="D467" s="751" t="s">
        <v>1474</v>
      </c>
      <c r="E467" s="751" t="s">
        <v>1612</v>
      </c>
      <c r="F467" s="751" t="s">
        <v>254</v>
      </c>
      <c r="G467" s="752" t="s">
        <v>1681</v>
      </c>
      <c r="H467" s="753">
        <v>52360</v>
      </c>
      <c r="I467" s="754">
        <v>71.150000000000006</v>
      </c>
      <c r="J467" s="754">
        <v>0</v>
      </c>
      <c r="K467" s="754">
        <v>0</v>
      </c>
      <c r="L467" s="754">
        <v>71.150000000000006</v>
      </c>
      <c r="M467" s="754">
        <f t="shared" si="39"/>
        <v>71.150000000000006</v>
      </c>
      <c r="N467" s="756">
        <v>71.150000000000006</v>
      </c>
      <c r="O467" s="720">
        <f t="shared" si="40"/>
        <v>0</v>
      </c>
    </row>
    <row r="468" spans="1:15" outlineLevel="2" x14ac:dyDescent="0.25">
      <c r="A468" s="207" t="str">
        <f>VLOOKUP(RIGHT(E468,3)+0,SchLocTable!$A$2:$B$47,2,FALSE)</f>
        <v>Harding HS</v>
      </c>
      <c r="B468" s="207" t="str">
        <f>VLOOKUP(VALUE(D468),$D$3:F$106,3,FALSE)</f>
        <v>Paraprofessionals</v>
      </c>
      <c r="C468" s="751" t="s">
        <v>246</v>
      </c>
      <c r="D468" s="751" t="s">
        <v>1474</v>
      </c>
      <c r="E468" s="751" t="s">
        <v>1612</v>
      </c>
      <c r="F468" s="751" t="s">
        <v>331</v>
      </c>
      <c r="G468" s="752" t="s">
        <v>1681</v>
      </c>
      <c r="H468" s="753">
        <v>52504</v>
      </c>
      <c r="I468" s="754">
        <v>1134.51</v>
      </c>
      <c r="J468" s="754">
        <v>0</v>
      </c>
      <c r="K468" s="754">
        <v>0</v>
      </c>
      <c r="L468" s="754">
        <v>1134.51</v>
      </c>
      <c r="M468" s="754">
        <f t="shared" si="39"/>
        <v>1134.51</v>
      </c>
      <c r="N468" s="756">
        <v>1134.51</v>
      </c>
      <c r="O468" s="720">
        <f t="shared" si="40"/>
        <v>0</v>
      </c>
    </row>
    <row r="469" spans="1:15" outlineLevel="2" x14ac:dyDescent="0.25">
      <c r="A469" s="207" t="str">
        <f>VLOOKUP(RIGHT(E469,3)+0,SchLocTable!$A$2:$B$47,2,FALSE)</f>
        <v>Harding HS</v>
      </c>
      <c r="B469" s="207" t="str">
        <f>VLOOKUP(VALUE(D469),$D$3:F$106,3,FALSE)</f>
        <v>Paraprofessionals</v>
      </c>
      <c r="C469" s="751" t="s">
        <v>246</v>
      </c>
      <c r="D469" s="751" t="s">
        <v>1474</v>
      </c>
      <c r="E469" s="751" t="s">
        <v>1612</v>
      </c>
      <c r="F469" s="751" t="s">
        <v>259</v>
      </c>
      <c r="G469" s="752" t="s">
        <v>1681</v>
      </c>
      <c r="H469" s="753">
        <v>52917</v>
      </c>
      <c r="I469" s="754">
        <v>1123.7</v>
      </c>
      <c r="J469" s="754">
        <v>0</v>
      </c>
      <c r="K469" s="754">
        <v>0</v>
      </c>
      <c r="L469" s="754">
        <v>1123.7</v>
      </c>
      <c r="M469" s="754">
        <f t="shared" si="39"/>
        <v>1123.7</v>
      </c>
      <c r="N469" s="756">
        <v>1123.7</v>
      </c>
      <c r="O469" s="720">
        <f t="shared" si="40"/>
        <v>0</v>
      </c>
    </row>
    <row r="470" spans="1:15" outlineLevel="2" x14ac:dyDescent="0.25">
      <c r="A470" s="207" t="str">
        <f>VLOOKUP(RIGHT(E470,3)+0,SchLocTable!$A$2:$B$47,2,FALSE)</f>
        <v>FCW campus</v>
      </c>
      <c r="B470" s="207" t="str">
        <f>VLOOKUP(VALUE(D470),$D$3:F$106,3,FALSE)</f>
        <v>Paraprofessionals</v>
      </c>
      <c r="C470" s="751" t="s">
        <v>246</v>
      </c>
      <c r="D470" s="751" t="s">
        <v>1474</v>
      </c>
      <c r="E470" s="751" t="s">
        <v>1613</v>
      </c>
      <c r="F470" s="751" t="s">
        <v>248</v>
      </c>
      <c r="G470" s="752">
        <v>1</v>
      </c>
      <c r="H470" s="753">
        <v>51000</v>
      </c>
      <c r="I470" s="754">
        <v>48653.919999999998</v>
      </c>
      <c r="J470" s="754">
        <v>0</v>
      </c>
      <c r="K470" s="754">
        <v>0</v>
      </c>
      <c r="L470" s="754">
        <v>14693.52</v>
      </c>
      <c r="M470" s="754">
        <f t="shared" si="39"/>
        <v>14693.52</v>
      </c>
      <c r="N470" s="756">
        <v>48653.919999999998</v>
      </c>
      <c r="O470" s="720">
        <f t="shared" si="40"/>
        <v>0</v>
      </c>
    </row>
    <row r="471" spans="1:15" outlineLevel="2" x14ac:dyDescent="0.25">
      <c r="A471" s="207" t="str">
        <f>VLOOKUP(RIGHT(E471,3)+0,SchLocTable!$A$2:$B$47,2,FALSE)</f>
        <v>FCW campus</v>
      </c>
      <c r="B471" s="207" t="str">
        <f>VLOOKUP(VALUE(D471),$D$3:F$106,3,FALSE)</f>
        <v>Paraprofessionals</v>
      </c>
      <c r="C471" s="751" t="s">
        <v>246</v>
      </c>
      <c r="D471" s="751" t="s">
        <v>1474</v>
      </c>
      <c r="E471" s="751" t="s">
        <v>1613</v>
      </c>
      <c r="F471" s="751" t="s">
        <v>257</v>
      </c>
      <c r="G471" s="752" t="s">
        <v>1681</v>
      </c>
      <c r="H471" s="753">
        <v>51140</v>
      </c>
      <c r="I471" s="754">
        <v>1470</v>
      </c>
      <c r="J471" s="754">
        <v>0</v>
      </c>
      <c r="K471" s="754">
        <v>0</v>
      </c>
      <c r="L471" s="754">
        <v>0</v>
      </c>
      <c r="M471" s="754">
        <f t="shared" si="39"/>
        <v>0</v>
      </c>
      <c r="N471" s="756">
        <v>1470</v>
      </c>
      <c r="O471" s="720">
        <f t="shared" si="40"/>
        <v>0</v>
      </c>
    </row>
    <row r="472" spans="1:15" outlineLevel="2" x14ac:dyDescent="0.25">
      <c r="A472" s="207" t="str">
        <f>VLOOKUP(RIGHT(E472,3)+0,SchLocTable!$A$2:$B$47,2,FALSE)</f>
        <v>FCW campus</v>
      </c>
      <c r="B472" s="207" t="str">
        <f>VLOOKUP(VALUE(D472),$D$3:F$106,3,FALSE)</f>
        <v>Paraprofessionals</v>
      </c>
      <c r="C472" s="751" t="s">
        <v>246</v>
      </c>
      <c r="D472" s="751" t="s">
        <v>1474</v>
      </c>
      <c r="E472" s="751" t="s">
        <v>1613</v>
      </c>
      <c r="F472" s="751" t="s">
        <v>254</v>
      </c>
      <c r="G472" s="752" t="s">
        <v>1681</v>
      </c>
      <c r="H472" s="753">
        <v>52360</v>
      </c>
      <c r="I472" s="754">
        <v>660.03</v>
      </c>
      <c r="J472" s="754">
        <v>0</v>
      </c>
      <c r="K472" s="754">
        <v>0</v>
      </c>
      <c r="L472" s="754">
        <v>167.6</v>
      </c>
      <c r="M472" s="754">
        <f t="shared" si="39"/>
        <v>167.6</v>
      </c>
      <c r="N472" s="756">
        <v>660.03</v>
      </c>
      <c r="O472" s="720">
        <f t="shared" si="40"/>
        <v>0</v>
      </c>
    </row>
    <row r="473" spans="1:15" outlineLevel="2" x14ac:dyDescent="0.25">
      <c r="A473" s="207" t="str">
        <f>VLOOKUP(RIGHT(E473,3)+0,SchLocTable!$A$2:$B$47,2,FALSE)</f>
        <v>FCW campus</v>
      </c>
      <c r="B473" s="207" t="str">
        <f>VLOOKUP(VALUE(D473),$D$3:F$106,3,FALSE)</f>
        <v>Paraprofessionals</v>
      </c>
      <c r="C473" s="751" t="s">
        <v>246</v>
      </c>
      <c r="D473" s="751" t="s">
        <v>1474</v>
      </c>
      <c r="E473" s="751" t="s">
        <v>1613</v>
      </c>
      <c r="F473" s="751" t="s">
        <v>331</v>
      </c>
      <c r="G473" s="752" t="s">
        <v>1681</v>
      </c>
      <c r="H473" s="753">
        <v>52504</v>
      </c>
      <c r="I473" s="754">
        <v>10017.85</v>
      </c>
      <c r="J473" s="754">
        <v>0</v>
      </c>
      <c r="K473" s="754">
        <v>0</v>
      </c>
      <c r="L473" s="754">
        <v>3025.4</v>
      </c>
      <c r="M473" s="754">
        <f t="shared" si="39"/>
        <v>3025.4</v>
      </c>
      <c r="N473" s="756">
        <v>10017.85</v>
      </c>
      <c r="O473" s="720">
        <f t="shared" si="40"/>
        <v>0</v>
      </c>
    </row>
    <row r="474" spans="1:15" outlineLevel="2" x14ac:dyDescent="0.25">
      <c r="A474" s="207" t="str">
        <f>VLOOKUP(RIGHT(E474,3)+0,SchLocTable!$A$2:$B$47,2,FALSE)</f>
        <v>FCW campus</v>
      </c>
      <c r="B474" s="207" t="str">
        <f>VLOOKUP(VALUE(D474),$D$3:F$106,3,FALSE)</f>
        <v>Paraprofessionals</v>
      </c>
      <c r="C474" s="751" t="s">
        <v>246</v>
      </c>
      <c r="D474" s="751" t="s">
        <v>1474</v>
      </c>
      <c r="E474" s="751" t="s">
        <v>1613</v>
      </c>
      <c r="F474" s="751" t="s">
        <v>259</v>
      </c>
      <c r="G474" s="752" t="s">
        <v>1681</v>
      </c>
      <c r="H474" s="753">
        <v>52917</v>
      </c>
      <c r="I474" s="754">
        <v>33640.36</v>
      </c>
      <c r="J474" s="754">
        <v>0</v>
      </c>
      <c r="K474" s="754">
        <v>0</v>
      </c>
      <c r="L474" s="754">
        <v>9814.24</v>
      </c>
      <c r="M474" s="754">
        <f t="shared" si="39"/>
        <v>9814.24</v>
      </c>
      <c r="N474" s="756">
        <v>33640.36</v>
      </c>
      <c r="O474" s="720">
        <f t="shared" si="40"/>
        <v>0</v>
      </c>
    </row>
    <row r="475" spans="1:15" outlineLevel="2" x14ac:dyDescent="0.25">
      <c r="A475" s="207" t="str">
        <f>VLOOKUP(RIGHT(E475,3)+0,SchLocTable!$A$2:$B$47,2,FALSE)</f>
        <v>Barnum</v>
      </c>
      <c r="B475" s="207" t="str">
        <f>VLOOKUP(VALUE(D475),$D$3:F$106,3,FALSE)</f>
        <v>School Clericals</v>
      </c>
      <c r="C475" s="751" t="s">
        <v>246</v>
      </c>
      <c r="D475" s="751" t="s">
        <v>325</v>
      </c>
      <c r="E475" s="751" t="s">
        <v>330</v>
      </c>
      <c r="F475" s="751" t="s">
        <v>248</v>
      </c>
      <c r="G475" s="752">
        <v>2</v>
      </c>
      <c r="H475" s="753">
        <v>51000</v>
      </c>
      <c r="I475" s="754">
        <v>85995.91</v>
      </c>
      <c r="J475" s="754">
        <v>0</v>
      </c>
      <c r="K475" s="754">
        <v>0</v>
      </c>
      <c r="L475" s="754">
        <v>25269.02</v>
      </c>
      <c r="M475" s="754">
        <f t="shared" si="39"/>
        <v>25269.02</v>
      </c>
      <c r="N475" s="756">
        <v>85995.91</v>
      </c>
      <c r="O475" s="720">
        <f t="shared" si="40"/>
        <v>0</v>
      </c>
    </row>
    <row r="476" spans="1:15" outlineLevel="2" x14ac:dyDescent="0.25">
      <c r="A476" s="207" t="str">
        <f>VLOOKUP(RIGHT(E476,3)+0,SchLocTable!$A$2:$B$47,2,FALSE)</f>
        <v>Barnum</v>
      </c>
      <c r="B476" s="207" t="str">
        <f>VLOOKUP(VALUE(D476),$D$3:F$106,3,FALSE)</f>
        <v>School Clericals</v>
      </c>
      <c r="C476" s="755" t="s">
        <v>246</v>
      </c>
      <c r="D476" s="751" t="s">
        <v>325</v>
      </c>
      <c r="E476" s="751" t="s">
        <v>330</v>
      </c>
      <c r="F476" s="751" t="s">
        <v>250</v>
      </c>
      <c r="G476" s="752" t="s">
        <v>1681</v>
      </c>
      <c r="H476" s="753">
        <v>51100</v>
      </c>
      <c r="I476" s="754">
        <v>925.32</v>
      </c>
      <c r="J476" s="754">
        <v>0</v>
      </c>
      <c r="K476" s="754">
        <v>0</v>
      </c>
      <c r="L476" s="754">
        <v>925.32</v>
      </c>
      <c r="M476" s="754">
        <f t="shared" si="39"/>
        <v>925.32</v>
      </c>
      <c r="N476" s="756">
        <v>925.32</v>
      </c>
      <c r="O476" s="720">
        <f t="shared" si="40"/>
        <v>0</v>
      </c>
    </row>
    <row r="477" spans="1:15" outlineLevel="2" x14ac:dyDescent="0.25">
      <c r="A477" s="207" t="str">
        <f>VLOOKUP(RIGHT(E477,3)+0,SchLocTable!$A$2:$B$47,2,FALSE)</f>
        <v>Barnum</v>
      </c>
      <c r="B477" s="207" t="str">
        <f>VLOOKUP(VALUE(D477),$D$3:F$106,3,FALSE)</f>
        <v>School Clericals</v>
      </c>
      <c r="C477" s="751" t="s">
        <v>246</v>
      </c>
      <c r="D477" s="751" t="s">
        <v>325</v>
      </c>
      <c r="E477" s="751" t="s">
        <v>330</v>
      </c>
      <c r="F477" s="751" t="s">
        <v>257</v>
      </c>
      <c r="G477" s="752" t="s">
        <v>1681</v>
      </c>
      <c r="H477" s="753">
        <v>51140</v>
      </c>
      <c r="I477" s="754">
        <v>900</v>
      </c>
      <c r="J477" s="754">
        <v>0</v>
      </c>
      <c r="K477" s="754">
        <v>0</v>
      </c>
      <c r="L477" s="754">
        <v>900</v>
      </c>
      <c r="M477" s="754">
        <f t="shared" si="39"/>
        <v>900</v>
      </c>
      <c r="N477" s="756">
        <v>900</v>
      </c>
      <c r="O477" s="720">
        <f t="shared" si="40"/>
        <v>0</v>
      </c>
    </row>
    <row r="478" spans="1:15" outlineLevel="2" x14ac:dyDescent="0.25">
      <c r="A478" s="207" t="str">
        <f>VLOOKUP(RIGHT(E478,3)+0,SchLocTable!$A$2:$B$47,2,FALSE)</f>
        <v>Barnum</v>
      </c>
      <c r="B478" s="207" t="str">
        <f>VLOOKUP(VALUE(D478),$D$3:F$106,3,FALSE)</f>
        <v>School Clericals</v>
      </c>
      <c r="C478" s="751" t="s">
        <v>246</v>
      </c>
      <c r="D478" s="751" t="s">
        <v>325</v>
      </c>
      <c r="E478" s="751" t="s">
        <v>330</v>
      </c>
      <c r="F478" s="751" t="s">
        <v>254</v>
      </c>
      <c r="G478" s="752" t="s">
        <v>1681</v>
      </c>
      <c r="H478" s="753">
        <v>52360</v>
      </c>
      <c r="I478" s="754">
        <v>1237.74</v>
      </c>
      <c r="J478" s="754">
        <v>0</v>
      </c>
      <c r="K478" s="754">
        <v>0</v>
      </c>
      <c r="L478" s="754">
        <v>357.2</v>
      </c>
      <c r="M478" s="754">
        <f t="shared" si="39"/>
        <v>357.2</v>
      </c>
      <c r="N478" s="756">
        <v>1237.74</v>
      </c>
      <c r="O478" s="720">
        <f t="shared" si="40"/>
        <v>0</v>
      </c>
    </row>
    <row r="479" spans="1:15" outlineLevel="2" x14ac:dyDescent="0.25">
      <c r="A479" s="207" t="str">
        <f>VLOOKUP(RIGHT(E479,3)+0,SchLocTable!$A$2:$B$47,2,FALSE)</f>
        <v>Barnum</v>
      </c>
      <c r="B479" s="207" t="str">
        <f>VLOOKUP(VALUE(D479),$D$3:F$106,3,FALSE)</f>
        <v>School Clericals</v>
      </c>
      <c r="C479" s="751" t="s">
        <v>246</v>
      </c>
      <c r="D479" s="751" t="s">
        <v>325</v>
      </c>
      <c r="E479" s="751" t="s">
        <v>330</v>
      </c>
      <c r="F479" s="751" t="s">
        <v>331</v>
      </c>
      <c r="G479" s="752" t="s">
        <v>1681</v>
      </c>
      <c r="H479" s="753">
        <v>52504</v>
      </c>
      <c r="I479" s="754">
        <v>17891.89</v>
      </c>
      <c r="J479" s="754">
        <v>0</v>
      </c>
      <c r="K479" s="754">
        <v>0</v>
      </c>
      <c r="L479" s="754">
        <v>5388.22</v>
      </c>
      <c r="M479" s="754">
        <f t="shared" si="39"/>
        <v>5388.22</v>
      </c>
      <c r="N479" s="756">
        <v>17891.89</v>
      </c>
      <c r="O479" s="720">
        <f t="shared" si="40"/>
        <v>0</v>
      </c>
    </row>
    <row r="480" spans="1:15" outlineLevel="2" x14ac:dyDescent="0.25">
      <c r="A480" s="207" t="str">
        <f>VLOOKUP(RIGHT(E480,3)+0,SchLocTable!$A$2:$B$47,2,FALSE)</f>
        <v>Barnum</v>
      </c>
      <c r="B480" s="207" t="str">
        <f>VLOOKUP(VALUE(D480),$D$3:F$106,3,FALSE)</f>
        <v>School Clericals</v>
      </c>
      <c r="C480" s="751" t="s">
        <v>246</v>
      </c>
      <c r="D480" s="751" t="s">
        <v>325</v>
      </c>
      <c r="E480" s="751" t="s">
        <v>330</v>
      </c>
      <c r="F480" s="751" t="s">
        <v>259</v>
      </c>
      <c r="G480" s="752" t="s">
        <v>1681</v>
      </c>
      <c r="H480" s="753">
        <v>52917</v>
      </c>
      <c r="I480" s="754">
        <v>22988</v>
      </c>
      <c r="J480" s="754">
        <v>0</v>
      </c>
      <c r="K480" s="754">
        <v>0</v>
      </c>
      <c r="L480" s="754">
        <v>5496.16</v>
      </c>
      <c r="M480" s="754">
        <f t="shared" si="39"/>
        <v>5496.16</v>
      </c>
      <c r="N480" s="756">
        <v>22988</v>
      </c>
      <c r="O480" s="720">
        <f t="shared" si="40"/>
        <v>0</v>
      </c>
    </row>
    <row r="481" spans="1:15" outlineLevel="2" x14ac:dyDescent="0.25">
      <c r="A481" s="207" t="str">
        <f>VLOOKUP(RIGHT(E481,3)+0,SchLocTable!$A$2:$B$47,2,FALSE)</f>
        <v>Barnum</v>
      </c>
      <c r="B481" s="207" t="str">
        <f>VLOOKUP(VALUE(D481),$D$3:F$106,3,FALSE)</f>
        <v>School Clericals</v>
      </c>
      <c r="C481" s="751" t="s">
        <v>246</v>
      </c>
      <c r="D481" s="751" t="s">
        <v>325</v>
      </c>
      <c r="E481" s="751" t="s">
        <v>330</v>
      </c>
      <c r="F481" s="751" t="s">
        <v>333</v>
      </c>
      <c r="G481" s="752" t="s">
        <v>1681</v>
      </c>
      <c r="H481" s="753">
        <v>52920</v>
      </c>
      <c r="I481" s="754">
        <v>0</v>
      </c>
      <c r="J481" s="754">
        <v>0</v>
      </c>
      <c r="K481" s="754">
        <v>0</v>
      </c>
      <c r="L481" s="754">
        <v>0</v>
      </c>
      <c r="M481" s="754">
        <f t="shared" si="39"/>
        <v>0</v>
      </c>
      <c r="N481" s="756">
        <v>0</v>
      </c>
      <c r="O481" s="720">
        <f t="shared" si="40"/>
        <v>0</v>
      </c>
    </row>
    <row r="482" spans="1:15" outlineLevel="2" x14ac:dyDescent="0.25">
      <c r="A482" s="207" t="str">
        <f>VLOOKUP(RIGHT(E482,3)+0,SchLocTable!$A$2:$B$47,2,FALSE)</f>
        <v>Beardsley</v>
      </c>
      <c r="B482" s="207" t="str">
        <f>VLOOKUP(VALUE(D482),$D$3:F$106,3,FALSE)</f>
        <v>School Clericals</v>
      </c>
      <c r="C482" s="751" t="s">
        <v>246</v>
      </c>
      <c r="D482" s="751" t="s">
        <v>325</v>
      </c>
      <c r="E482" s="751" t="s">
        <v>335</v>
      </c>
      <c r="F482" s="751" t="s">
        <v>248</v>
      </c>
      <c r="G482" s="752">
        <v>1</v>
      </c>
      <c r="H482" s="753">
        <v>51000</v>
      </c>
      <c r="I482" s="754">
        <v>52949.26</v>
      </c>
      <c r="J482" s="754">
        <v>0</v>
      </c>
      <c r="K482" s="754">
        <v>0</v>
      </c>
      <c r="L482" s="754">
        <v>15990.71</v>
      </c>
      <c r="M482" s="754">
        <f t="shared" si="39"/>
        <v>15990.71</v>
      </c>
      <c r="N482" s="756">
        <v>52949.26</v>
      </c>
      <c r="O482" s="720">
        <f t="shared" si="40"/>
        <v>0</v>
      </c>
    </row>
    <row r="483" spans="1:15" outlineLevel="2" x14ac:dyDescent="0.25">
      <c r="A483" s="207" t="str">
        <f>VLOOKUP(RIGHT(E483,3)+0,SchLocTable!$A$2:$B$47,2,FALSE)</f>
        <v>Beardsley</v>
      </c>
      <c r="B483" s="207" t="str">
        <f>VLOOKUP(VALUE(D483),$D$3:F$106,3,FALSE)</f>
        <v>School Clericals</v>
      </c>
      <c r="C483" s="751" t="s">
        <v>246</v>
      </c>
      <c r="D483" s="751" t="s">
        <v>325</v>
      </c>
      <c r="E483" s="751" t="s">
        <v>335</v>
      </c>
      <c r="F483" s="751" t="s">
        <v>257</v>
      </c>
      <c r="G483" s="752" t="s">
        <v>1681</v>
      </c>
      <c r="H483" s="753">
        <v>51140</v>
      </c>
      <c r="I483" s="754">
        <v>1470</v>
      </c>
      <c r="J483" s="754">
        <v>0</v>
      </c>
      <c r="K483" s="754">
        <v>0</v>
      </c>
      <c r="L483" s="754">
        <v>0</v>
      </c>
      <c r="M483" s="754">
        <f t="shared" si="39"/>
        <v>0</v>
      </c>
      <c r="N483" s="756">
        <v>1470</v>
      </c>
      <c r="O483" s="720">
        <f t="shared" si="40"/>
        <v>0</v>
      </c>
    </row>
    <row r="484" spans="1:15" outlineLevel="2" x14ac:dyDescent="0.25">
      <c r="A484" s="207" t="str">
        <f>VLOOKUP(RIGHT(E484,3)+0,SchLocTable!$A$2:$B$47,2,FALSE)</f>
        <v>Beardsley</v>
      </c>
      <c r="B484" s="207" t="str">
        <f>VLOOKUP(VALUE(D484),$D$3:F$106,3,FALSE)</f>
        <v>School Clericals</v>
      </c>
      <c r="C484" s="751" t="s">
        <v>246</v>
      </c>
      <c r="D484" s="751" t="s">
        <v>325</v>
      </c>
      <c r="E484" s="751" t="s">
        <v>335</v>
      </c>
      <c r="F484" s="751" t="s">
        <v>797</v>
      </c>
      <c r="G484" s="752" t="s">
        <v>1681</v>
      </c>
      <c r="H484" s="753">
        <v>51156</v>
      </c>
      <c r="I484" s="754">
        <v>0</v>
      </c>
      <c r="J484" s="754">
        <v>0</v>
      </c>
      <c r="K484" s="754">
        <v>0</v>
      </c>
      <c r="L484" s="754">
        <v>0</v>
      </c>
      <c r="M484" s="754">
        <f t="shared" si="39"/>
        <v>0</v>
      </c>
      <c r="N484" s="756">
        <v>0</v>
      </c>
      <c r="O484" s="720">
        <f t="shared" si="40"/>
        <v>0</v>
      </c>
    </row>
    <row r="485" spans="1:15" outlineLevel="2" x14ac:dyDescent="0.25">
      <c r="A485" s="207" t="str">
        <f>VLOOKUP(RIGHT(E485,3)+0,SchLocTable!$A$2:$B$47,2,FALSE)</f>
        <v>Beardsley</v>
      </c>
      <c r="B485" s="207" t="str">
        <f>VLOOKUP(VALUE(D485),$D$3:F$106,3,FALSE)</f>
        <v>School Clericals</v>
      </c>
      <c r="C485" s="755" t="s">
        <v>246</v>
      </c>
      <c r="D485" s="751" t="s">
        <v>325</v>
      </c>
      <c r="E485" s="751" t="s">
        <v>335</v>
      </c>
      <c r="F485" s="751" t="s">
        <v>254</v>
      </c>
      <c r="G485" s="752" t="s">
        <v>1681</v>
      </c>
      <c r="H485" s="753">
        <v>52360</v>
      </c>
      <c r="I485" s="754">
        <v>751.24</v>
      </c>
      <c r="J485" s="754">
        <v>0</v>
      </c>
      <c r="K485" s="754">
        <v>0</v>
      </c>
      <c r="L485" s="754">
        <v>215.34</v>
      </c>
      <c r="M485" s="754">
        <f t="shared" si="39"/>
        <v>215.34</v>
      </c>
      <c r="N485" s="756">
        <v>751.24</v>
      </c>
      <c r="O485" s="720">
        <f t="shared" si="40"/>
        <v>0</v>
      </c>
    </row>
    <row r="486" spans="1:15" outlineLevel="2" x14ac:dyDescent="0.25">
      <c r="A486" s="207" t="str">
        <f>VLOOKUP(RIGHT(E486,3)+0,SchLocTable!$A$2:$B$47,2,FALSE)</f>
        <v>Beardsley</v>
      </c>
      <c r="B486" s="207" t="str">
        <f>VLOOKUP(VALUE(D486),$D$3:F$106,3,FALSE)</f>
        <v>School Clericals</v>
      </c>
      <c r="C486" s="751" t="s">
        <v>246</v>
      </c>
      <c r="D486" s="751" t="s">
        <v>325</v>
      </c>
      <c r="E486" s="751" t="s">
        <v>335</v>
      </c>
      <c r="F486" s="751" t="s">
        <v>331</v>
      </c>
      <c r="G486" s="752" t="s">
        <v>1681</v>
      </c>
      <c r="H486" s="753">
        <v>52504</v>
      </c>
      <c r="I486" s="754">
        <v>10902.25</v>
      </c>
      <c r="J486" s="754">
        <v>0</v>
      </c>
      <c r="K486" s="754">
        <v>0</v>
      </c>
      <c r="L486" s="754">
        <v>3292.48</v>
      </c>
      <c r="M486" s="754">
        <f t="shared" si="39"/>
        <v>3292.48</v>
      </c>
      <c r="N486" s="756">
        <v>10902.25</v>
      </c>
      <c r="O486" s="720">
        <f t="shared" si="40"/>
        <v>0</v>
      </c>
    </row>
    <row r="487" spans="1:15" outlineLevel="2" x14ac:dyDescent="0.25">
      <c r="A487" s="207" t="str">
        <f>VLOOKUP(RIGHT(E487,3)+0,SchLocTable!$A$2:$B$47,2,FALSE)</f>
        <v>Beardsley</v>
      </c>
      <c r="B487" s="207" t="str">
        <f>VLOOKUP(VALUE(D487),$D$3:F$106,3,FALSE)</f>
        <v>School Clericals</v>
      </c>
      <c r="C487" s="751" t="s">
        <v>246</v>
      </c>
      <c r="D487" s="751" t="s">
        <v>325</v>
      </c>
      <c r="E487" s="751" t="s">
        <v>335</v>
      </c>
      <c r="F487" s="751" t="s">
        <v>259</v>
      </c>
      <c r="G487" s="752" t="s">
        <v>1681</v>
      </c>
      <c r="H487" s="753">
        <v>52917</v>
      </c>
      <c r="I487" s="754">
        <v>11599.36</v>
      </c>
      <c r="J487" s="754">
        <v>0</v>
      </c>
      <c r="K487" s="754">
        <v>0</v>
      </c>
      <c r="L487" s="754">
        <v>3555.36</v>
      </c>
      <c r="M487" s="754">
        <f t="shared" si="39"/>
        <v>3555.36</v>
      </c>
      <c r="N487" s="756">
        <v>11599.36</v>
      </c>
      <c r="O487" s="720">
        <f t="shared" si="40"/>
        <v>0</v>
      </c>
    </row>
    <row r="488" spans="1:15" outlineLevel="2" x14ac:dyDescent="0.25">
      <c r="A488" s="207" t="str">
        <f>VLOOKUP(RIGHT(E488,3)+0,SchLocTable!$A$2:$B$47,2,FALSE)</f>
        <v>Black Rock</v>
      </c>
      <c r="B488" s="207" t="str">
        <f>VLOOKUP(VALUE(D488),$D$3:F$106,3,FALSE)</f>
        <v>School Clericals</v>
      </c>
      <c r="C488" s="751" t="s">
        <v>246</v>
      </c>
      <c r="D488" s="751" t="s">
        <v>325</v>
      </c>
      <c r="E488" s="751" t="s">
        <v>336</v>
      </c>
      <c r="F488" s="751" t="s">
        <v>248</v>
      </c>
      <c r="G488" s="752">
        <v>1</v>
      </c>
      <c r="H488" s="753">
        <v>51000</v>
      </c>
      <c r="I488" s="754">
        <v>49494.45</v>
      </c>
      <c r="J488" s="754">
        <v>0</v>
      </c>
      <c r="K488" s="754">
        <v>0</v>
      </c>
      <c r="L488" s="754">
        <v>14947.36</v>
      </c>
      <c r="M488" s="754">
        <f t="shared" si="39"/>
        <v>14947.36</v>
      </c>
      <c r="N488" s="756">
        <v>49494.45</v>
      </c>
      <c r="O488" s="720">
        <f t="shared" si="40"/>
        <v>0</v>
      </c>
    </row>
    <row r="489" spans="1:15" outlineLevel="2" x14ac:dyDescent="0.25">
      <c r="A489" s="207" t="str">
        <f>VLOOKUP(RIGHT(E489,3)+0,SchLocTable!$A$2:$B$47,2,FALSE)</f>
        <v>Black Rock</v>
      </c>
      <c r="B489" s="207" t="str">
        <f>VLOOKUP(VALUE(D489),$D$3:F$106,3,FALSE)</f>
        <v>School Clericals</v>
      </c>
      <c r="C489" s="751" t="s">
        <v>246</v>
      </c>
      <c r="D489" s="751" t="s">
        <v>325</v>
      </c>
      <c r="E489" s="751" t="s">
        <v>336</v>
      </c>
      <c r="F489" s="751" t="s">
        <v>257</v>
      </c>
      <c r="G489" s="752" t="s">
        <v>1681</v>
      </c>
      <c r="H489" s="753">
        <v>51140</v>
      </c>
      <c r="I489" s="754">
        <v>1470</v>
      </c>
      <c r="J489" s="754">
        <v>0</v>
      </c>
      <c r="K489" s="754">
        <v>0</v>
      </c>
      <c r="L489" s="754">
        <v>0</v>
      </c>
      <c r="M489" s="754">
        <f t="shared" si="39"/>
        <v>0</v>
      </c>
      <c r="N489" s="756">
        <v>1470</v>
      </c>
      <c r="O489" s="720">
        <f t="shared" si="40"/>
        <v>0</v>
      </c>
    </row>
    <row r="490" spans="1:15" outlineLevel="2" x14ac:dyDescent="0.25">
      <c r="A490" s="207" t="str">
        <f>VLOOKUP(RIGHT(E490,3)+0,SchLocTable!$A$2:$B$47,2,FALSE)</f>
        <v>Black Rock</v>
      </c>
      <c r="B490" s="207" t="str">
        <f>VLOOKUP(VALUE(D490),$D$3:F$106,3,FALSE)</f>
        <v>School Clericals</v>
      </c>
      <c r="C490" s="751" t="s">
        <v>246</v>
      </c>
      <c r="D490" s="751" t="s">
        <v>325</v>
      </c>
      <c r="E490" s="751" t="s">
        <v>336</v>
      </c>
      <c r="F490" s="751" t="s">
        <v>797</v>
      </c>
      <c r="G490" s="752" t="s">
        <v>1681</v>
      </c>
      <c r="H490" s="753">
        <v>51156</v>
      </c>
      <c r="I490" s="754">
        <v>0</v>
      </c>
      <c r="J490" s="754">
        <v>0</v>
      </c>
      <c r="K490" s="754">
        <v>0</v>
      </c>
      <c r="L490" s="754">
        <v>0</v>
      </c>
      <c r="M490" s="754">
        <f t="shared" si="39"/>
        <v>0</v>
      </c>
      <c r="N490" s="756">
        <v>0</v>
      </c>
      <c r="O490" s="720">
        <f t="shared" si="40"/>
        <v>0</v>
      </c>
    </row>
    <row r="491" spans="1:15" outlineLevel="2" x14ac:dyDescent="0.25">
      <c r="A491" s="207" t="str">
        <f>VLOOKUP(RIGHT(E491,3)+0,SchLocTable!$A$2:$B$47,2,FALSE)</f>
        <v>Black Rock</v>
      </c>
      <c r="B491" s="207" t="str">
        <f>VLOOKUP(VALUE(D491),$D$3:F$106,3,FALSE)</f>
        <v>School Clericals</v>
      </c>
      <c r="C491" s="751" t="s">
        <v>246</v>
      </c>
      <c r="D491" s="751" t="s">
        <v>325</v>
      </c>
      <c r="E491" s="751" t="s">
        <v>336</v>
      </c>
      <c r="F491" s="751" t="s">
        <v>254</v>
      </c>
      <c r="G491" s="752" t="s">
        <v>1681</v>
      </c>
      <c r="H491" s="753">
        <v>52360</v>
      </c>
      <c r="I491" s="754">
        <v>701.15</v>
      </c>
      <c r="J491" s="754">
        <v>0</v>
      </c>
      <c r="K491" s="754">
        <v>0</v>
      </c>
      <c r="L491" s="754">
        <v>200.22</v>
      </c>
      <c r="M491" s="754">
        <f t="shared" si="39"/>
        <v>200.22</v>
      </c>
      <c r="N491" s="756">
        <v>701.15</v>
      </c>
      <c r="O491" s="720">
        <f t="shared" si="40"/>
        <v>0</v>
      </c>
    </row>
    <row r="492" spans="1:15" outlineLevel="2" x14ac:dyDescent="0.25">
      <c r="A492" s="207" t="str">
        <f>VLOOKUP(RIGHT(E492,3)+0,SchLocTable!$A$2:$B$47,2,FALSE)</f>
        <v>Black Rock</v>
      </c>
      <c r="B492" s="207" t="str">
        <f>VLOOKUP(VALUE(D492),$D$3:F$106,3,FALSE)</f>
        <v>School Clericals</v>
      </c>
      <c r="C492" s="751" t="s">
        <v>246</v>
      </c>
      <c r="D492" s="751" t="s">
        <v>325</v>
      </c>
      <c r="E492" s="751" t="s">
        <v>336</v>
      </c>
      <c r="F492" s="751" t="s">
        <v>331</v>
      </c>
      <c r="G492" s="752" t="s">
        <v>1681</v>
      </c>
      <c r="H492" s="753">
        <v>52504</v>
      </c>
      <c r="I492" s="754">
        <v>10190.84</v>
      </c>
      <c r="J492" s="754">
        <v>0</v>
      </c>
      <c r="K492" s="754">
        <v>0</v>
      </c>
      <c r="L492" s="754">
        <v>3077.6</v>
      </c>
      <c r="M492" s="754">
        <f t="shared" si="39"/>
        <v>3077.6</v>
      </c>
      <c r="N492" s="756">
        <v>10190.84</v>
      </c>
      <c r="O492" s="720">
        <f t="shared" si="40"/>
        <v>0</v>
      </c>
    </row>
    <row r="493" spans="1:15" outlineLevel="2" x14ac:dyDescent="0.25">
      <c r="A493" s="207" t="str">
        <f>VLOOKUP(RIGHT(E493,3)+0,SchLocTable!$A$2:$B$47,2,FALSE)</f>
        <v>Black Rock</v>
      </c>
      <c r="B493" s="207" t="str">
        <f>VLOOKUP(VALUE(D493),$D$3:F$106,3,FALSE)</f>
        <v>School Clericals</v>
      </c>
      <c r="C493" s="751" t="s">
        <v>246</v>
      </c>
      <c r="D493" s="751" t="s">
        <v>325</v>
      </c>
      <c r="E493" s="751" t="s">
        <v>336</v>
      </c>
      <c r="F493" s="751" t="s">
        <v>259</v>
      </c>
      <c r="G493" s="752" t="s">
        <v>1681</v>
      </c>
      <c r="H493" s="753">
        <v>52917</v>
      </c>
      <c r="I493" s="754">
        <v>11599.36</v>
      </c>
      <c r="J493" s="754">
        <v>0</v>
      </c>
      <c r="K493" s="754">
        <v>0</v>
      </c>
      <c r="L493" s="754">
        <v>3555.36</v>
      </c>
      <c r="M493" s="754">
        <f t="shared" si="39"/>
        <v>3555.36</v>
      </c>
      <c r="N493" s="756">
        <v>11599.36</v>
      </c>
      <c r="O493" s="720">
        <f t="shared" si="40"/>
        <v>0</v>
      </c>
    </row>
    <row r="494" spans="1:15" outlineLevel="2" x14ac:dyDescent="0.25">
      <c r="A494" s="207" t="str">
        <f>VLOOKUP(RIGHT(E494,3)+0,SchLocTable!$A$2:$B$47,2,FALSE)</f>
        <v>Bryant</v>
      </c>
      <c r="B494" s="207" t="str">
        <f>VLOOKUP(VALUE(D494),$D$3:F$106,3,FALSE)</f>
        <v>School Clericals</v>
      </c>
      <c r="C494" s="751" t="s">
        <v>246</v>
      </c>
      <c r="D494" s="751" t="s">
        <v>325</v>
      </c>
      <c r="E494" s="751" t="s">
        <v>337</v>
      </c>
      <c r="F494" s="751" t="s">
        <v>248</v>
      </c>
      <c r="G494" s="752">
        <v>1</v>
      </c>
      <c r="H494" s="753">
        <v>51000</v>
      </c>
      <c r="I494" s="754">
        <v>48579.73</v>
      </c>
      <c r="J494" s="754">
        <v>0</v>
      </c>
      <c r="K494" s="754">
        <v>0</v>
      </c>
      <c r="L494" s="754">
        <v>14886.58</v>
      </c>
      <c r="M494" s="754">
        <f t="shared" si="39"/>
        <v>14886.58</v>
      </c>
      <c r="N494" s="756">
        <v>48579.73</v>
      </c>
      <c r="O494" s="720">
        <f t="shared" si="40"/>
        <v>0</v>
      </c>
    </row>
    <row r="495" spans="1:15" outlineLevel="2" x14ac:dyDescent="0.25">
      <c r="A495" s="207" t="str">
        <f>VLOOKUP(RIGHT(E495,3)+0,SchLocTable!$A$2:$B$47,2,FALSE)</f>
        <v>Bryant</v>
      </c>
      <c r="B495" s="207" t="str">
        <f>VLOOKUP(VALUE(D495),$D$3:F$106,3,FALSE)</f>
        <v>School Clericals</v>
      </c>
      <c r="C495" s="751" t="s">
        <v>246</v>
      </c>
      <c r="D495" s="751" t="s">
        <v>325</v>
      </c>
      <c r="E495" s="751" t="s">
        <v>337</v>
      </c>
      <c r="F495" s="751" t="s">
        <v>257</v>
      </c>
      <c r="G495" s="752" t="s">
        <v>1681</v>
      </c>
      <c r="H495" s="753">
        <v>51140</v>
      </c>
      <c r="I495" s="754">
        <v>750</v>
      </c>
      <c r="J495" s="754">
        <v>0</v>
      </c>
      <c r="K495" s="754">
        <v>0</v>
      </c>
      <c r="L495" s="754">
        <v>750</v>
      </c>
      <c r="M495" s="754">
        <f t="shared" si="39"/>
        <v>750</v>
      </c>
      <c r="N495" s="756">
        <v>750</v>
      </c>
      <c r="O495" s="720">
        <f t="shared" si="40"/>
        <v>0</v>
      </c>
    </row>
    <row r="496" spans="1:15" outlineLevel="2" x14ac:dyDescent="0.25">
      <c r="A496" s="207" t="str">
        <f>VLOOKUP(RIGHT(E496,3)+0,SchLocTable!$A$2:$B$47,2,FALSE)</f>
        <v>Bryant</v>
      </c>
      <c r="B496" s="207" t="str">
        <f>VLOOKUP(VALUE(D496),$D$3:F$106,3,FALSE)</f>
        <v>School Clericals</v>
      </c>
      <c r="C496" s="751" t="s">
        <v>246</v>
      </c>
      <c r="D496" s="751" t="s">
        <v>325</v>
      </c>
      <c r="E496" s="751" t="s">
        <v>337</v>
      </c>
      <c r="F496" s="751" t="s">
        <v>254</v>
      </c>
      <c r="G496" s="752" t="s">
        <v>1681</v>
      </c>
      <c r="H496" s="753">
        <v>52360</v>
      </c>
      <c r="I496" s="754">
        <v>715.28</v>
      </c>
      <c r="J496" s="754">
        <v>0</v>
      </c>
      <c r="K496" s="754">
        <v>0</v>
      </c>
      <c r="L496" s="754">
        <v>226.73</v>
      </c>
      <c r="M496" s="754">
        <f t="shared" si="39"/>
        <v>226.73</v>
      </c>
      <c r="N496" s="756">
        <v>715.28</v>
      </c>
      <c r="O496" s="720">
        <f t="shared" si="40"/>
        <v>0</v>
      </c>
    </row>
    <row r="497" spans="1:15" outlineLevel="2" x14ac:dyDescent="0.25">
      <c r="A497" s="207" t="str">
        <f>VLOOKUP(RIGHT(E497,3)+0,SchLocTable!$A$2:$B$47,2,FALSE)</f>
        <v>Bryant</v>
      </c>
      <c r="B497" s="207" t="str">
        <f>VLOOKUP(VALUE(D497),$D$3:F$106,3,FALSE)</f>
        <v>School Clericals</v>
      </c>
      <c r="C497" s="751" t="s">
        <v>246</v>
      </c>
      <c r="D497" s="751" t="s">
        <v>325</v>
      </c>
      <c r="E497" s="751" t="s">
        <v>337</v>
      </c>
      <c r="F497" s="751" t="s">
        <v>331</v>
      </c>
      <c r="G497" s="752" t="s">
        <v>1681</v>
      </c>
      <c r="H497" s="753">
        <v>52504</v>
      </c>
      <c r="I497" s="754">
        <v>10156.98</v>
      </c>
      <c r="J497" s="754">
        <v>0</v>
      </c>
      <c r="K497" s="754">
        <v>0</v>
      </c>
      <c r="L497" s="754">
        <v>3219.56</v>
      </c>
      <c r="M497" s="754">
        <f t="shared" si="39"/>
        <v>3219.56</v>
      </c>
      <c r="N497" s="756">
        <v>10156.98</v>
      </c>
      <c r="O497" s="720">
        <f t="shared" si="40"/>
        <v>0</v>
      </c>
    </row>
    <row r="498" spans="1:15" outlineLevel="2" x14ac:dyDescent="0.25">
      <c r="A498" s="207" t="str">
        <f>VLOOKUP(RIGHT(E498,3)+0,SchLocTable!$A$2:$B$47,2,FALSE)</f>
        <v>Bryant</v>
      </c>
      <c r="B498" s="207" t="str">
        <f>VLOOKUP(VALUE(D498),$D$3:F$106,3,FALSE)</f>
        <v>School Clericals</v>
      </c>
      <c r="C498" s="751" t="s">
        <v>246</v>
      </c>
      <c r="D498" s="751" t="s">
        <v>325</v>
      </c>
      <c r="E498" s="751" t="s">
        <v>337</v>
      </c>
      <c r="F498" s="751" t="s">
        <v>259</v>
      </c>
      <c r="G498" s="752" t="s">
        <v>1681</v>
      </c>
      <c r="H498" s="753">
        <v>52917</v>
      </c>
      <c r="I498" s="754">
        <v>868.61</v>
      </c>
      <c r="J498" s="754">
        <v>0</v>
      </c>
      <c r="K498" s="754">
        <v>0</v>
      </c>
      <c r="L498" s="754">
        <v>266.24</v>
      </c>
      <c r="M498" s="754">
        <f t="shared" si="39"/>
        <v>266.24</v>
      </c>
      <c r="N498" s="756">
        <v>868.61</v>
      </c>
      <c r="O498" s="720">
        <f t="shared" si="40"/>
        <v>0</v>
      </c>
    </row>
    <row r="499" spans="1:15" outlineLevel="2" x14ac:dyDescent="0.25">
      <c r="A499" s="207" t="str">
        <f>VLOOKUP(RIGHT(E499,3)+0,SchLocTable!$A$2:$B$47,2,FALSE)</f>
        <v>Bryant</v>
      </c>
      <c r="B499" s="207" t="str">
        <f>VLOOKUP(VALUE(D499),$D$3:F$106,3,FALSE)</f>
        <v>School Clericals</v>
      </c>
      <c r="C499" s="751" t="s">
        <v>246</v>
      </c>
      <c r="D499" s="751" t="s">
        <v>325</v>
      </c>
      <c r="E499" s="751" t="s">
        <v>337</v>
      </c>
      <c r="F499" s="751" t="s">
        <v>333</v>
      </c>
      <c r="G499" s="752" t="s">
        <v>1681</v>
      </c>
      <c r="H499" s="753">
        <v>52920</v>
      </c>
      <c r="I499" s="754">
        <v>4000</v>
      </c>
      <c r="J499" s="754">
        <v>0</v>
      </c>
      <c r="K499" s="754">
        <v>0</v>
      </c>
      <c r="L499" s="754">
        <v>0</v>
      </c>
      <c r="M499" s="754">
        <f t="shared" si="39"/>
        <v>0</v>
      </c>
      <c r="N499" s="756">
        <v>4000</v>
      </c>
      <c r="O499" s="720">
        <f t="shared" si="40"/>
        <v>0</v>
      </c>
    </row>
    <row r="500" spans="1:15" outlineLevel="2" x14ac:dyDescent="0.25">
      <c r="A500" s="207" t="str">
        <f>VLOOKUP(RIGHT(E500,3)+0,SchLocTable!$A$2:$B$47,2,FALSE)</f>
        <v>Columbus</v>
      </c>
      <c r="B500" s="207" t="str">
        <f>VLOOKUP(VALUE(D500),$D$3:F$106,3,FALSE)</f>
        <v>School Clericals</v>
      </c>
      <c r="C500" s="751" t="s">
        <v>246</v>
      </c>
      <c r="D500" s="751" t="s">
        <v>325</v>
      </c>
      <c r="E500" s="751" t="s">
        <v>338</v>
      </c>
      <c r="F500" s="751" t="s">
        <v>248</v>
      </c>
      <c r="G500" s="752">
        <v>2</v>
      </c>
      <c r="H500" s="753">
        <v>51000</v>
      </c>
      <c r="I500" s="754">
        <v>97954.37</v>
      </c>
      <c r="J500" s="754">
        <v>0</v>
      </c>
      <c r="K500" s="754">
        <v>0</v>
      </c>
      <c r="L500" s="754">
        <v>29303.22</v>
      </c>
      <c r="M500" s="754">
        <f t="shared" si="39"/>
        <v>29303.22</v>
      </c>
      <c r="N500" s="756">
        <v>97954.37</v>
      </c>
      <c r="O500" s="720">
        <f t="shared" si="40"/>
        <v>0</v>
      </c>
    </row>
    <row r="501" spans="1:15" outlineLevel="2" x14ac:dyDescent="0.25">
      <c r="A501" s="207" t="str">
        <f>VLOOKUP(RIGHT(E501,3)+0,SchLocTable!$A$2:$B$47,2,FALSE)</f>
        <v>Columbus</v>
      </c>
      <c r="B501" s="207" t="str">
        <f>VLOOKUP(VALUE(D501),$D$3:F$106,3,FALSE)</f>
        <v>School Clericals</v>
      </c>
      <c r="C501" s="751" t="s">
        <v>246</v>
      </c>
      <c r="D501" s="751" t="s">
        <v>325</v>
      </c>
      <c r="E501" s="751" t="s">
        <v>338</v>
      </c>
      <c r="F501" s="751" t="s">
        <v>257</v>
      </c>
      <c r="G501" s="752" t="s">
        <v>1681</v>
      </c>
      <c r="H501" s="753">
        <v>51140</v>
      </c>
      <c r="I501" s="754">
        <v>2660</v>
      </c>
      <c r="J501" s="754">
        <v>0</v>
      </c>
      <c r="K501" s="754">
        <v>0</v>
      </c>
      <c r="L501" s="754">
        <v>0</v>
      </c>
      <c r="M501" s="754">
        <f t="shared" si="39"/>
        <v>0</v>
      </c>
      <c r="N501" s="756">
        <v>2660</v>
      </c>
      <c r="O501" s="720">
        <f t="shared" si="40"/>
        <v>0</v>
      </c>
    </row>
    <row r="502" spans="1:15" outlineLevel="2" x14ac:dyDescent="0.25">
      <c r="A502" s="207" t="str">
        <f>VLOOKUP(RIGHT(E502,3)+0,SchLocTable!$A$2:$B$47,2,FALSE)</f>
        <v>Columbus</v>
      </c>
      <c r="B502" s="207" t="str">
        <f>VLOOKUP(VALUE(D502),$D$3:F$106,3,FALSE)</f>
        <v>School Clericals</v>
      </c>
      <c r="C502" s="751" t="s">
        <v>246</v>
      </c>
      <c r="D502" s="751" t="s">
        <v>325</v>
      </c>
      <c r="E502" s="751" t="s">
        <v>338</v>
      </c>
      <c r="F502" s="751" t="s">
        <v>797</v>
      </c>
      <c r="G502" s="752" t="s">
        <v>1681</v>
      </c>
      <c r="H502" s="753">
        <v>51156</v>
      </c>
      <c r="I502" s="754">
        <v>0</v>
      </c>
      <c r="J502" s="754">
        <v>0</v>
      </c>
      <c r="K502" s="754">
        <v>0</v>
      </c>
      <c r="L502" s="754">
        <v>0</v>
      </c>
      <c r="M502" s="754">
        <f t="shared" si="39"/>
        <v>0</v>
      </c>
      <c r="N502" s="756">
        <v>0</v>
      </c>
      <c r="O502" s="720">
        <f t="shared" si="40"/>
        <v>0</v>
      </c>
    </row>
    <row r="503" spans="1:15" outlineLevel="2" x14ac:dyDescent="0.25">
      <c r="A503" s="207" t="str">
        <f>VLOOKUP(RIGHT(E503,3)+0,SchLocTable!$A$2:$B$47,2,FALSE)</f>
        <v>Columbus</v>
      </c>
      <c r="B503" s="207" t="str">
        <f>VLOOKUP(VALUE(D503),$D$3:F$106,3,FALSE)</f>
        <v>School Clericals</v>
      </c>
      <c r="C503" s="751" t="s">
        <v>246</v>
      </c>
      <c r="D503" s="751" t="s">
        <v>325</v>
      </c>
      <c r="E503" s="751" t="s">
        <v>338</v>
      </c>
      <c r="F503" s="751" t="s">
        <v>254</v>
      </c>
      <c r="G503" s="752" t="s">
        <v>1681</v>
      </c>
      <c r="H503" s="753">
        <v>52360</v>
      </c>
      <c r="I503" s="754">
        <v>1340.38</v>
      </c>
      <c r="J503" s="754">
        <v>0</v>
      </c>
      <c r="K503" s="754">
        <v>0</v>
      </c>
      <c r="L503" s="754">
        <v>344.94</v>
      </c>
      <c r="M503" s="754">
        <f t="shared" si="39"/>
        <v>344.94</v>
      </c>
      <c r="N503" s="756">
        <v>1340.38</v>
      </c>
      <c r="O503" s="720">
        <f t="shared" si="40"/>
        <v>0</v>
      </c>
    </row>
    <row r="504" spans="1:15" outlineLevel="2" x14ac:dyDescent="0.25">
      <c r="A504" s="207" t="str">
        <f>VLOOKUP(RIGHT(E504,3)+0,SchLocTable!$A$2:$B$47,2,FALSE)</f>
        <v>Columbus</v>
      </c>
      <c r="B504" s="207" t="str">
        <f>VLOOKUP(VALUE(D504),$D$3:F$106,3,FALSE)</f>
        <v>School Clericals</v>
      </c>
      <c r="C504" s="751" t="s">
        <v>246</v>
      </c>
      <c r="D504" s="751" t="s">
        <v>325</v>
      </c>
      <c r="E504" s="751" t="s">
        <v>338</v>
      </c>
      <c r="F504" s="751" t="s">
        <v>331</v>
      </c>
      <c r="G504" s="752" t="s">
        <v>1681</v>
      </c>
      <c r="H504" s="753">
        <v>52504</v>
      </c>
      <c r="I504" s="754">
        <v>20168.8</v>
      </c>
      <c r="J504" s="754">
        <v>0</v>
      </c>
      <c r="K504" s="754">
        <v>0</v>
      </c>
      <c r="L504" s="754">
        <v>6033.53</v>
      </c>
      <c r="M504" s="754">
        <f t="shared" si="39"/>
        <v>6033.53</v>
      </c>
      <c r="N504" s="756">
        <v>20168.8</v>
      </c>
      <c r="O504" s="720">
        <f t="shared" si="40"/>
        <v>0</v>
      </c>
    </row>
    <row r="505" spans="1:15" outlineLevel="2" x14ac:dyDescent="0.25">
      <c r="A505" s="207" t="str">
        <f>VLOOKUP(RIGHT(E505,3)+0,SchLocTable!$A$2:$B$47,2,FALSE)</f>
        <v>Columbus</v>
      </c>
      <c r="B505" s="207" t="str">
        <f>VLOOKUP(VALUE(D505),$D$3:F$106,3,FALSE)</f>
        <v>School Clericals</v>
      </c>
      <c r="C505" s="751" t="s">
        <v>246</v>
      </c>
      <c r="D505" s="751" t="s">
        <v>325</v>
      </c>
      <c r="E505" s="751" t="s">
        <v>338</v>
      </c>
      <c r="F505" s="751" t="s">
        <v>259</v>
      </c>
      <c r="G505" s="752" t="s">
        <v>1681</v>
      </c>
      <c r="H505" s="753">
        <v>52917</v>
      </c>
      <c r="I505" s="754">
        <v>55763.17</v>
      </c>
      <c r="J505" s="754">
        <v>0</v>
      </c>
      <c r="K505" s="754">
        <v>0</v>
      </c>
      <c r="L505" s="754">
        <v>17092.16</v>
      </c>
      <c r="M505" s="754">
        <f t="shared" si="39"/>
        <v>17092.16</v>
      </c>
      <c r="N505" s="756">
        <v>55763.17</v>
      </c>
      <c r="O505" s="720">
        <f t="shared" si="40"/>
        <v>0</v>
      </c>
    </row>
    <row r="506" spans="1:15" outlineLevel="2" x14ac:dyDescent="0.25">
      <c r="A506" s="207" t="str">
        <f>VLOOKUP(RIGHT(E506,3)+0,SchLocTable!$A$2:$B$47,2,FALSE)</f>
        <v>Edison</v>
      </c>
      <c r="B506" s="207" t="str">
        <f>VLOOKUP(VALUE(D506),$D$3:F$106,3,FALSE)</f>
        <v>School Clericals</v>
      </c>
      <c r="C506" s="751" t="s">
        <v>246</v>
      </c>
      <c r="D506" s="751" t="s">
        <v>325</v>
      </c>
      <c r="E506" s="751" t="s">
        <v>339</v>
      </c>
      <c r="F506" s="751" t="s">
        <v>248</v>
      </c>
      <c r="G506" s="752">
        <v>1</v>
      </c>
      <c r="H506" s="753">
        <v>51000</v>
      </c>
      <c r="I506" s="754">
        <v>41461.089999999997</v>
      </c>
      <c r="J506" s="754">
        <v>0</v>
      </c>
      <c r="K506" s="754">
        <v>0</v>
      </c>
      <c r="L506" s="754">
        <v>12521.28</v>
      </c>
      <c r="M506" s="754">
        <f t="shared" si="39"/>
        <v>12521.28</v>
      </c>
      <c r="N506" s="756">
        <v>41461.089999999997</v>
      </c>
      <c r="O506" s="720">
        <f t="shared" si="40"/>
        <v>0</v>
      </c>
    </row>
    <row r="507" spans="1:15" outlineLevel="2" x14ac:dyDescent="0.25">
      <c r="A507" s="207" t="str">
        <f>VLOOKUP(RIGHT(E507,3)+0,SchLocTable!$A$2:$B$47,2,FALSE)</f>
        <v>Edison</v>
      </c>
      <c r="B507" s="207" t="str">
        <f>VLOOKUP(VALUE(D507),$D$3:F$106,3,FALSE)</f>
        <v>School Clericals</v>
      </c>
      <c r="C507" s="751" t="s">
        <v>246</v>
      </c>
      <c r="D507" s="751" t="s">
        <v>325</v>
      </c>
      <c r="E507" s="751" t="s">
        <v>339</v>
      </c>
      <c r="F507" s="751" t="s">
        <v>257</v>
      </c>
      <c r="G507" s="752" t="s">
        <v>1681</v>
      </c>
      <c r="H507" s="753">
        <v>51140</v>
      </c>
      <c r="I507" s="754">
        <v>0</v>
      </c>
      <c r="J507" s="754">
        <v>0</v>
      </c>
      <c r="K507" s="754">
        <v>0</v>
      </c>
      <c r="L507" s="754">
        <v>0</v>
      </c>
      <c r="M507" s="754">
        <f t="shared" si="39"/>
        <v>0</v>
      </c>
      <c r="N507" s="756">
        <v>0</v>
      </c>
      <c r="O507" s="720">
        <f t="shared" si="40"/>
        <v>0</v>
      </c>
    </row>
    <row r="508" spans="1:15" outlineLevel="2" x14ac:dyDescent="0.25">
      <c r="A508" s="207" t="str">
        <f>VLOOKUP(RIGHT(E508,3)+0,SchLocTable!$A$2:$B$47,2,FALSE)</f>
        <v>Edison</v>
      </c>
      <c r="B508" s="207" t="str">
        <f>VLOOKUP(VALUE(D508),$D$3:F$106,3,FALSE)</f>
        <v>School Clericals</v>
      </c>
      <c r="C508" s="751" t="s">
        <v>246</v>
      </c>
      <c r="D508" s="751" t="s">
        <v>325</v>
      </c>
      <c r="E508" s="751" t="s">
        <v>339</v>
      </c>
      <c r="F508" s="751" t="s">
        <v>254</v>
      </c>
      <c r="G508" s="752" t="s">
        <v>1681</v>
      </c>
      <c r="H508" s="753">
        <v>52360</v>
      </c>
      <c r="I508" s="754">
        <v>528.82000000000005</v>
      </c>
      <c r="J508" s="754">
        <v>0</v>
      </c>
      <c r="K508" s="754">
        <v>0</v>
      </c>
      <c r="L508" s="754">
        <v>109.19</v>
      </c>
      <c r="M508" s="754">
        <f t="shared" si="39"/>
        <v>109.19</v>
      </c>
      <c r="N508" s="756">
        <v>528.82000000000005</v>
      </c>
      <c r="O508" s="720">
        <f t="shared" si="40"/>
        <v>0</v>
      </c>
    </row>
    <row r="509" spans="1:15" outlineLevel="2" x14ac:dyDescent="0.25">
      <c r="A509" s="207" t="str">
        <f>VLOOKUP(RIGHT(E509,3)+0,SchLocTable!$A$2:$B$47,2,FALSE)</f>
        <v>Edison</v>
      </c>
      <c r="B509" s="207" t="str">
        <f>VLOOKUP(VALUE(D509),$D$3:F$106,3,FALSE)</f>
        <v>School Clericals</v>
      </c>
      <c r="C509" s="751" t="s">
        <v>246</v>
      </c>
      <c r="D509" s="751" t="s">
        <v>325</v>
      </c>
      <c r="E509" s="751" t="s">
        <v>339</v>
      </c>
      <c r="F509" s="751" t="s">
        <v>292</v>
      </c>
      <c r="G509" s="752" t="s">
        <v>1681</v>
      </c>
      <c r="H509" s="753">
        <v>52385</v>
      </c>
      <c r="I509" s="754">
        <v>0</v>
      </c>
      <c r="J509" s="754">
        <v>0</v>
      </c>
      <c r="K509" s="754">
        <v>0</v>
      </c>
      <c r="L509" s="754">
        <v>0</v>
      </c>
      <c r="M509" s="754">
        <f t="shared" si="39"/>
        <v>0</v>
      </c>
      <c r="N509" s="756">
        <v>0</v>
      </c>
      <c r="O509" s="720">
        <f t="shared" si="40"/>
        <v>0</v>
      </c>
    </row>
    <row r="510" spans="1:15" outlineLevel="2" x14ac:dyDescent="0.25">
      <c r="A510" s="207" t="str">
        <f>VLOOKUP(RIGHT(E510,3)+0,SchLocTable!$A$2:$B$47,2,FALSE)</f>
        <v>Edison</v>
      </c>
      <c r="B510" s="207" t="str">
        <f>VLOOKUP(VALUE(D510),$D$3:F$106,3,FALSE)</f>
        <v>School Clericals</v>
      </c>
      <c r="C510" s="751" t="s">
        <v>246</v>
      </c>
      <c r="D510" s="751" t="s">
        <v>325</v>
      </c>
      <c r="E510" s="751" t="s">
        <v>339</v>
      </c>
      <c r="F510" s="751" t="s">
        <v>331</v>
      </c>
      <c r="G510" s="752" t="s">
        <v>1681</v>
      </c>
      <c r="H510" s="753">
        <v>52504</v>
      </c>
      <c r="I510" s="754">
        <v>8536.7900000000009</v>
      </c>
      <c r="J510" s="754">
        <v>0</v>
      </c>
      <c r="K510" s="754">
        <v>0</v>
      </c>
      <c r="L510" s="754">
        <v>2578.08</v>
      </c>
      <c r="M510" s="754">
        <f t="shared" si="39"/>
        <v>2578.08</v>
      </c>
      <c r="N510" s="756">
        <v>8536.7900000000009</v>
      </c>
      <c r="O510" s="720">
        <f t="shared" si="40"/>
        <v>0</v>
      </c>
    </row>
    <row r="511" spans="1:15" outlineLevel="2" x14ac:dyDescent="0.25">
      <c r="A511" s="207" t="str">
        <f>VLOOKUP(RIGHT(E511,3)+0,SchLocTable!$A$2:$B$47,2,FALSE)</f>
        <v>Edison</v>
      </c>
      <c r="B511" s="207" t="str">
        <f>VLOOKUP(VALUE(D511),$D$3:F$106,3,FALSE)</f>
        <v>School Clericals</v>
      </c>
      <c r="C511" s="755" t="s">
        <v>246</v>
      </c>
      <c r="D511" s="751" t="s">
        <v>325</v>
      </c>
      <c r="E511" s="751" t="s">
        <v>339</v>
      </c>
      <c r="F511" s="751" t="s">
        <v>259</v>
      </c>
      <c r="G511" s="752" t="s">
        <v>1681</v>
      </c>
      <c r="H511" s="753">
        <v>52917</v>
      </c>
      <c r="I511" s="754">
        <v>29075.919999999998</v>
      </c>
      <c r="J511" s="754">
        <v>0</v>
      </c>
      <c r="K511" s="754">
        <v>0</v>
      </c>
      <c r="L511" s="754">
        <v>8912.16</v>
      </c>
      <c r="M511" s="754">
        <f t="shared" ref="M511:M574" si="41">SUM(J511:L511)</f>
        <v>8912.16</v>
      </c>
      <c r="N511" s="756">
        <v>29075.919999999998</v>
      </c>
      <c r="O511" s="720">
        <f t="shared" ref="O511:O574" si="42">I511-N511</f>
        <v>0</v>
      </c>
    </row>
    <row r="512" spans="1:15" outlineLevel="2" x14ac:dyDescent="0.25">
      <c r="A512" s="207" t="str">
        <f>VLOOKUP(RIGHT(E512,3)+0,SchLocTable!$A$2:$B$47,2,FALSE)</f>
        <v>Physical Science HS</v>
      </c>
      <c r="B512" s="207" t="str">
        <f>VLOOKUP(VALUE(D512),$D$3:F$106,3,FALSE)</f>
        <v>School Clericals</v>
      </c>
      <c r="C512" s="755" t="s">
        <v>246</v>
      </c>
      <c r="D512" s="751" t="s">
        <v>325</v>
      </c>
      <c r="E512" s="751" t="s">
        <v>2104</v>
      </c>
      <c r="F512" s="751" t="s">
        <v>257</v>
      </c>
      <c r="G512" s="752" t="s">
        <v>1681</v>
      </c>
      <c r="H512" s="753">
        <v>51140</v>
      </c>
      <c r="I512" s="754">
        <v>1540</v>
      </c>
      <c r="J512" s="754">
        <v>0</v>
      </c>
      <c r="K512" s="754">
        <v>0</v>
      </c>
      <c r="L512" s="754">
        <v>0</v>
      </c>
      <c r="M512" s="754">
        <f t="shared" si="41"/>
        <v>0</v>
      </c>
      <c r="N512" s="756">
        <v>1540</v>
      </c>
      <c r="O512" s="720">
        <f t="shared" si="42"/>
        <v>0</v>
      </c>
    </row>
    <row r="513" spans="1:15" outlineLevel="2" x14ac:dyDescent="0.25">
      <c r="A513" s="207" t="str">
        <f>VLOOKUP(RIGHT(E513,3)+0,SchLocTable!$A$2:$B$47,2,FALSE)</f>
        <v>Physical Science HS</v>
      </c>
      <c r="B513" s="207" t="str">
        <f>VLOOKUP(VALUE(D513),$D$3:F$106,3,FALSE)</f>
        <v>School Clericals</v>
      </c>
      <c r="C513" s="751" t="s">
        <v>246</v>
      </c>
      <c r="D513" s="751" t="s">
        <v>325</v>
      </c>
      <c r="E513" s="751" t="s">
        <v>2104</v>
      </c>
      <c r="F513" s="751" t="s">
        <v>254</v>
      </c>
      <c r="G513" s="752" t="s">
        <v>1681</v>
      </c>
      <c r="H513" s="753">
        <v>52360</v>
      </c>
      <c r="I513" s="754">
        <v>0</v>
      </c>
      <c r="J513" s="754">
        <v>0</v>
      </c>
      <c r="K513" s="754">
        <v>0</v>
      </c>
      <c r="L513" s="754">
        <v>0</v>
      </c>
      <c r="M513" s="754">
        <f t="shared" si="41"/>
        <v>0</v>
      </c>
      <c r="N513" s="756">
        <v>0</v>
      </c>
      <c r="O513" s="720">
        <f t="shared" si="42"/>
        <v>0</v>
      </c>
    </row>
    <row r="514" spans="1:15" outlineLevel="2" x14ac:dyDescent="0.25">
      <c r="A514" s="207" t="str">
        <f>VLOOKUP(RIGHT(E514,3)+0,SchLocTable!$A$2:$B$47,2,FALSE)</f>
        <v>Physical Science HS</v>
      </c>
      <c r="B514" s="207" t="str">
        <f>VLOOKUP(VALUE(D514),$D$3:F$106,3,FALSE)</f>
        <v>School Clericals</v>
      </c>
      <c r="C514" s="751" t="s">
        <v>246</v>
      </c>
      <c r="D514" s="751" t="s">
        <v>325</v>
      </c>
      <c r="E514" s="751" t="s">
        <v>2104</v>
      </c>
      <c r="F514" s="751" t="s">
        <v>331</v>
      </c>
      <c r="G514" s="752" t="s">
        <v>1681</v>
      </c>
      <c r="H514" s="753">
        <v>52504</v>
      </c>
      <c r="I514" s="754">
        <v>0</v>
      </c>
      <c r="J514" s="754">
        <v>0</v>
      </c>
      <c r="K514" s="754">
        <v>0</v>
      </c>
      <c r="L514" s="754">
        <v>0</v>
      </c>
      <c r="M514" s="754">
        <f t="shared" si="41"/>
        <v>0</v>
      </c>
      <c r="N514" s="756">
        <v>0</v>
      </c>
      <c r="O514" s="720">
        <f t="shared" si="42"/>
        <v>0</v>
      </c>
    </row>
    <row r="515" spans="1:15" outlineLevel="2" x14ac:dyDescent="0.25">
      <c r="A515" s="207" t="str">
        <f>VLOOKUP(RIGHT(E515,3)+0,SchLocTable!$A$2:$B$47,2,FALSE)</f>
        <v>Marin</v>
      </c>
      <c r="B515" s="207" t="str">
        <f>VLOOKUP(VALUE(D515),$D$3:F$106,3,FALSE)</f>
        <v>School Clericals</v>
      </c>
      <c r="C515" s="755" t="s">
        <v>246</v>
      </c>
      <c r="D515" s="751" t="s">
        <v>325</v>
      </c>
      <c r="E515" s="751" t="s">
        <v>342</v>
      </c>
      <c r="F515" s="751" t="s">
        <v>248</v>
      </c>
      <c r="G515" s="752">
        <v>3</v>
      </c>
      <c r="H515" s="753">
        <v>51000</v>
      </c>
      <c r="I515" s="754">
        <v>140726.28</v>
      </c>
      <c r="J515" s="754">
        <v>0</v>
      </c>
      <c r="K515" s="754">
        <v>0</v>
      </c>
      <c r="L515" s="754">
        <v>42390.17</v>
      </c>
      <c r="M515" s="754">
        <f t="shared" si="41"/>
        <v>42390.17</v>
      </c>
      <c r="N515" s="756">
        <v>140726.28</v>
      </c>
      <c r="O515" s="720">
        <f t="shared" si="42"/>
        <v>0</v>
      </c>
    </row>
    <row r="516" spans="1:15" outlineLevel="2" x14ac:dyDescent="0.25">
      <c r="A516" s="207" t="str">
        <f>VLOOKUP(RIGHT(E516,3)+0,SchLocTable!$A$2:$B$47,2,FALSE)</f>
        <v>Marin</v>
      </c>
      <c r="B516" s="207" t="str">
        <f>VLOOKUP(VALUE(D516),$D$3:F$106,3,FALSE)</f>
        <v>School Clericals</v>
      </c>
      <c r="C516" s="751" t="s">
        <v>246</v>
      </c>
      <c r="D516" s="751" t="s">
        <v>325</v>
      </c>
      <c r="E516" s="751" t="s">
        <v>342</v>
      </c>
      <c r="F516" s="751" t="s">
        <v>257</v>
      </c>
      <c r="G516" s="752" t="s">
        <v>1681</v>
      </c>
      <c r="H516" s="753">
        <v>51140</v>
      </c>
      <c r="I516" s="754">
        <v>1470</v>
      </c>
      <c r="J516" s="754">
        <v>0</v>
      </c>
      <c r="K516" s="754">
        <v>0</v>
      </c>
      <c r="L516" s="754">
        <v>0</v>
      </c>
      <c r="M516" s="754">
        <f t="shared" si="41"/>
        <v>0</v>
      </c>
      <c r="N516" s="756">
        <v>1470</v>
      </c>
      <c r="O516" s="720">
        <f t="shared" si="42"/>
        <v>0</v>
      </c>
    </row>
    <row r="517" spans="1:15" outlineLevel="2" x14ac:dyDescent="0.25">
      <c r="A517" s="207" t="str">
        <f>VLOOKUP(RIGHT(E517,3)+0,SchLocTable!$A$2:$B$47,2,FALSE)</f>
        <v>Marin</v>
      </c>
      <c r="B517" s="207" t="str">
        <f>VLOOKUP(VALUE(D517),$D$3:F$106,3,FALSE)</f>
        <v>School Clericals</v>
      </c>
      <c r="C517" s="751" t="s">
        <v>246</v>
      </c>
      <c r="D517" s="751" t="s">
        <v>325</v>
      </c>
      <c r="E517" s="751" t="s">
        <v>342</v>
      </c>
      <c r="F517" s="751" t="s">
        <v>797</v>
      </c>
      <c r="G517" s="752" t="s">
        <v>1681</v>
      </c>
      <c r="H517" s="753">
        <v>51156</v>
      </c>
      <c r="I517" s="754">
        <v>0</v>
      </c>
      <c r="J517" s="754">
        <v>0</v>
      </c>
      <c r="K517" s="754">
        <v>0</v>
      </c>
      <c r="L517" s="754">
        <v>0</v>
      </c>
      <c r="M517" s="754">
        <f t="shared" si="41"/>
        <v>0</v>
      </c>
      <c r="N517" s="756">
        <v>0</v>
      </c>
      <c r="O517" s="720">
        <f t="shared" si="42"/>
        <v>0</v>
      </c>
    </row>
    <row r="518" spans="1:15" outlineLevel="2" x14ac:dyDescent="0.25">
      <c r="A518" s="207" t="str">
        <f>VLOOKUP(RIGHT(E518,3)+0,SchLocTable!$A$2:$B$47,2,FALSE)</f>
        <v>Marin</v>
      </c>
      <c r="B518" s="207" t="str">
        <f>VLOOKUP(VALUE(D518),$D$3:F$106,3,FALSE)</f>
        <v>School Clericals</v>
      </c>
      <c r="C518" s="751" t="s">
        <v>246</v>
      </c>
      <c r="D518" s="751" t="s">
        <v>325</v>
      </c>
      <c r="E518" s="751" t="s">
        <v>342</v>
      </c>
      <c r="F518" s="751" t="s">
        <v>254</v>
      </c>
      <c r="G518" s="752" t="s">
        <v>1681</v>
      </c>
      <c r="H518" s="753">
        <v>52360</v>
      </c>
      <c r="I518" s="754">
        <v>1975.82</v>
      </c>
      <c r="J518" s="754">
        <v>0</v>
      </c>
      <c r="K518" s="754">
        <v>0</v>
      </c>
      <c r="L518" s="754">
        <v>549.95000000000005</v>
      </c>
      <c r="M518" s="754">
        <f t="shared" si="41"/>
        <v>549.95000000000005</v>
      </c>
      <c r="N518" s="756">
        <v>1975.82</v>
      </c>
      <c r="O518" s="720">
        <f t="shared" si="42"/>
        <v>0</v>
      </c>
    </row>
    <row r="519" spans="1:15" outlineLevel="2" x14ac:dyDescent="0.25">
      <c r="A519" s="207" t="str">
        <f>VLOOKUP(RIGHT(E519,3)+0,SchLocTable!$A$2:$B$47,2,FALSE)</f>
        <v>Marin</v>
      </c>
      <c r="B519" s="207" t="str">
        <f>VLOOKUP(VALUE(D519),$D$3:F$106,3,FALSE)</f>
        <v>School Clericals</v>
      </c>
      <c r="C519" s="751" t="s">
        <v>246</v>
      </c>
      <c r="D519" s="751" t="s">
        <v>325</v>
      </c>
      <c r="E519" s="751" t="s">
        <v>342</v>
      </c>
      <c r="F519" s="751" t="s">
        <v>331</v>
      </c>
      <c r="G519" s="752" t="s">
        <v>1681</v>
      </c>
      <c r="H519" s="753">
        <v>52504</v>
      </c>
      <c r="I519" s="754">
        <v>28975.5</v>
      </c>
      <c r="J519" s="754">
        <v>0</v>
      </c>
      <c r="K519" s="754">
        <v>0</v>
      </c>
      <c r="L519" s="754">
        <v>8728.1</v>
      </c>
      <c r="M519" s="754">
        <f t="shared" si="41"/>
        <v>8728.1</v>
      </c>
      <c r="N519" s="756">
        <v>28975.5</v>
      </c>
      <c r="O519" s="720">
        <f t="shared" si="42"/>
        <v>0</v>
      </c>
    </row>
    <row r="520" spans="1:15" outlineLevel="2" x14ac:dyDescent="0.25">
      <c r="A520" s="207" t="str">
        <f>VLOOKUP(RIGHT(E520,3)+0,SchLocTable!$A$2:$B$47,2,FALSE)</f>
        <v>Marin</v>
      </c>
      <c r="B520" s="207" t="str">
        <f>VLOOKUP(VALUE(D520),$D$3:F$106,3,FALSE)</f>
        <v>School Clericals</v>
      </c>
      <c r="C520" s="751" t="s">
        <v>246</v>
      </c>
      <c r="D520" s="751" t="s">
        <v>325</v>
      </c>
      <c r="E520" s="751" t="s">
        <v>342</v>
      </c>
      <c r="F520" s="751" t="s">
        <v>259</v>
      </c>
      <c r="G520" s="752" t="s">
        <v>1681</v>
      </c>
      <c r="H520" s="753">
        <v>52917</v>
      </c>
      <c r="I520" s="754">
        <v>25538.66</v>
      </c>
      <c r="J520" s="754">
        <v>0</v>
      </c>
      <c r="K520" s="754">
        <v>0</v>
      </c>
      <c r="L520" s="754">
        <v>9197.26</v>
      </c>
      <c r="M520" s="754">
        <f t="shared" si="41"/>
        <v>9197.26</v>
      </c>
      <c r="N520" s="756">
        <v>25538.66</v>
      </c>
      <c r="O520" s="720">
        <f t="shared" si="42"/>
        <v>0</v>
      </c>
    </row>
    <row r="521" spans="1:15" outlineLevel="2" x14ac:dyDescent="0.25">
      <c r="A521" s="207" t="str">
        <f>VLOOKUP(RIGHT(E521,3)+0,SchLocTable!$A$2:$B$47,2,FALSE)</f>
        <v>Marin</v>
      </c>
      <c r="B521" s="207" t="str">
        <f>VLOOKUP(VALUE(D521),$D$3:F$106,3,FALSE)</f>
        <v>School Clericals</v>
      </c>
      <c r="C521" s="751" t="s">
        <v>246</v>
      </c>
      <c r="D521" s="751" t="s">
        <v>325</v>
      </c>
      <c r="E521" s="751" t="s">
        <v>342</v>
      </c>
      <c r="F521" s="751" t="s">
        <v>333</v>
      </c>
      <c r="G521" s="752" t="s">
        <v>1681</v>
      </c>
      <c r="H521" s="753">
        <v>52920</v>
      </c>
      <c r="I521" s="754">
        <v>500</v>
      </c>
      <c r="J521" s="754">
        <v>0</v>
      </c>
      <c r="K521" s="754">
        <v>0</v>
      </c>
      <c r="L521" s="754">
        <v>250</v>
      </c>
      <c r="M521" s="754">
        <f t="shared" si="41"/>
        <v>250</v>
      </c>
      <c r="N521" s="756">
        <v>500</v>
      </c>
      <c r="O521" s="720">
        <f t="shared" si="42"/>
        <v>0</v>
      </c>
    </row>
    <row r="522" spans="1:15" outlineLevel="2" x14ac:dyDescent="0.25">
      <c r="A522" s="207" t="str">
        <f>VLOOKUP(RIGHT(E522,3)+0,SchLocTable!$A$2:$B$47,2,FALSE)</f>
        <v>Hall</v>
      </c>
      <c r="B522" s="207" t="str">
        <f>VLOOKUP(VALUE(D522),$D$3:F$106,3,FALSE)</f>
        <v>School Clericals</v>
      </c>
      <c r="C522" s="755" t="s">
        <v>246</v>
      </c>
      <c r="D522" s="751" t="s">
        <v>325</v>
      </c>
      <c r="E522" s="751" t="s">
        <v>343</v>
      </c>
      <c r="F522" s="751" t="s">
        <v>248</v>
      </c>
      <c r="G522" s="752">
        <v>1</v>
      </c>
      <c r="H522" s="753">
        <v>51000</v>
      </c>
      <c r="I522" s="754">
        <v>49494.44</v>
      </c>
      <c r="J522" s="754">
        <v>0</v>
      </c>
      <c r="K522" s="754">
        <v>0</v>
      </c>
      <c r="L522" s="754">
        <v>14947.35</v>
      </c>
      <c r="M522" s="754">
        <f t="shared" si="41"/>
        <v>14947.35</v>
      </c>
      <c r="N522" s="756">
        <v>49494.44</v>
      </c>
      <c r="O522" s="720">
        <f t="shared" si="42"/>
        <v>0</v>
      </c>
    </row>
    <row r="523" spans="1:15" outlineLevel="2" x14ac:dyDescent="0.25">
      <c r="A523" s="207" t="str">
        <f>VLOOKUP(RIGHT(E523,3)+0,SchLocTable!$A$2:$B$47,2,FALSE)</f>
        <v>Hall</v>
      </c>
      <c r="B523" s="207" t="str">
        <f>VLOOKUP(VALUE(D523),$D$3:F$106,3,FALSE)</f>
        <v>School Clericals</v>
      </c>
      <c r="C523" s="751" t="s">
        <v>246</v>
      </c>
      <c r="D523" s="751" t="s">
        <v>325</v>
      </c>
      <c r="E523" s="751" t="s">
        <v>343</v>
      </c>
      <c r="F523" s="751" t="s">
        <v>257</v>
      </c>
      <c r="G523" s="752" t="s">
        <v>1681</v>
      </c>
      <c r="H523" s="753">
        <v>51140</v>
      </c>
      <c r="I523" s="754">
        <v>910</v>
      </c>
      <c r="J523" s="754">
        <v>0</v>
      </c>
      <c r="K523" s="754">
        <v>0</v>
      </c>
      <c r="L523" s="754">
        <v>0</v>
      </c>
      <c r="M523" s="754">
        <f t="shared" si="41"/>
        <v>0</v>
      </c>
      <c r="N523" s="756">
        <v>910</v>
      </c>
      <c r="O523" s="720">
        <f t="shared" si="42"/>
        <v>0</v>
      </c>
    </row>
    <row r="524" spans="1:15" outlineLevel="2" x14ac:dyDescent="0.25">
      <c r="A524" s="207" t="str">
        <f>VLOOKUP(RIGHT(E524,3)+0,SchLocTable!$A$2:$B$47,2,FALSE)</f>
        <v>Hall</v>
      </c>
      <c r="B524" s="207" t="str">
        <f>VLOOKUP(VALUE(D524),$D$3:F$106,3,FALSE)</f>
        <v>School Clericals</v>
      </c>
      <c r="C524" s="751" t="s">
        <v>246</v>
      </c>
      <c r="D524" s="751" t="s">
        <v>325</v>
      </c>
      <c r="E524" s="751" t="s">
        <v>343</v>
      </c>
      <c r="F524" s="751" t="s">
        <v>797</v>
      </c>
      <c r="G524" s="752" t="s">
        <v>1681</v>
      </c>
      <c r="H524" s="753">
        <v>51156</v>
      </c>
      <c r="I524" s="754">
        <v>0</v>
      </c>
      <c r="J524" s="754">
        <v>0</v>
      </c>
      <c r="K524" s="754">
        <v>0</v>
      </c>
      <c r="L524" s="754">
        <v>0</v>
      </c>
      <c r="M524" s="754">
        <f t="shared" si="41"/>
        <v>0</v>
      </c>
      <c r="N524" s="756">
        <v>0</v>
      </c>
      <c r="O524" s="720">
        <f t="shared" si="42"/>
        <v>0</v>
      </c>
    </row>
    <row r="525" spans="1:15" outlineLevel="2" x14ac:dyDescent="0.25">
      <c r="A525" s="207" t="str">
        <f>VLOOKUP(RIGHT(E525,3)+0,SchLocTable!$A$2:$B$47,2,FALSE)</f>
        <v>Hall</v>
      </c>
      <c r="B525" s="207" t="str">
        <f>VLOOKUP(VALUE(D525),$D$3:F$106,3,FALSE)</f>
        <v>School Clericals</v>
      </c>
      <c r="C525" s="751" t="s">
        <v>246</v>
      </c>
      <c r="D525" s="751" t="s">
        <v>325</v>
      </c>
      <c r="E525" s="751" t="s">
        <v>343</v>
      </c>
      <c r="F525" s="751" t="s">
        <v>254</v>
      </c>
      <c r="G525" s="752" t="s">
        <v>1681</v>
      </c>
      <c r="H525" s="753">
        <v>52360</v>
      </c>
      <c r="I525" s="754">
        <v>701.14</v>
      </c>
      <c r="J525" s="754">
        <v>0</v>
      </c>
      <c r="K525" s="754">
        <v>0</v>
      </c>
      <c r="L525" s="754">
        <v>200.21</v>
      </c>
      <c r="M525" s="754">
        <f t="shared" si="41"/>
        <v>200.21</v>
      </c>
      <c r="N525" s="756">
        <v>701.14</v>
      </c>
      <c r="O525" s="720">
        <f t="shared" si="42"/>
        <v>0</v>
      </c>
    </row>
    <row r="526" spans="1:15" outlineLevel="2" x14ac:dyDescent="0.25">
      <c r="A526" s="207" t="str">
        <f>VLOOKUP(RIGHT(E526,3)+0,SchLocTable!$A$2:$B$47,2,FALSE)</f>
        <v>Hall</v>
      </c>
      <c r="B526" s="207" t="str">
        <f>VLOOKUP(VALUE(D526),$D$3:F$106,3,FALSE)</f>
        <v>School Clericals</v>
      </c>
      <c r="C526" s="751" t="s">
        <v>246</v>
      </c>
      <c r="D526" s="751" t="s">
        <v>325</v>
      </c>
      <c r="E526" s="751" t="s">
        <v>343</v>
      </c>
      <c r="F526" s="751" t="s">
        <v>331</v>
      </c>
      <c r="G526" s="752" t="s">
        <v>1681</v>
      </c>
      <c r="H526" s="753">
        <v>52504</v>
      </c>
      <c r="I526" s="754">
        <v>10190.84</v>
      </c>
      <c r="J526" s="754">
        <v>0</v>
      </c>
      <c r="K526" s="754">
        <v>0</v>
      </c>
      <c r="L526" s="754">
        <v>3077.6</v>
      </c>
      <c r="M526" s="754">
        <f t="shared" si="41"/>
        <v>3077.6</v>
      </c>
      <c r="N526" s="756">
        <v>10190.84</v>
      </c>
      <c r="O526" s="720">
        <f t="shared" si="42"/>
        <v>0</v>
      </c>
    </row>
    <row r="527" spans="1:15" outlineLevel="2" x14ac:dyDescent="0.25">
      <c r="A527" s="207" t="str">
        <f>VLOOKUP(RIGHT(E527,3)+0,SchLocTable!$A$2:$B$47,2,FALSE)</f>
        <v>Hall</v>
      </c>
      <c r="B527" s="207" t="str">
        <f>VLOOKUP(VALUE(D527),$D$3:F$106,3,FALSE)</f>
        <v>School Clericals</v>
      </c>
      <c r="C527" s="751" t="s">
        <v>246</v>
      </c>
      <c r="D527" s="751" t="s">
        <v>325</v>
      </c>
      <c r="E527" s="751" t="s">
        <v>343</v>
      </c>
      <c r="F527" s="751" t="s">
        <v>259</v>
      </c>
      <c r="G527" s="752" t="s">
        <v>1681</v>
      </c>
      <c r="H527" s="753">
        <v>52917</v>
      </c>
      <c r="I527" s="754">
        <v>11599.36</v>
      </c>
      <c r="J527" s="754">
        <v>0</v>
      </c>
      <c r="K527" s="754">
        <v>0</v>
      </c>
      <c r="L527" s="754">
        <v>3555.36</v>
      </c>
      <c r="M527" s="754">
        <f t="shared" si="41"/>
        <v>3555.36</v>
      </c>
      <c r="N527" s="756">
        <v>11599.36</v>
      </c>
      <c r="O527" s="720">
        <f t="shared" si="42"/>
        <v>0</v>
      </c>
    </row>
    <row r="528" spans="1:15" outlineLevel="2" x14ac:dyDescent="0.25">
      <c r="A528" s="207" t="str">
        <f>VLOOKUP(RIGHT(E528,3)+0,SchLocTable!$A$2:$B$47,2,FALSE)</f>
        <v>Hallen</v>
      </c>
      <c r="B528" s="207" t="str">
        <f>VLOOKUP(VALUE(D528),$D$3:F$106,3,FALSE)</f>
        <v>School Clericals</v>
      </c>
      <c r="C528" s="751" t="s">
        <v>246</v>
      </c>
      <c r="D528" s="751" t="s">
        <v>325</v>
      </c>
      <c r="E528" s="751" t="s">
        <v>344</v>
      </c>
      <c r="F528" s="751" t="s">
        <v>248</v>
      </c>
      <c r="G528" s="752">
        <v>1</v>
      </c>
      <c r="H528" s="753">
        <v>51000</v>
      </c>
      <c r="I528" s="754">
        <v>55585.81</v>
      </c>
      <c r="J528" s="754">
        <v>0</v>
      </c>
      <c r="K528" s="754">
        <v>0</v>
      </c>
      <c r="L528" s="754">
        <v>18627.63</v>
      </c>
      <c r="M528" s="754">
        <f t="shared" si="41"/>
        <v>18627.63</v>
      </c>
      <c r="N528" s="756">
        <v>55585.81</v>
      </c>
      <c r="O528" s="720">
        <f t="shared" si="42"/>
        <v>0</v>
      </c>
    </row>
    <row r="529" spans="1:15" outlineLevel="2" x14ac:dyDescent="0.25">
      <c r="A529" s="207" t="str">
        <f>VLOOKUP(RIGHT(E529,3)+0,SchLocTable!$A$2:$B$47,2,FALSE)</f>
        <v>Hallen</v>
      </c>
      <c r="B529" s="207" t="str">
        <f>VLOOKUP(VALUE(D529),$D$3:F$106,3,FALSE)</f>
        <v>School Clericals</v>
      </c>
      <c r="C529" s="751" t="s">
        <v>246</v>
      </c>
      <c r="D529" s="751" t="s">
        <v>325</v>
      </c>
      <c r="E529" s="751" t="s">
        <v>344</v>
      </c>
      <c r="F529" s="751" t="s">
        <v>340</v>
      </c>
      <c r="G529" s="752" t="s">
        <v>1681</v>
      </c>
      <c r="H529" s="753">
        <v>51106</v>
      </c>
      <c r="I529" s="754">
        <v>138.38</v>
      </c>
      <c r="J529" s="754">
        <v>0</v>
      </c>
      <c r="K529" s="754">
        <v>0</v>
      </c>
      <c r="L529" s="754">
        <v>138.38</v>
      </c>
      <c r="M529" s="754">
        <f t="shared" si="41"/>
        <v>138.38</v>
      </c>
      <c r="N529" s="756">
        <v>138.38</v>
      </c>
      <c r="O529" s="720">
        <f t="shared" si="42"/>
        <v>0</v>
      </c>
    </row>
    <row r="530" spans="1:15" outlineLevel="2" x14ac:dyDescent="0.25">
      <c r="A530" s="207" t="str">
        <f>VLOOKUP(RIGHT(E530,3)+0,SchLocTable!$A$2:$B$47,2,FALSE)</f>
        <v>Hallen</v>
      </c>
      <c r="B530" s="207" t="str">
        <f>VLOOKUP(VALUE(D530),$D$3:F$106,3,FALSE)</f>
        <v>School Clericals</v>
      </c>
      <c r="C530" s="751" t="s">
        <v>246</v>
      </c>
      <c r="D530" s="751" t="s">
        <v>325</v>
      </c>
      <c r="E530" s="751" t="s">
        <v>344</v>
      </c>
      <c r="F530" s="751" t="s">
        <v>257</v>
      </c>
      <c r="G530" s="752" t="s">
        <v>1681</v>
      </c>
      <c r="H530" s="753">
        <v>51140</v>
      </c>
      <c r="I530" s="754">
        <v>770</v>
      </c>
      <c r="J530" s="754">
        <v>0</v>
      </c>
      <c r="K530" s="754">
        <v>0</v>
      </c>
      <c r="L530" s="754">
        <v>0</v>
      </c>
      <c r="M530" s="754">
        <f t="shared" si="41"/>
        <v>0</v>
      </c>
      <c r="N530" s="756">
        <v>770</v>
      </c>
      <c r="O530" s="720">
        <f t="shared" si="42"/>
        <v>0</v>
      </c>
    </row>
    <row r="531" spans="1:15" outlineLevel="2" x14ac:dyDescent="0.25">
      <c r="A531" s="207" t="str">
        <f>VLOOKUP(RIGHT(E531,3)+0,SchLocTable!$A$2:$B$47,2,FALSE)</f>
        <v>Hallen</v>
      </c>
      <c r="B531" s="207" t="str">
        <f>VLOOKUP(VALUE(D531),$D$3:F$106,3,FALSE)</f>
        <v>School Clericals</v>
      </c>
      <c r="C531" s="751" t="s">
        <v>246</v>
      </c>
      <c r="D531" s="751" t="s">
        <v>325</v>
      </c>
      <c r="E531" s="751" t="s">
        <v>344</v>
      </c>
      <c r="F531" s="751" t="s">
        <v>797</v>
      </c>
      <c r="G531" s="752" t="s">
        <v>1681</v>
      </c>
      <c r="H531" s="753">
        <v>51156</v>
      </c>
      <c r="I531" s="754">
        <v>0</v>
      </c>
      <c r="J531" s="754">
        <v>0</v>
      </c>
      <c r="K531" s="754">
        <v>0</v>
      </c>
      <c r="L531" s="754">
        <v>0</v>
      </c>
      <c r="M531" s="754">
        <f t="shared" si="41"/>
        <v>0</v>
      </c>
      <c r="N531" s="756">
        <v>0</v>
      </c>
      <c r="O531" s="720">
        <f t="shared" si="42"/>
        <v>0</v>
      </c>
    </row>
    <row r="532" spans="1:15" outlineLevel="2" x14ac:dyDescent="0.25">
      <c r="A532" s="207" t="str">
        <f>VLOOKUP(RIGHT(E532,3)+0,SchLocTable!$A$2:$B$47,2,FALSE)</f>
        <v>Hallen</v>
      </c>
      <c r="B532" s="207" t="str">
        <f>VLOOKUP(VALUE(D532),$D$3:F$106,3,FALSE)</f>
        <v>School Clericals</v>
      </c>
      <c r="C532" s="751" t="s">
        <v>246</v>
      </c>
      <c r="D532" s="751" t="s">
        <v>325</v>
      </c>
      <c r="E532" s="751" t="s">
        <v>344</v>
      </c>
      <c r="F532" s="751" t="s">
        <v>254</v>
      </c>
      <c r="G532" s="752" t="s">
        <v>1681</v>
      </c>
      <c r="H532" s="753">
        <v>52360</v>
      </c>
      <c r="I532" s="754">
        <v>744.48</v>
      </c>
      <c r="J532" s="754">
        <v>0</v>
      </c>
      <c r="K532" s="754">
        <v>0</v>
      </c>
      <c r="L532" s="754">
        <v>208.59</v>
      </c>
      <c r="M532" s="754">
        <f t="shared" si="41"/>
        <v>208.59</v>
      </c>
      <c r="N532" s="756">
        <v>744.48</v>
      </c>
      <c r="O532" s="720">
        <f t="shared" si="42"/>
        <v>0</v>
      </c>
    </row>
    <row r="533" spans="1:15" outlineLevel="2" x14ac:dyDescent="0.25">
      <c r="A533" s="207" t="str">
        <f>VLOOKUP(RIGHT(E533,3)+0,SchLocTable!$A$2:$B$47,2,FALSE)</f>
        <v>Hallen</v>
      </c>
      <c r="B533" s="207" t="str">
        <f>VLOOKUP(VALUE(D533),$D$3:F$106,3,FALSE)</f>
        <v>School Clericals</v>
      </c>
      <c r="C533" s="751" t="s">
        <v>246</v>
      </c>
      <c r="D533" s="751" t="s">
        <v>325</v>
      </c>
      <c r="E533" s="751" t="s">
        <v>344</v>
      </c>
      <c r="F533" s="751" t="s">
        <v>331</v>
      </c>
      <c r="G533" s="752" t="s">
        <v>1681</v>
      </c>
      <c r="H533" s="753">
        <v>52504</v>
      </c>
      <c r="I533" s="754">
        <v>11473.61</v>
      </c>
      <c r="J533" s="754">
        <v>0</v>
      </c>
      <c r="K533" s="754">
        <v>0</v>
      </c>
      <c r="L533" s="754">
        <v>3863.92</v>
      </c>
      <c r="M533" s="754">
        <f t="shared" si="41"/>
        <v>3863.92</v>
      </c>
      <c r="N533" s="756">
        <v>11473.61</v>
      </c>
      <c r="O533" s="720">
        <f t="shared" si="42"/>
        <v>0</v>
      </c>
    </row>
    <row r="534" spans="1:15" outlineLevel="2" x14ac:dyDescent="0.25">
      <c r="A534" s="207" t="str">
        <f>VLOOKUP(RIGHT(E534,3)+0,SchLocTable!$A$2:$B$47,2,FALSE)</f>
        <v>Hallen</v>
      </c>
      <c r="B534" s="207" t="str">
        <f>VLOOKUP(VALUE(D534),$D$3:F$106,3,FALSE)</f>
        <v>School Clericals</v>
      </c>
      <c r="C534" s="751" t="s">
        <v>246</v>
      </c>
      <c r="D534" s="751" t="s">
        <v>325</v>
      </c>
      <c r="E534" s="751" t="s">
        <v>344</v>
      </c>
      <c r="F534" s="751" t="s">
        <v>259</v>
      </c>
      <c r="G534" s="752" t="s">
        <v>1681</v>
      </c>
      <c r="H534" s="753">
        <v>52917</v>
      </c>
      <c r="I534" s="754">
        <v>23564.12</v>
      </c>
      <c r="J534" s="754">
        <v>0</v>
      </c>
      <c r="K534" s="754">
        <v>0</v>
      </c>
      <c r="L534" s="754">
        <v>7222.72</v>
      </c>
      <c r="M534" s="754">
        <f t="shared" si="41"/>
        <v>7222.72</v>
      </c>
      <c r="N534" s="756">
        <v>23564.12</v>
      </c>
      <c r="O534" s="720">
        <f t="shared" si="42"/>
        <v>0</v>
      </c>
    </row>
    <row r="535" spans="1:15" outlineLevel="2" x14ac:dyDescent="0.25">
      <c r="A535" s="207" t="str">
        <f>VLOOKUP(RIGHT(E535,3)+0,SchLocTable!$A$2:$B$47,2,FALSE)</f>
        <v>Hooker</v>
      </c>
      <c r="B535" s="207" t="str">
        <f>VLOOKUP(VALUE(D535),$D$3:F$106,3,FALSE)</f>
        <v>School Clericals</v>
      </c>
      <c r="C535" s="751" t="s">
        <v>246</v>
      </c>
      <c r="D535" s="751" t="s">
        <v>325</v>
      </c>
      <c r="E535" s="751" t="s">
        <v>345</v>
      </c>
      <c r="F535" s="751" t="s">
        <v>248</v>
      </c>
      <c r="G535" s="752">
        <v>1</v>
      </c>
      <c r="H535" s="753">
        <v>51000</v>
      </c>
      <c r="I535" s="754">
        <v>52949.27</v>
      </c>
      <c r="J535" s="754">
        <v>0</v>
      </c>
      <c r="K535" s="754">
        <v>0</v>
      </c>
      <c r="L535" s="754">
        <v>15990.72</v>
      </c>
      <c r="M535" s="754">
        <f t="shared" si="41"/>
        <v>15990.72</v>
      </c>
      <c r="N535" s="756">
        <v>52949.27</v>
      </c>
      <c r="O535" s="720">
        <f t="shared" si="42"/>
        <v>0</v>
      </c>
    </row>
    <row r="536" spans="1:15" outlineLevel="2" x14ac:dyDescent="0.25">
      <c r="A536" s="207" t="str">
        <f>VLOOKUP(RIGHT(E536,3)+0,SchLocTable!$A$2:$B$47,2,FALSE)</f>
        <v>Hooker</v>
      </c>
      <c r="B536" s="207" t="str">
        <f>VLOOKUP(VALUE(D536),$D$3:F$106,3,FALSE)</f>
        <v>School Clericals</v>
      </c>
      <c r="C536" s="751" t="s">
        <v>246</v>
      </c>
      <c r="D536" s="751" t="s">
        <v>325</v>
      </c>
      <c r="E536" s="751" t="s">
        <v>345</v>
      </c>
      <c r="F536" s="751" t="s">
        <v>257</v>
      </c>
      <c r="G536" s="752" t="s">
        <v>1681</v>
      </c>
      <c r="H536" s="753">
        <v>51140</v>
      </c>
      <c r="I536" s="754">
        <v>1470</v>
      </c>
      <c r="J536" s="754">
        <v>0</v>
      </c>
      <c r="K536" s="754">
        <v>0</v>
      </c>
      <c r="L536" s="754">
        <v>0</v>
      </c>
      <c r="M536" s="754">
        <f t="shared" si="41"/>
        <v>0</v>
      </c>
      <c r="N536" s="756">
        <v>1470</v>
      </c>
      <c r="O536" s="720">
        <f t="shared" si="42"/>
        <v>0</v>
      </c>
    </row>
    <row r="537" spans="1:15" outlineLevel="2" x14ac:dyDescent="0.25">
      <c r="A537" s="207" t="str">
        <f>VLOOKUP(RIGHT(E537,3)+0,SchLocTable!$A$2:$B$47,2,FALSE)</f>
        <v>Hooker</v>
      </c>
      <c r="B537" s="207" t="str">
        <f>VLOOKUP(VALUE(D537),$D$3:F$106,3,FALSE)</f>
        <v>School Clericals</v>
      </c>
      <c r="C537" s="751" t="s">
        <v>246</v>
      </c>
      <c r="D537" s="751" t="s">
        <v>325</v>
      </c>
      <c r="E537" s="751" t="s">
        <v>345</v>
      </c>
      <c r="F537" s="751" t="s">
        <v>254</v>
      </c>
      <c r="G537" s="752" t="s">
        <v>1681</v>
      </c>
      <c r="H537" s="753">
        <v>52360</v>
      </c>
      <c r="I537" s="754">
        <v>718.86</v>
      </c>
      <c r="J537" s="754">
        <v>0</v>
      </c>
      <c r="K537" s="754">
        <v>0</v>
      </c>
      <c r="L537" s="754">
        <v>182.96</v>
      </c>
      <c r="M537" s="754">
        <f t="shared" si="41"/>
        <v>182.96</v>
      </c>
      <c r="N537" s="756">
        <v>718.86</v>
      </c>
      <c r="O537" s="720">
        <f t="shared" si="42"/>
        <v>0</v>
      </c>
    </row>
    <row r="538" spans="1:15" outlineLevel="2" x14ac:dyDescent="0.25">
      <c r="A538" s="207" t="str">
        <f>VLOOKUP(RIGHT(E538,3)+0,SchLocTable!$A$2:$B$47,2,FALSE)</f>
        <v>Hooker</v>
      </c>
      <c r="B538" s="207" t="str">
        <f>VLOOKUP(VALUE(D538),$D$3:F$106,3,FALSE)</f>
        <v>School Clericals</v>
      </c>
      <c r="C538" s="755" t="s">
        <v>246</v>
      </c>
      <c r="D538" s="751" t="s">
        <v>325</v>
      </c>
      <c r="E538" s="751" t="s">
        <v>345</v>
      </c>
      <c r="F538" s="751" t="s">
        <v>331</v>
      </c>
      <c r="G538" s="752" t="s">
        <v>1681</v>
      </c>
      <c r="H538" s="753">
        <v>52504</v>
      </c>
      <c r="I538" s="754">
        <v>10902.25</v>
      </c>
      <c r="J538" s="754">
        <v>0</v>
      </c>
      <c r="K538" s="754">
        <v>0</v>
      </c>
      <c r="L538" s="754">
        <v>3292.48</v>
      </c>
      <c r="M538" s="754">
        <f t="shared" si="41"/>
        <v>3292.48</v>
      </c>
      <c r="N538" s="756">
        <v>10902.25</v>
      </c>
      <c r="O538" s="720">
        <f t="shared" si="42"/>
        <v>0</v>
      </c>
    </row>
    <row r="539" spans="1:15" outlineLevel="2" x14ac:dyDescent="0.25">
      <c r="A539" s="207" t="str">
        <f>VLOOKUP(RIGHT(E539,3)+0,SchLocTable!$A$2:$B$47,2,FALSE)</f>
        <v>Hooker</v>
      </c>
      <c r="B539" s="207" t="str">
        <f>VLOOKUP(VALUE(D539),$D$3:F$106,3,FALSE)</f>
        <v>School Clericals</v>
      </c>
      <c r="C539" s="751" t="s">
        <v>246</v>
      </c>
      <c r="D539" s="751" t="s">
        <v>325</v>
      </c>
      <c r="E539" s="751" t="s">
        <v>345</v>
      </c>
      <c r="F539" s="751" t="s">
        <v>259</v>
      </c>
      <c r="G539" s="752" t="s">
        <v>1681</v>
      </c>
      <c r="H539" s="753">
        <v>52917</v>
      </c>
      <c r="I539" s="754">
        <v>34357</v>
      </c>
      <c r="J539" s="754">
        <v>0</v>
      </c>
      <c r="K539" s="754">
        <v>0</v>
      </c>
      <c r="L539" s="754">
        <v>10530.88</v>
      </c>
      <c r="M539" s="754">
        <f t="shared" si="41"/>
        <v>10530.88</v>
      </c>
      <c r="N539" s="756">
        <v>34357</v>
      </c>
      <c r="O539" s="720">
        <f t="shared" si="42"/>
        <v>0</v>
      </c>
    </row>
    <row r="540" spans="1:15" outlineLevel="2" x14ac:dyDescent="0.25">
      <c r="A540" s="207" t="str">
        <f>VLOOKUP(RIGHT(E540,3)+0,SchLocTable!$A$2:$B$47,2,FALSE)</f>
        <v>Batalla</v>
      </c>
      <c r="B540" s="207" t="str">
        <f>VLOOKUP(VALUE(D540),$D$3:F$106,3,FALSE)</f>
        <v>School Clericals</v>
      </c>
      <c r="C540" s="751" t="s">
        <v>246</v>
      </c>
      <c r="D540" s="751" t="s">
        <v>325</v>
      </c>
      <c r="E540" s="751" t="s">
        <v>346</v>
      </c>
      <c r="F540" s="751" t="s">
        <v>248</v>
      </c>
      <c r="G540" s="752">
        <v>3</v>
      </c>
      <c r="H540" s="753">
        <v>51000</v>
      </c>
      <c r="I540" s="754">
        <v>148846.96</v>
      </c>
      <c r="J540" s="754">
        <v>0</v>
      </c>
      <c r="K540" s="754">
        <v>0</v>
      </c>
      <c r="L540" s="754">
        <v>46247.43</v>
      </c>
      <c r="M540" s="754">
        <f t="shared" si="41"/>
        <v>46247.43</v>
      </c>
      <c r="N540" s="756">
        <v>148846.96</v>
      </c>
      <c r="O540" s="720">
        <f t="shared" si="42"/>
        <v>0</v>
      </c>
    </row>
    <row r="541" spans="1:15" outlineLevel="2" x14ac:dyDescent="0.25">
      <c r="A541" s="207" t="str">
        <f>VLOOKUP(RIGHT(E541,3)+0,SchLocTable!$A$2:$B$47,2,FALSE)</f>
        <v>Batalla</v>
      </c>
      <c r="B541" s="207" t="str">
        <f>VLOOKUP(VALUE(D541),$D$3:F$106,3,FALSE)</f>
        <v>School Clericals</v>
      </c>
      <c r="C541" s="751" t="s">
        <v>246</v>
      </c>
      <c r="D541" s="751" t="s">
        <v>325</v>
      </c>
      <c r="E541" s="751" t="s">
        <v>346</v>
      </c>
      <c r="F541" s="751" t="s">
        <v>257</v>
      </c>
      <c r="G541" s="752" t="s">
        <v>1681</v>
      </c>
      <c r="H541" s="753">
        <v>51140</v>
      </c>
      <c r="I541" s="754">
        <v>4130</v>
      </c>
      <c r="J541" s="754">
        <v>0</v>
      </c>
      <c r="K541" s="754">
        <v>0</v>
      </c>
      <c r="L541" s="754">
        <v>0</v>
      </c>
      <c r="M541" s="754">
        <f t="shared" si="41"/>
        <v>0</v>
      </c>
      <c r="N541" s="756">
        <v>4130</v>
      </c>
      <c r="O541" s="720">
        <f t="shared" si="42"/>
        <v>0</v>
      </c>
    </row>
    <row r="542" spans="1:15" outlineLevel="2" x14ac:dyDescent="0.25">
      <c r="A542" s="207" t="str">
        <f>VLOOKUP(RIGHT(E542,3)+0,SchLocTable!$A$2:$B$47,2,FALSE)</f>
        <v>Batalla</v>
      </c>
      <c r="B542" s="207" t="str">
        <f>VLOOKUP(VALUE(D542),$D$3:F$106,3,FALSE)</f>
        <v>School Clericals</v>
      </c>
      <c r="C542" s="751" t="s">
        <v>246</v>
      </c>
      <c r="D542" s="751" t="s">
        <v>325</v>
      </c>
      <c r="E542" s="751" t="s">
        <v>346</v>
      </c>
      <c r="F542" s="751" t="s">
        <v>254</v>
      </c>
      <c r="G542" s="752" t="s">
        <v>1681</v>
      </c>
      <c r="H542" s="753">
        <v>52360</v>
      </c>
      <c r="I542" s="754">
        <v>2093.66</v>
      </c>
      <c r="J542" s="754">
        <v>0</v>
      </c>
      <c r="K542" s="754">
        <v>0</v>
      </c>
      <c r="L542" s="754">
        <v>605.97</v>
      </c>
      <c r="M542" s="754">
        <f t="shared" si="41"/>
        <v>605.97</v>
      </c>
      <c r="N542" s="756">
        <v>2093.66</v>
      </c>
      <c r="O542" s="720">
        <f t="shared" si="42"/>
        <v>0</v>
      </c>
    </row>
    <row r="543" spans="1:15" outlineLevel="2" x14ac:dyDescent="0.25">
      <c r="A543" s="207" t="str">
        <f>VLOOKUP(RIGHT(E543,3)+0,SchLocTable!$A$2:$B$47,2,FALSE)</f>
        <v>Batalla</v>
      </c>
      <c r="B543" s="207" t="str">
        <f>VLOOKUP(VALUE(D543),$D$3:F$106,3,FALSE)</f>
        <v>School Clericals</v>
      </c>
      <c r="C543" s="751" t="s">
        <v>246</v>
      </c>
      <c r="D543" s="751" t="s">
        <v>325</v>
      </c>
      <c r="E543" s="751" t="s">
        <v>346</v>
      </c>
      <c r="F543" s="751" t="s">
        <v>292</v>
      </c>
      <c r="G543" s="752" t="s">
        <v>1681</v>
      </c>
      <c r="H543" s="753">
        <v>52385</v>
      </c>
      <c r="I543" s="754">
        <v>0</v>
      </c>
      <c r="J543" s="754">
        <v>0</v>
      </c>
      <c r="K543" s="754">
        <v>0</v>
      </c>
      <c r="L543" s="754">
        <v>0</v>
      </c>
      <c r="M543" s="754">
        <f t="shared" si="41"/>
        <v>0</v>
      </c>
      <c r="N543" s="756">
        <v>0</v>
      </c>
      <c r="O543" s="720">
        <f t="shared" si="42"/>
        <v>0</v>
      </c>
    </row>
    <row r="544" spans="1:15" outlineLevel="2" x14ac:dyDescent="0.25">
      <c r="A544" s="207" t="str">
        <f>VLOOKUP(RIGHT(E544,3)+0,SchLocTable!$A$2:$B$47,2,FALSE)</f>
        <v>Batalla</v>
      </c>
      <c r="B544" s="207" t="str">
        <f>VLOOKUP(VALUE(D544),$D$3:F$106,3,FALSE)</f>
        <v>School Clericals</v>
      </c>
      <c r="C544" s="751" t="s">
        <v>246</v>
      </c>
      <c r="D544" s="751" t="s">
        <v>325</v>
      </c>
      <c r="E544" s="751" t="s">
        <v>346</v>
      </c>
      <c r="F544" s="751" t="s">
        <v>331</v>
      </c>
      <c r="G544" s="752" t="s">
        <v>1681</v>
      </c>
      <c r="H544" s="753">
        <v>52504</v>
      </c>
      <c r="I544" s="754">
        <v>30647.49</v>
      </c>
      <c r="J544" s="754">
        <v>0</v>
      </c>
      <c r="K544" s="754">
        <v>0</v>
      </c>
      <c r="L544" s="754">
        <v>9522.25</v>
      </c>
      <c r="M544" s="754">
        <f t="shared" si="41"/>
        <v>9522.25</v>
      </c>
      <c r="N544" s="756">
        <v>30647.49</v>
      </c>
      <c r="O544" s="720">
        <f t="shared" si="42"/>
        <v>0</v>
      </c>
    </row>
    <row r="545" spans="1:15" outlineLevel="2" x14ac:dyDescent="0.25">
      <c r="A545" s="207" t="str">
        <f>VLOOKUP(RIGHT(E545,3)+0,SchLocTable!$A$2:$B$47,2,FALSE)</f>
        <v>Batalla</v>
      </c>
      <c r="B545" s="207" t="str">
        <f>VLOOKUP(VALUE(D545),$D$3:F$106,3,FALSE)</f>
        <v>School Clericals</v>
      </c>
      <c r="C545" s="751" t="s">
        <v>246</v>
      </c>
      <c r="D545" s="751" t="s">
        <v>325</v>
      </c>
      <c r="E545" s="751" t="s">
        <v>346</v>
      </c>
      <c r="F545" s="751" t="s">
        <v>259</v>
      </c>
      <c r="G545" s="752" t="s">
        <v>1681</v>
      </c>
      <c r="H545" s="753">
        <v>52917</v>
      </c>
      <c r="I545" s="754">
        <v>40955.08</v>
      </c>
      <c r="J545" s="754">
        <v>0</v>
      </c>
      <c r="K545" s="754">
        <v>0</v>
      </c>
      <c r="L545" s="754">
        <v>13034.38</v>
      </c>
      <c r="M545" s="754">
        <f t="shared" si="41"/>
        <v>13034.38</v>
      </c>
      <c r="N545" s="756">
        <v>40955.08</v>
      </c>
      <c r="O545" s="720">
        <f t="shared" si="42"/>
        <v>0</v>
      </c>
    </row>
    <row r="546" spans="1:15" outlineLevel="2" x14ac:dyDescent="0.25">
      <c r="A546" s="207" t="str">
        <f>VLOOKUP(RIGHT(E546,3)+0,SchLocTable!$A$2:$B$47,2,FALSE)</f>
        <v>Batalla</v>
      </c>
      <c r="B546" s="207" t="str">
        <f>VLOOKUP(VALUE(D546),$D$3:F$106,3,FALSE)</f>
        <v>School Clericals</v>
      </c>
      <c r="C546" s="751" t="s">
        <v>246</v>
      </c>
      <c r="D546" s="751" t="s">
        <v>325</v>
      </c>
      <c r="E546" s="751" t="s">
        <v>346</v>
      </c>
      <c r="F546" s="751" t="s">
        <v>333</v>
      </c>
      <c r="G546" s="752" t="s">
        <v>1681</v>
      </c>
      <c r="H546" s="753">
        <v>52920</v>
      </c>
      <c r="I546" s="754">
        <v>0</v>
      </c>
      <c r="J546" s="754">
        <v>0</v>
      </c>
      <c r="K546" s="754">
        <v>0</v>
      </c>
      <c r="L546" s="754">
        <v>0</v>
      </c>
      <c r="M546" s="754">
        <f t="shared" si="41"/>
        <v>0</v>
      </c>
      <c r="N546" s="756">
        <v>0</v>
      </c>
      <c r="O546" s="720">
        <f t="shared" si="42"/>
        <v>0</v>
      </c>
    </row>
    <row r="547" spans="1:15" outlineLevel="2" x14ac:dyDescent="0.25">
      <c r="A547" s="207" t="str">
        <f>VLOOKUP(RIGHT(E547,3)+0,SchLocTable!$A$2:$B$47,2,FALSE)</f>
        <v>Info Tech HS</v>
      </c>
      <c r="B547" s="207" t="str">
        <f>VLOOKUP(VALUE(D547),$D$3:F$106,3,FALSE)</f>
        <v>School Clericals</v>
      </c>
      <c r="C547" s="751" t="s">
        <v>246</v>
      </c>
      <c r="D547" s="751" t="s">
        <v>325</v>
      </c>
      <c r="E547" s="751" t="s">
        <v>2105</v>
      </c>
      <c r="F547" s="751" t="s">
        <v>257</v>
      </c>
      <c r="G547" s="752" t="s">
        <v>1681</v>
      </c>
      <c r="H547" s="753">
        <v>51140</v>
      </c>
      <c r="I547" s="754">
        <v>1470</v>
      </c>
      <c r="J547" s="754">
        <v>0</v>
      </c>
      <c r="K547" s="754">
        <v>0</v>
      </c>
      <c r="L547" s="754">
        <v>0</v>
      </c>
      <c r="M547" s="754">
        <f t="shared" si="41"/>
        <v>0</v>
      </c>
      <c r="N547" s="756">
        <v>1470</v>
      </c>
      <c r="O547" s="720">
        <f t="shared" si="42"/>
        <v>0</v>
      </c>
    </row>
    <row r="548" spans="1:15" outlineLevel="2" x14ac:dyDescent="0.25">
      <c r="A548" s="207" t="str">
        <f>VLOOKUP(RIGHT(E548,3)+0,SchLocTable!$A$2:$B$47,2,FALSE)</f>
        <v>Info Tech HS</v>
      </c>
      <c r="B548" s="207" t="str">
        <f>VLOOKUP(VALUE(D548),$D$3:F$106,3,FALSE)</f>
        <v>School Clericals</v>
      </c>
      <c r="C548" s="751" t="s">
        <v>246</v>
      </c>
      <c r="D548" s="751" t="s">
        <v>325</v>
      </c>
      <c r="E548" s="751" t="s">
        <v>2105</v>
      </c>
      <c r="F548" s="751" t="s">
        <v>254</v>
      </c>
      <c r="G548" s="752" t="s">
        <v>1681</v>
      </c>
      <c r="H548" s="753">
        <v>52360</v>
      </c>
      <c r="I548" s="754">
        <v>0</v>
      </c>
      <c r="J548" s="754">
        <v>0</v>
      </c>
      <c r="K548" s="754">
        <v>0</v>
      </c>
      <c r="L548" s="754">
        <v>0</v>
      </c>
      <c r="M548" s="754">
        <f t="shared" si="41"/>
        <v>0</v>
      </c>
      <c r="N548" s="756">
        <v>0</v>
      </c>
      <c r="O548" s="720">
        <f t="shared" si="42"/>
        <v>0</v>
      </c>
    </row>
    <row r="549" spans="1:15" outlineLevel="2" x14ac:dyDescent="0.25">
      <c r="A549" s="207" t="str">
        <f>VLOOKUP(RIGHT(E549,3)+0,SchLocTable!$A$2:$B$47,2,FALSE)</f>
        <v>Info Tech HS</v>
      </c>
      <c r="B549" s="207" t="str">
        <f>VLOOKUP(VALUE(D549),$D$3:F$106,3,FALSE)</f>
        <v>School Clericals</v>
      </c>
      <c r="C549" s="751" t="s">
        <v>246</v>
      </c>
      <c r="D549" s="751" t="s">
        <v>325</v>
      </c>
      <c r="E549" s="751" t="s">
        <v>2105</v>
      </c>
      <c r="F549" s="751" t="s">
        <v>331</v>
      </c>
      <c r="G549" s="752" t="s">
        <v>1681</v>
      </c>
      <c r="H549" s="753">
        <v>52504</v>
      </c>
      <c r="I549" s="754">
        <v>0</v>
      </c>
      <c r="J549" s="754">
        <v>0</v>
      </c>
      <c r="K549" s="754">
        <v>0</v>
      </c>
      <c r="L549" s="754">
        <v>0</v>
      </c>
      <c r="M549" s="754">
        <f t="shared" si="41"/>
        <v>0</v>
      </c>
      <c r="N549" s="756">
        <v>0</v>
      </c>
      <c r="O549" s="720">
        <f t="shared" si="42"/>
        <v>0</v>
      </c>
    </row>
    <row r="550" spans="1:15" outlineLevel="2" x14ac:dyDescent="0.25">
      <c r="A550" s="207" t="str">
        <f>VLOOKUP(RIGHT(E550,3)+0,SchLocTable!$A$2:$B$47,2,FALSE)</f>
        <v>BMA HS</v>
      </c>
      <c r="B550" s="207" t="str">
        <f>VLOOKUP(VALUE(D550),$D$3:F$106,3,FALSE)</f>
        <v>School Clericals</v>
      </c>
      <c r="C550" s="751" t="s">
        <v>246</v>
      </c>
      <c r="D550" s="751" t="s">
        <v>325</v>
      </c>
      <c r="E550" s="751" t="s">
        <v>347</v>
      </c>
      <c r="F550" s="751" t="s">
        <v>248</v>
      </c>
      <c r="G550" s="752">
        <v>1</v>
      </c>
      <c r="H550" s="753">
        <v>51000</v>
      </c>
      <c r="I550" s="754">
        <v>52949.26</v>
      </c>
      <c r="J550" s="754">
        <v>0</v>
      </c>
      <c r="K550" s="754">
        <v>0</v>
      </c>
      <c r="L550" s="754">
        <v>15990.71</v>
      </c>
      <c r="M550" s="754">
        <f t="shared" si="41"/>
        <v>15990.71</v>
      </c>
      <c r="N550" s="756">
        <v>52949.26</v>
      </c>
      <c r="O550" s="720">
        <f t="shared" si="42"/>
        <v>0</v>
      </c>
    </row>
    <row r="551" spans="1:15" outlineLevel="2" x14ac:dyDescent="0.25">
      <c r="A551" s="207" t="str">
        <f>VLOOKUP(RIGHT(E551,3)+0,SchLocTable!$A$2:$B$47,2,FALSE)</f>
        <v>BMA HS</v>
      </c>
      <c r="B551" s="207" t="str">
        <f>VLOOKUP(VALUE(D551),$D$3:F$106,3,FALSE)</f>
        <v>School Clericals</v>
      </c>
      <c r="C551" s="755" t="s">
        <v>246</v>
      </c>
      <c r="D551" s="751" t="s">
        <v>325</v>
      </c>
      <c r="E551" s="751" t="s">
        <v>347</v>
      </c>
      <c r="F551" s="751" t="s">
        <v>257</v>
      </c>
      <c r="G551" s="752" t="s">
        <v>1681</v>
      </c>
      <c r="H551" s="753">
        <v>51140</v>
      </c>
      <c r="I551" s="754">
        <v>3150</v>
      </c>
      <c r="J551" s="754">
        <v>0</v>
      </c>
      <c r="K551" s="754">
        <v>0</v>
      </c>
      <c r="L551" s="754">
        <v>0</v>
      </c>
      <c r="M551" s="754">
        <f t="shared" si="41"/>
        <v>0</v>
      </c>
      <c r="N551" s="756">
        <v>3150</v>
      </c>
      <c r="O551" s="720">
        <f t="shared" si="42"/>
        <v>0</v>
      </c>
    </row>
    <row r="552" spans="1:15" outlineLevel="2" x14ac:dyDescent="0.25">
      <c r="A552" s="207" t="str">
        <f>VLOOKUP(RIGHT(E552,3)+0,SchLocTable!$A$2:$B$47,2,FALSE)</f>
        <v>BMA HS</v>
      </c>
      <c r="B552" s="207" t="str">
        <f>VLOOKUP(VALUE(D552),$D$3:F$106,3,FALSE)</f>
        <v>School Clericals</v>
      </c>
      <c r="C552" s="751" t="s">
        <v>246</v>
      </c>
      <c r="D552" s="751" t="s">
        <v>325</v>
      </c>
      <c r="E552" s="751" t="s">
        <v>347</v>
      </c>
      <c r="F552" s="751" t="s">
        <v>254</v>
      </c>
      <c r="G552" s="752" t="s">
        <v>1681</v>
      </c>
      <c r="H552" s="753">
        <v>52360</v>
      </c>
      <c r="I552" s="754">
        <v>767.76</v>
      </c>
      <c r="J552" s="754">
        <v>0</v>
      </c>
      <c r="K552" s="754">
        <v>0</v>
      </c>
      <c r="L552" s="754">
        <v>231.86</v>
      </c>
      <c r="M552" s="754">
        <f t="shared" si="41"/>
        <v>231.86</v>
      </c>
      <c r="N552" s="756">
        <v>767.76</v>
      </c>
      <c r="O552" s="720">
        <f t="shared" si="42"/>
        <v>0</v>
      </c>
    </row>
    <row r="553" spans="1:15" outlineLevel="2" x14ac:dyDescent="0.25">
      <c r="A553" s="207" t="str">
        <f>VLOOKUP(RIGHT(E553,3)+0,SchLocTable!$A$2:$B$47,2,FALSE)</f>
        <v>BMA HS</v>
      </c>
      <c r="B553" s="207" t="str">
        <f>VLOOKUP(VALUE(D553),$D$3:F$106,3,FALSE)</f>
        <v>School Clericals</v>
      </c>
      <c r="C553" s="751" t="s">
        <v>246</v>
      </c>
      <c r="D553" s="751" t="s">
        <v>325</v>
      </c>
      <c r="E553" s="751" t="s">
        <v>347</v>
      </c>
      <c r="F553" s="751" t="s">
        <v>331</v>
      </c>
      <c r="G553" s="752" t="s">
        <v>1681</v>
      </c>
      <c r="H553" s="753">
        <v>52504</v>
      </c>
      <c r="I553" s="754">
        <v>10902.25</v>
      </c>
      <c r="J553" s="754">
        <v>0</v>
      </c>
      <c r="K553" s="754">
        <v>0</v>
      </c>
      <c r="L553" s="754">
        <v>3292.48</v>
      </c>
      <c r="M553" s="754">
        <f t="shared" si="41"/>
        <v>3292.48</v>
      </c>
      <c r="N553" s="756">
        <v>10902.25</v>
      </c>
      <c r="O553" s="720">
        <f t="shared" si="42"/>
        <v>0</v>
      </c>
    </row>
    <row r="554" spans="1:15" outlineLevel="2" x14ac:dyDescent="0.25">
      <c r="A554" s="207" t="str">
        <f>VLOOKUP(RIGHT(E554,3)+0,SchLocTable!$A$2:$B$47,2,FALSE)</f>
        <v>BMA HS</v>
      </c>
      <c r="B554" s="207" t="str">
        <f>VLOOKUP(VALUE(D554),$D$3:F$106,3,FALSE)</f>
        <v>School Clericals</v>
      </c>
      <c r="C554" s="751" t="s">
        <v>246</v>
      </c>
      <c r="D554" s="751" t="s">
        <v>325</v>
      </c>
      <c r="E554" s="751" t="s">
        <v>347</v>
      </c>
      <c r="F554" s="751" t="s">
        <v>259</v>
      </c>
      <c r="G554" s="752" t="s">
        <v>1681</v>
      </c>
      <c r="H554" s="753">
        <v>52917</v>
      </c>
      <c r="I554" s="754">
        <v>11599.36</v>
      </c>
      <c r="J554" s="754">
        <v>0</v>
      </c>
      <c r="K554" s="754">
        <v>0</v>
      </c>
      <c r="L554" s="754">
        <v>3555.36</v>
      </c>
      <c r="M554" s="754">
        <f t="shared" si="41"/>
        <v>3555.36</v>
      </c>
      <c r="N554" s="756">
        <v>11599.36</v>
      </c>
      <c r="O554" s="720">
        <f t="shared" si="42"/>
        <v>0</v>
      </c>
    </row>
    <row r="555" spans="1:15" outlineLevel="2" x14ac:dyDescent="0.25">
      <c r="A555" s="207" t="str">
        <f>VLOOKUP(RIGHT(E555,3)+0,SchLocTable!$A$2:$B$47,2,FALSE)</f>
        <v>Park City Magnet</v>
      </c>
      <c r="B555" s="207" t="str">
        <f>VLOOKUP(VALUE(D555),$D$3:F$106,3,FALSE)</f>
        <v>School Clericals</v>
      </c>
      <c r="C555" s="751" t="s">
        <v>246</v>
      </c>
      <c r="D555" s="751" t="s">
        <v>325</v>
      </c>
      <c r="E555" s="751" t="s">
        <v>348</v>
      </c>
      <c r="F555" s="751" t="s">
        <v>248</v>
      </c>
      <c r="G555" s="752">
        <v>2</v>
      </c>
      <c r="H555" s="753">
        <v>51000</v>
      </c>
      <c r="I555" s="754">
        <v>112620.44</v>
      </c>
      <c r="J555" s="754">
        <v>0</v>
      </c>
      <c r="K555" s="754">
        <v>0</v>
      </c>
      <c r="L555" s="754">
        <v>34323.68</v>
      </c>
      <c r="M555" s="754">
        <f t="shared" si="41"/>
        <v>34323.68</v>
      </c>
      <c r="N555" s="756">
        <v>112620.44</v>
      </c>
      <c r="O555" s="720">
        <f t="shared" si="42"/>
        <v>0</v>
      </c>
    </row>
    <row r="556" spans="1:15" outlineLevel="2" x14ac:dyDescent="0.25">
      <c r="A556" s="207" t="str">
        <f>VLOOKUP(RIGHT(E556,3)+0,SchLocTable!$A$2:$B$47,2,FALSE)</f>
        <v>Park City Magnet</v>
      </c>
      <c r="B556" s="207" t="str">
        <f>VLOOKUP(VALUE(D556),$D$3:F$106,3,FALSE)</f>
        <v>School Clericals</v>
      </c>
      <c r="C556" s="751" t="s">
        <v>246</v>
      </c>
      <c r="D556" s="751" t="s">
        <v>325</v>
      </c>
      <c r="E556" s="751" t="s">
        <v>348</v>
      </c>
      <c r="F556" s="751" t="s">
        <v>257</v>
      </c>
      <c r="G556" s="752" t="s">
        <v>1681</v>
      </c>
      <c r="H556" s="753">
        <v>51140</v>
      </c>
      <c r="I556" s="754">
        <v>1650</v>
      </c>
      <c r="J556" s="754">
        <v>0</v>
      </c>
      <c r="K556" s="754">
        <v>0</v>
      </c>
      <c r="L556" s="754">
        <v>1650</v>
      </c>
      <c r="M556" s="754">
        <f t="shared" si="41"/>
        <v>1650</v>
      </c>
      <c r="N556" s="756">
        <v>1650</v>
      </c>
      <c r="O556" s="720">
        <f t="shared" si="42"/>
        <v>0</v>
      </c>
    </row>
    <row r="557" spans="1:15" outlineLevel="2" x14ac:dyDescent="0.25">
      <c r="A557" s="207" t="str">
        <f>VLOOKUP(RIGHT(E557,3)+0,SchLocTable!$A$2:$B$47,2,FALSE)</f>
        <v>Park City Magnet</v>
      </c>
      <c r="B557" s="207" t="str">
        <f>VLOOKUP(VALUE(D557),$D$3:F$106,3,FALSE)</f>
        <v>School Clericals</v>
      </c>
      <c r="C557" s="751" t="s">
        <v>246</v>
      </c>
      <c r="D557" s="751" t="s">
        <v>325</v>
      </c>
      <c r="E557" s="751" t="s">
        <v>348</v>
      </c>
      <c r="F557" s="751" t="s">
        <v>254</v>
      </c>
      <c r="G557" s="752" t="s">
        <v>1681</v>
      </c>
      <c r="H557" s="753">
        <v>52360</v>
      </c>
      <c r="I557" s="754">
        <v>1640.39</v>
      </c>
      <c r="J557" s="754">
        <v>0</v>
      </c>
      <c r="K557" s="754">
        <v>0</v>
      </c>
      <c r="L557" s="754">
        <v>505.09</v>
      </c>
      <c r="M557" s="754">
        <f t="shared" si="41"/>
        <v>505.09</v>
      </c>
      <c r="N557" s="756">
        <v>1640.39</v>
      </c>
      <c r="O557" s="720">
        <f t="shared" si="42"/>
        <v>0</v>
      </c>
    </row>
    <row r="558" spans="1:15" outlineLevel="2" x14ac:dyDescent="0.25">
      <c r="A558" s="207" t="str">
        <f>VLOOKUP(RIGHT(E558,3)+0,SchLocTable!$A$2:$B$47,2,FALSE)</f>
        <v>Park City Magnet</v>
      </c>
      <c r="B558" s="207" t="str">
        <f>VLOOKUP(VALUE(D558),$D$3:F$106,3,FALSE)</f>
        <v>School Clericals</v>
      </c>
      <c r="C558" s="751" t="s">
        <v>246</v>
      </c>
      <c r="D558" s="751" t="s">
        <v>325</v>
      </c>
      <c r="E558" s="751" t="s">
        <v>348</v>
      </c>
      <c r="F558" s="751" t="s">
        <v>331</v>
      </c>
      <c r="G558" s="752" t="s">
        <v>1681</v>
      </c>
      <c r="H558" s="753">
        <v>52504</v>
      </c>
      <c r="I558" s="754">
        <v>23528.23</v>
      </c>
      <c r="J558" s="754">
        <v>0</v>
      </c>
      <c r="K558" s="754">
        <v>0</v>
      </c>
      <c r="L558" s="754">
        <v>7406.93</v>
      </c>
      <c r="M558" s="754">
        <f t="shared" si="41"/>
        <v>7406.93</v>
      </c>
      <c r="N558" s="756">
        <v>23528.23</v>
      </c>
      <c r="O558" s="720">
        <f t="shared" si="42"/>
        <v>0</v>
      </c>
    </row>
    <row r="559" spans="1:15" outlineLevel="2" x14ac:dyDescent="0.25">
      <c r="A559" s="207" t="str">
        <f>VLOOKUP(RIGHT(E559,3)+0,SchLocTable!$A$2:$B$47,2,FALSE)</f>
        <v>Park City Magnet</v>
      </c>
      <c r="B559" s="207" t="str">
        <f>VLOOKUP(VALUE(D559),$D$3:F$106,3,FALSE)</f>
        <v>School Clericals</v>
      </c>
      <c r="C559" s="755" t="s">
        <v>246</v>
      </c>
      <c r="D559" s="751" t="s">
        <v>325</v>
      </c>
      <c r="E559" s="751" t="s">
        <v>348</v>
      </c>
      <c r="F559" s="751" t="s">
        <v>259</v>
      </c>
      <c r="G559" s="752" t="s">
        <v>1681</v>
      </c>
      <c r="H559" s="753">
        <v>52917</v>
      </c>
      <c r="I559" s="754">
        <v>11599.36</v>
      </c>
      <c r="J559" s="754">
        <v>0</v>
      </c>
      <c r="K559" s="754">
        <v>0</v>
      </c>
      <c r="L559" s="754">
        <v>3555.36</v>
      </c>
      <c r="M559" s="754">
        <f t="shared" si="41"/>
        <v>3555.36</v>
      </c>
      <c r="N559" s="756">
        <v>11599.36</v>
      </c>
      <c r="O559" s="720">
        <f t="shared" si="42"/>
        <v>0</v>
      </c>
    </row>
    <row r="560" spans="1:15" outlineLevel="2" x14ac:dyDescent="0.25">
      <c r="A560" s="207" t="str">
        <f>VLOOKUP(RIGHT(E560,3)+0,SchLocTable!$A$2:$B$47,2,FALSE)</f>
        <v>Park City Magnet</v>
      </c>
      <c r="B560" s="207" t="str">
        <f>VLOOKUP(VALUE(D560),$D$3:F$106,3,FALSE)</f>
        <v>School Clericals</v>
      </c>
      <c r="C560" s="751" t="s">
        <v>246</v>
      </c>
      <c r="D560" s="751" t="s">
        <v>325</v>
      </c>
      <c r="E560" s="751" t="s">
        <v>348</v>
      </c>
      <c r="F560" s="751" t="s">
        <v>333</v>
      </c>
      <c r="G560" s="752" t="s">
        <v>1681</v>
      </c>
      <c r="H560" s="753">
        <v>52920</v>
      </c>
      <c r="I560" s="754">
        <v>500</v>
      </c>
      <c r="J560" s="754">
        <v>0</v>
      </c>
      <c r="K560" s="754">
        <v>0</v>
      </c>
      <c r="L560" s="754">
        <v>0</v>
      </c>
      <c r="M560" s="754">
        <f t="shared" si="41"/>
        <v>0</v>
      </c>
      <c r="N560" s="756">
        <v>500</v>
      </c>
      <c r="O560" s="720">
        <f t="shared" si="42"/>
        <v>0</v>
      </c>
    </row>
    <row r="561" spans="1:15" outlineLevel="2" x14ac:dyDescent="0.25">
      <c r="A561" s="207" t="str">
        <f>VLOOKUP(RIGHT(E561,3)+0,SchLocTable!$A$2:$B$47,2,FALSE)</f>
        <v>Zoo Science HS</v>
      </c>
      <c r="B561" s="207" t="str">
        <f>VLOOKUP(VALUE(D561),$D$3:F$106,3,FALSE)</f>
        <v>School Clericals</v>
      </c>
      <c r="C561" s="751" t="s">
        <v>246</v>
      </c>
      <c r="D561" s="751" t="s">
        <v>325</v>
      </c>
      <c r="E561" s="751" t="s">
        <v>2106</v>
      </c>
      <c r="F561" s="751" t="s">
        <v>257</v>
      </c>
      <c r="G561" s="752" t="s">
        <v>1681</v>
      </c>
      <c r="H561" s="753">
        <v>51140</v>
      </c>
      <c r="I561" s="754">
        <v>1120</v>
      </c>
      <c r="J561" s="754">
        <v>0</v>
      </c>
      <c r="K561" s="754">
        <v>0</v>
      </c>
      <c r="L561" s="754">
        <v>0</v>
      </c>
      <c r="M561" s="754">
        <f t="shared" si="41"/>
        <v>0</v>
      </c>
      <c r="N561" s="756">
        <v>1120</v>
      </c>
      <c r="O561" s="720">
        <f t="shared" si="42"/>
        <v>0</v>
      </c>
    </row>
    <row r="562" spans="1:15" outlineLevel="2" x14ac:dyDescent="0.25">
      <c r="A562" s="207" t="str">
        <f>VLOOKUP(RIGHT(E562,3)+0,SchLocTable!$A$2:$B$47,2,FALSE)</f>
        <v>Zoo Science HS</v>
      </c>
      <c r="B562" s="207" t="str">
        <f>VLOOKUP(VALUE(D562),$D$3:F$106,3,FALSE)</f>
        <v>School Clericals</v>
      </c>
      <c r="C562" s="751" t="s">
        <v>246</v>
      </c>
      <c r="D562" s="751" t="s">
        <v>325</v>
      </c>
      <c r="E562" s="751" t="s">
        <v>2106</v>
      </c>
      <c r="F562" s="751" t="s">
        <v>254</v>
      </c>
      <c r="G562" s="752" t="s">
        <v>1681</v>
      </c>
      <c r="H562" s="753">
        <v>52360</v>
      </c>
      <c r="I562" s="754">
        <v>0</v>
      </c>
      <c r="J562" s="754">
        <v>0</v>
      </c>
      <c r="K562" s="754">
        <v>0</v>
      </c>
      <c r="L562" s="754">
        <v>0</v>
      </c>
      <c r="M562" s="754">
        <f t="shared" si="41"/>
        <v>0</v>
      </c>
      <c r="N562" s="756">
        <v>0</v>
      </c>
      <c r="O562" s="720">
        <f t="shared" si="42"/>
        <v>0</v>
      </c>
    </row>
    <row r="563" spans="1:15" outlineLevel="2" x14ac:dyDescent="0.25">
      <c r="A563" s="207" t="str">
        <f>VLOOKUP(RIGHT(E563,3)+0,SchLocTable!$A$2:$B$47,2,FALSE)</f>
        <v>Zoo Science HS</v>
      </c>
      <c r="B563" s="207" t="str">
        <f>VLOOKUP(VALUE(D563),$D$3:F$106,3,FALSE)</f>
        <v>School Clericals</v>
      </c>
      <c r="C563" s="751" t="s">
        <v>246</v>
      </c>
      <c r="D563" s="751" t="s">
        <v>325</v>
      </c>
      <c r="E563" s="751" t="s">
        <v>2106</v>
      </c>
      <c r="F563" s="751" t="s">
        <v>331</v>
      </c>
      <c r="G563" s="752" t="s">
        <v>1681</v>
      </c>
      <c r="H563" s="753">
        <v>52504</v>
      </c>
      <c r="I563" s="754">
        <v>0</v>
      </c>
      <c r="J563" s="754">
        <v>0</v>
      </c>
      <c r="K563" s="754">
        <v>0</v>
      </c>
      <c r="L563" s="754">
        <v>0</v>
      </c>
      <c r="M563" s="754">
        <f t="shared" si="41"/>
        <v>0</v>
      </c>
      <c r="N563" s="756">
        <v>0</v>
      </c>
      <c r="O563" s="720">
        <f t="shared" si="42"/>
        <v>0</v>
      </c>
    </row>
    <row r="564" spans="1:15" outlineLevel="2" x14ac:dyDescent="0.25">
      <c r="A564" s="207" t="str">
        <f>VLOOKUP(RIGHT(E564,3)+0,SchLocTable!$A$2:$B$47,2,FALSE)</f>
        <v>Madison</v>
      </c>
      <c r="B564" s="207" t="str">
        <f>VLOOKUP(VALUE(D564),$D$3:F$106,3,FALSE)</f>
        <v>School Clericals</v>
      </c>
      <c r="C564" s="751" t="s">
        <v>246</v>
      </c>
      <c r="D564" s="751" t="s">
        <v>325</v>
      </c>
      <c r="E564" s="751" t="s">
        <v>349</v>
      </c>
      <c r="F564" s="751" t="s">
        <v>248</v>
      </c>
      <c r="G564" s="752">
        <v>2</v>
      </c>
      <c r="H564" s="753">
        <v>51000</v>
      </c>
      <c r="I564" s="754">
        <v>86769.63</v>
      </c>
      <c r="J564" s="754">
        <v>0</v>
      </c>
      <c r="K564" s="754">
        <v>0</v>
      </c>
      <c r="L564" s="754">
        <v>22250.99</v>
      </c>
      <c r="M564" s="754">
        <f t="shared" si="41"/>
        <v>22250.99</v>
      </c>
      <c r="N564" s="756">
        <v>86769.63</v>
      </c>
      <c r="O564" s="720">
        <f t="shared" si="42"/>
        <v>0</v>
      </c>
    </row>
    <row r="565" spans="1:15" outlineLevel="2" x14ac:dyDescent="0.25">
      <c r="A565" s="207" t="str">
        <f>VLOOKUP(RIGHT(E565,3)+0,SchLocTable!$A$2:$B$47,2,FALSE)</f>
        <v>Madison</v>
      </c>
      <c r="B565" s="207" t="str">
        <f>VLOOKUP(VALUE(D565),$D$3:F$106,3,FALSE)</f>
        <v>School Clericals</v>
      </c>
      <c r="C565" s="751" t="s">
        <v>246</v>
      </c>
      <c r="D565" s="751" t="s">
        <v>325</v>
      </c>
      <c r="E565" s="751" t="s">
        <v>349</v>
      </c>
      <c r="F565" s="751" t="s">
        <v>257</v>
      </c>
      <c r="G565" s="752" t="s">
        <v>1681</v>
      </c>
      <c r="H565" s="753">
        <v>51140</v>
      </c>
      <c r="I565" s="754">
        <v>2800</v>
      </c>
      <c r="J565" s="754">
        <v>0</v>
      </c>
      <c r="K565" s="754">
        <v>0</v>
      </c>
      <c r="L565" s="754">
        <v>0</v>
      </c>
      <c r="M565" s="754">
        <f t="shared" si="41"/>
        <v>0</v>
      </c>
      <c r="N565" s="756">
        <v>2800</v>
      </c>
      <c r="O565" s="720">
        <f t="shared" si="42"/>
        <v>0</v>
      </c>
    </row>
    <row r="566" spans="1:15" outlineLevel="2" x14ac:dyDescent="0.25">
      <c r="A566" s="207" t="str">
        <f>VLOOKUP(RIGHT(E566,3)+0,SchLocTable!$A$2:$B$47,2,FALSE)</f>
        <v>Madison</v>
      </c>
      <c r="B566" s="207" t="str">
        <f>VLOOKUP(VALUE(D566),$D$3:F$106,3,FALSE)</f>
        <v>School Clericals</v>
      </c>
      <c r="C566" s="751" t="s">
        <v>246</v>
      </c>
      <c r="D566" s="751" t="s">
        <v>325</v>
      </c>
      <c r="E566" s="751" t="s">
        <v>349</v>
      </c>
      <c r="F566" s="751" t="s">
        <v>797</v>
      </c>
      <c r="G566" s="752" t="s">
        <v>1681</v>
      </c>
      <c r="H566" s="753">
        <v>51156</v>
      </c>
      <c r="I566" s="754">
        <v>0</v>
      </c>
      <c r="J566" s="754">
        <v>0</v>
      </c>
      <c r="K566" s="754">
        <v>0</v>
      </c>
      <c r="L566" s="754">
        <v>0</v>
      </c>
      <c r="M566" s="754">
        <f t="shared" si="41"/>
        <v>0</v>
      </c>
      <c r="N566" s="756">
        <v>0</v>
      </c>
      <c r="O566" s="720">
        <f t="shared" si="42"/>
        <v>0</v>
      </c>
    </row>
    <row r="567" spans="1:15" outlineLevel="2" x14ac:dyDescent="0.25">
      <c r="A567" s="207" t="str">
        <f>VLOOKUP(RIGHT(E567,3)+0,SchLocTable!$A$2:$B$47,2,FALSE)</f>
        <v>Madison</v>
      </c>
      <c r="B567" s="207" t="str">
        <f>VLOOKUP(VALUE(D567),$D$3:F$106,3,FALSE)</f>
        <v>School Clericals</v>
      </c>
      <c r="C567" s="751" t="s">
        <v>246</v>
      </c>
      <c r="D567" s="751" t="s">
        <v>325</v>
      </c>
      <c r="E567" s="751" t="s">
        <v>349</v>
      </c>
      <c r="F567" s="751" t="s">
        <v>254</v>
      </c>
      <c r="G567" s="752" t="s">
        <v>1681</v>
      </c>
      <c r="H567" s="753">
        <v>52360</v>
      </c>
      <c r="I567" s="754">
        <v>1241.6400000000001</v>
      </c>
      <c r="J567" s="754">
        <v>0</v>
      </c>
      <c r="K567" s="754">
        <v>0</v>
      </c>
      <c r="L567" s="754">
        <v>306.12</v>
      </c>
      <c r="M567" s="754">
        <f t="shared" si="41"/>
        <v>306.12</v>
      </c>
      <c r="N567" s="756">
        <v>1241.6400000000001</v>
      </c>
      <c r="O567" s="720">
        <f t="shared" si="42"/>
        <v>0</v>
      </c>
    </row>
    <row r="568" spans="1:15" outlineLevel="2" x14ac:dyDescent="0.25">
      <c r="A568" s="207" t="str">
        <f>VLOOKUP(RIGHT(E568,3)+0,SchLocTable!$A$2:$B$47,2,FALSE)</f>
        <v>Madison</v>
      </c>
      <c r="B568" s="207" t="str">
        <f>VLOOKUP(VALUE(D568),$D$3:F$106,3,FALSE)</f>
        <v>School Clericals</v>
      </c>
      <c r="C568" s="751" t="s">
        <v>246</v>
      </c>
      <c r="D568" s="751" t="s">
        <v>325</v>
      </c>
      <c r="E568" s="751" t="s">
        <v>349</v>
      </c>
      <c r="F568" s="751" t="s">
        <v>292</v>
      </c>
      <c r="G568" s="752" t="s">
        <v>1681</v>
      </c>
      <c r="H568" s="753">
        <v>52385</v>
      </c>
      <c r="I568" s="754">
        <v>388.14</v>
      </c>
      <c r="J568" s="754">
        <v>0</v>
      </c>
      <c r="K568" s="754">
        <v>0</v>
      </c>
      <c r="L568" s="754">
        <v>388.14</v>
      </c>
      <c r="M568" s="754">
        <f t="shared" si="41"/>
        <v>388.14</v>
      </c>
      <c r="N568" s="756">
        <v>388.14</v>
      </c>
      <c r="O568" s="720">
        <f t="shared" si="42"/>
        <v>0</v>
      </c>
    </row>
    <row r="569" spans="1:15" outlineLevel="2" x14ac:dyDescent="0.25">
      <c r="A569" s="207" t="str">
        <f>VLOOKUP(RIGHT(E569,3)+0,SchLocTable!$A$2:$B$47,2,FALSE)</f>
        <v>Madison</v>
      </c>
      <c r="B569" s="207" t="str">
        <f>VLOOKUP(VALUE(D569),$D$3:F$106,3,FALSE)</f>
        <v>School Clericals</v>
      </c>
      <c r="C569" s="755" t="s">
        <v>246</v>
      </c>
      <c r="D569" s="751" t="s">
        <v>325</v>
      </c>
      <c r="E569" s="751" t="s">
        <v>349</v>
      </c>
      <c r="F569" s="751" t="s">
        <v>331</v>
      </c>
      <c r="G569" s="752" t="s">
        <v>1681</v>
      </c>
      <c r="H569" s="753">
        <v>52504</v>
      </c>
      <c r="I569" s="754">
        <v>16576.87</v>
      </c>
      <c r="J569" s="754">
        <v>0</v>
      </c>
      <c r="K569" s="754">
        <v>0</v>
      </c>
      <c r="L569" s="754">
        <v>3292.48</v>
      </c>
      <c r="M569" s="754">
        <f t="shared" si="41"/>
        <v>3292.48</v>
      </c>
      <c r="N569" s="756">
        <v>16576.87</v>
      </c>
      <c r="O569" s="720">
        <f t="shared" si="42"/>
        <v>0</v>
      </c>
    </row>
    <row r="570" spans="1:15" outlineLevel="2" x14ac:dyDescent="0.25">
      <c r="A570" s="207" t="str">
        <f>VLOOKUP(RIGHT(E570,3)+0,SchLocTable!$A$2:$B$47,2,FALSE)</f>
        <v>Madison</v>
      </c>
      <c r="B570" s="207" t="str">
        <f>VLOOKUP(VALUE(D570),$D$3:F$106,3,FALSE)</f>
        <v>School Clericals</v>
      </c>
      <c r="C570" s="751" t="s">
        <v>246</v>
      </c>
      <c r="D570" s="751" t="s">
        <v>325</v>
      </c>
      <c r="E570" s="751" t="s">
        <v>349</v>
      </c>
      <c r="F570" s="751" t="s">
        <v>259</v>
      </c>
      <c r="G570" s="752" t="s">
        <v>1681</v>
      </c>
      <c r="H570" s="753">
        <v>52917</v>
      </c>
      <c r="I570" s="754">
        <v>11599.36</v>
      </c>
      <c r="J570" s="754">
        <v>0</v>
      </c>
      <c r="K570" s="754">
        <v>0</v>
      </c>
      <c r="L570" s="754">
        <v>3555.36</v>
      </c>
      <c r="M570" s="754">
        <f t="shared" si="41"/>
        <v>3555.36</v>
      </c>
      <c r="N570" s="756">
        <v>11599.36</v>
      </c>
      <c r="O570" s="720">
        <f t="shared" si="42"/>
        <v>0</v>
      </c>
    </row>
    <row r="571" spans="1:15" outlineLevel="2" x14ac:dyDescent="0.25">
      <c r="A571" s="207" t="str">
        <f>VLOOKUP(RIGHT(E571,3)+0,SchLocTable!$A$2:$B$47,2,FALSE)</f>
        <v>Classical Studies Academy</v>
      </c>
      <c r="B571" s="207" t="str">
        <f>VLOOKUP(VALUE(D571),$D$3:F$106,3,FALSE)</f>
        <v>School Clericals</v>
      </c>
      <c r="C571" s="751" t="s">
        <v>246</v>
      </c>
      <c r="D571" s="751" t="s">
        <v>325</v>
      </c>
      <c r="E571" s="751" t="s">
        <v>350</v>
      </c>
      <c r="F571" s="751" t="s">
        <v>248</v>
      </c>
      <c r="G571" s="752">
        <v>2</v>
      </c>
      <c r="H571" s="753">
        <v>51000</v>
      </c>
      <c r="I571" s="754">
        <v>96091.16</v>
      </c>
      <c r="J571" s="754">
        <v>0</v>
      </c>
      <c r="K571" s="754">
        <v>0</v>
      </c>
      <c r="L571" s="754">
        <v>28816.77</v>
      </c>
      <c r="M571" s="754">
        <f t="shared" si="41"/>
        <v>28816.77</v>
      </c>
      <c r="N571" s="756">
        <v>96091.16</v>
      </c>
      <c r="O571" s="720">
        <f t="shared" si="42"/>
        <v>0</v>
      </c>
    </row>
    <row r="572" spans="1:15" outlineLevel="2" x14ac:dyDescent="0.25">
      <c r="A572" s="207" t="str">
        <f>VLOOKUP(RIGHT(E572,3)+0,SchLocTable!$A$2:$B$47,2,FALSE)</f>
        <v>Classical Studies Academy</v>
      </c>
      <c r="B572" s="207" t="str">
        <f>VLOOKUP(VALUE(D572),$D$3:F$106,3,FALSE)</f>
        <v>School Clericals</v>
      </c>
      <c r="C572" s="751" t="s">
        <v>246</v>
      </c>
      <c r="D572" s="751" t="s">
        <v>325</v>
      </c>
      <c r="E572" s="751" t="s">
        <v>350</v>
      </c>
      <c r="F572" s="751" t="s">
        <v>257</v>
      </c>
      <c r="G572" s="752" t="s">
        <v>1681</v>
      </c>
      <c r="H572" s="753">
        <v>51140</v>
      </c>
      <c r="I572" s="754">
        <v>1050</v>
      </c>
      <c r="J572" s="754">
        <v>0</v>
      </c>
      <c r="K572" s="754">
        <v>0</v>
      </c>
      <c r="L572" s="754">
        <v>0</v>
      </c>
      <c r="M572" s="754">
        <f t="shared" si="41"/>
        <v>0</v>
      </c>
      <c r="N572" s="756">
        <v>1050</v>
      </c>
      <c r="O572" s="720">
        <f t="shared" si="42"/>
        <v>0</v>
      </c>
    </row>
    <row r="573" spans="1:15" outlineLevel="2" x14ac:dyDescent="0.25">
      <c r="A573" s="207" t="str">
        <f>VLOOKUP(RIGHT(E573,3)+0,SchLocTable!$A$2:$B$47,2,FALSE)</f>
        <v>Classical Studies Academy</v>
      </c>
      <c r="B573" s="207" t="str">
        <f>VLOOKUP(VALUE(D573),$D$3:F$106,3,FALSE)</f>
        <v>School Clericals</v>
      </c>
      <c r="C573" s="755" t="s">
        <v>246</v>
      </c>
      <c r="D573" s="751" t="s">
        <v>325</v>
      </c>
      <c r="E573" s="751" t="s">
        <v>350</v>
      </c>
      <c r="F573" s="751" t="s">
        <v>254</v>
      </c>
      <c r="G573" s="752" t="s">
        <v>1681</v>
      </c>
      <c r="H573" s="753">
        <v>52360</v>
      </c>
      <c r="I573" s="754">
        <v>1393.33</v>
      </c>
      <c r="J573" s="754">
        <v>0</v>
      </c>
      <c r="K573" s="754">
        <v>0</v>
      </c>
      <c r="L573" s="754">
        <v>417.85</v>
      </c>
      <c r="M573" s="754">
        <f t="shared" si="41"/>
        <v>417.85</v>
      </c>
      <c r="N573" s="756">
        <v>1393.33</v>
      </c>
      <c r="O573" s="720">
        <f t="shared" si="42"/>
        <v>0</v>
      </c>
    </row>
    <row r="574" spans="1:15" outlineLevel="2" x14ac:dyDescent="0.25">
      <c r="A574" s="207" t="str">
        <f>VLOOKUP(RIGHT(E574,3)+0,SchLocTable!$A$2:$B$47,2,FALSE)</f>
        <v>Classical Studies Academy</v>
      </c>
      <c r="B574" s="207" t="str">
        <f>VLOOKUP(VALUE(D574),$D$3:F$106,3,FALSE)</f>
        <v>School Clericals</v>
      </c>
      <c r="C574" s="751" t="s">
        <v>246</v>
      </c>
      <c r="D574" s="751" t="s">
        <v>325</v>
      </c>
      <c r="E574" s="751" t="s">
        <v>350</v>
      </c>
      <c r="F574" s="751" t="s">
        <v>292</v>
      </c>
      <c r="G574" s="752" t="s">
        <v>1681</v>
      </c>
      <c r="H574" s="753">
        <v>52385</v>
      </c>
      <c r="I574" s="754">
        <v>0</v>
      </c>
      <c r="J574" s="754">
        <v>0</v>
      </c>
      <c r="K574" s="754">
        <v>0</v>
      </c>
      <c r="L574" s="754">
        <v>0</v>
      </c>
      <c r="M574" s="754">
        <f t="shared" si="41"/>
        <v>0</v>
      </c>
      <c r="N574" s="756">
        <v>0</v>
      </c>
      <c r="O574" s="720">
        <f t="shared" si="42"/>
        <v>0</v>
      </c>
    </row>
    <row r="575" spans="1:15" outlineLevel="2" x14ac:dyDescent="0.25">
      <c r="A575" s="207" t="str">
        <f>VLOOKUP(RIGHT(E575,3)+0,SchLocTable!$A$2:$B$47,2,FALSE)</f>
        <v>Classical Studies Academy</v>
      </c>
      <c r="B575" s="207" t="str">
        <f>VLOOKUP(VALUE(D575),$D$3:F$106,3,FALSE)</f>
        <v>School Clericals</v>
      </c>
      <c r="C575" s="751" t="s">
        <v>246</v>
      </c>
      <c r="D575" s="751" t="s">
        <v>325</v>
      </c>
      <c r="E575" s="751" t="s">
        <v>350</v>
      </c>
      <c r="F575" s="751" t="s">
        <v>331</v>
      </c>
      <c r="G575" s="752" t="s">
        <v>1681</v>
      </c>
      <c r="H575" s="753">
        <v>52504</v>
      </c>
      <c r="I575" s="754">
        <v>19785.11</v>
      </c>
      <c r="J575" s="754">
        <v>0</v>
      </c>
      <c r="K575" s="754">
        <v>0</v>
      </c>
      <c r="L575" s="754">
        <v>5933.31</v>
      </c>
      <c r="M575" s="754">
        <f t="shared" ref="M575:M638" si="43">SUM(J575:L575)</f>
        <v>5933.31</v>
      </c>
      <c r="N575" s="756">
        <v>19785.11</v>
      </c>
      <c r="O575" s="720">
        <f t="shared" ref="O575:O638" si="44">I575-N575</f>
        <v>0</v>
      </c>
    </row>
    <row r="576" spans="1:15" outlineLevel="2" x14ac:dyDescent="0.25">
      <c r="A576" s="207" t="str">
        <f>VLOOKUP(RIGHT(E576,3)+0,SchLocTable!$A$2:$B$47,2,FALSE)</f>
        <v>Classical Studies Academy</v>
      </c>
      <c r="B576" s="207" t="str">
        <f>VLOOKUP(VALUE(D576),$D$3:F$106,3,FALSE)</f>
        <v>School Clericals</v>
      </c>
      <c r="C576" s="751" t="s">
        <v>246</v>
      </c>
      <c r="D576" s="751" t="s">
        <v>325</v>
      </c>
      <c r="E576" s="751" t="s">
        <v>350</v>
      </c>
      <c r="F576" s="751" t="s">
        <v>259</v>
      </c>
      <c r="G576" s="752" t="s">
        <v>1681</v>
      </c>
      <c r="H576" s="753">
        <v>52917</v>
      </c>
      <c r="I576" s="754">
        <v>0</v>
      </c>
      <c r="J576" s="754">
        <v>0</v>
      </c>
      <c r="K576" s="754">
        <v>0</v>
      </c>
      <c r="L576" s="754">
        <v>0</v>
      </c>
      <c r="M576" s="754">
        <f t="shared" si="43"/>
        <v>0</v>
      </c>
      <c r="N576" s="756">
        <v>0</v>
      </c>
      <c r="O576" s="720">
        <f t="shared" si="44"/>
        <v>0</v>
      </c>
    </row>
    <row r="577" spans="1:15" outlineLevel="2" x14ac:dyDescent="0.25">
      <c r="A577" s="207" t="str">
        <f>VLOOKUP(RIGHT(E577,3)+0,SchLocTable!$A$2:$B$47,2,FALSE)</f>
        <v>Classical Studies Academy</v>
      </c>
      <c r="B577" s="207" t="str">
        <f>VLOOKUP(VALUE(D577),$D$3:F$106,3,FALSE)</f>
        <v>School Clericals</v>
      </c>
      <c r="C577" s="751" t="s">
        <v>246</v>
      </c>
      <c r="D577" s="751" t="s">
        <v>325</v>
      </c>
      <c r="E577" s="751" t="s">
        <v>350</v>
      </c>
      <c r="F577" s="751" t="s">
        <v>333</v>
      </c>
      <c r="G577" s="752" t="s">
        <v>1681</v>
      </c>
      <c r="H577" s="753">
        <v>52920</v>
      </c>
      <c r="I577" s="754">
        <v>1000</v>
      </c>
      <c r="J577" s="754">
        <v>0</v>
      </c>
      <c r="K577" s="754">
        <v>0</v>
      </c>
      <c r="L577" s="754">
        <v>0</v>
      </c>
      <c r="M577" s="754">
        <f t="shared" si="43"/>
        <v>0</v>
      </c>
      <c r="N577" s="756">
        <v>1000</v>
      </c>
      <c r="O577" s="720">
        <f t="shared" si="44"/>
        <v>0</v>
      </c>
    </row>
    <row r="578" spans="1:15" outlineLevel="2" x14ac:dyDescent="0.25">
      <c r="A578" s="207" t="str">
        <f>VLOOKUP(RIGHT(E578,3)+0,SchLocTable!$A$2:$B$47,2,FALSE)</f>
        <v>Tisdale</v>
      </c>
      <c r="B578" s="207" t="str">
        <f>VLOOKUP(VALUE(D578),$D$3:F$106,3,FALSE)</f>
        <v>School Clericals</v>
      </c>
      <c r="C578" s="751" t="s">
        <v>246</v>
      </c>
      <c r="D578" s="751" t="s">
        <v>325</v>
      </c>
      <c r="E578" s="751" t="s">
        <v>351</v>
      </c>
      <c r="F578" s="751" t="s">
        <v>248</v>
      </c>
      <c r="G578" s="752">
        <v>2</v>
      </c>
      <c r="H578" s="753">
        <v>51000</v>
      </c>
      <c r="I578" s="754">
        <v>102443.72</v>
      </c>
      <c r="J578" s="754">
        <v>0</v>
      </c>
      <c r="K578" s="754">
        <v>0</v>
      </c>
      <c r="L578" s="754">
        <v>30938.080000000002</v>
      </c>
      <c r="M578" s="754">
        <f t="shared" si="43"/>
        <v>30938.080000000002</v>
      </c>
      <c r="N578" s="756">
        <v>102443.72</v>
      </c>
      <c r="O578" s="720">
        <f t="shared" si="44"/>
        <v>0</v>
      </c>
    </row>
    <row r="579" spans="1:15" outlineLevel="2" x14ac:dyDescent="0.25">
      <c r="A579" s="207" t="str">
        <f>VLOOKUP(RIGHT(E579,3)+0,SchLocTable!$A$2:$B$47,2,FALSE)</f>
        <v>Tisdale</v>
      </c>
      <c r="B579" s="207" t="str">
        <f>VLOOKUP(VALUE(D579),$D$3:F$106,3,FALSE)</f>
        <v>School Clericals</v>
      </c>
      <c r="C579" s="751" t="s">
        <v>246</v>
      </c>
      <c r="D579" s="751" t="s">
        <v>325</v>
      </c>
      <c r="E579" s="751" t="s">
        <v>351</v>
      </c>
      <c r="F579" s="751" t="s">
        <v>257</v>
      </c>
      <c r="G579" s="752" t="s">
        <v>1681</v>
      </c>
      <c r="H579" s="753">
        <v>51140</v>
      </c>
      <c r="I579" s="754">
        <v>2800</v>
      </c>
      <c r="J579" s="754">
        <v>0</v>
      </c>
      <c r="K579" s="754">
        <v>0</v>
      </c>
      <c r="L579" s="754">
        <v>0</v>
      </c>
      <c r="M579" s="754">
        <f t="shared" si="43"/>
        <v>0</v>
      </c>
      <c r="N579" s="756">
        <v>2800</v>
      </c>
      <c r="O579" s="720">
        <f t="shared" si="44"/>
        <v>0</v>
      </c>
    </row>
    <row r="580" spans="1:15" outlineLevel="2" x14ac:dyDescent="0.25">
      <c r="A580" s="207" t="str">
        <f>VLOOKUP(RIGHT(E580,3)+0,SchLocTable!$A$2:$B$47,2,FALSE)</f>
        <v>Tisdale</v>
      </c>
      <c r="B580" s="207" t="str">
        <f>VLOOKUP(VALUE(D580),$D$3:F$106,3,FALSE)</f>
        <v>School Clericals</v>
      </c>
      <c r="C580" s="751" t="s">
        <v>246</v>
      </c>
      <c r="D580" s="751" t="s">
        <v>325</v>
      </c>
      <c r="E580" s="751" t="s">
        <v>351</v>
      </c>
      <c r="F580" s="751" t="s">
        <v>797</v>
      </c>
      <c r="G580" s="752" t="s">
        <v>1681</v>
      </c>
      <c r="H580" s="753">
        <v>51156</v>
      </c>
      <c r="I580" s="754">
        <v>0</v>
      </c>
      <c r="J580" s="754">
        <v>0</v>
      </c>
      <c r="K580" s="754">
        <v>0</v>
      </c>
      <c r="L580" s="754">
        <v>0</v>
      </c>
      <c r="M580" s="754">
        <f t="shared" si="43"/>
        <v>0</v>
      </c>
      <c r="N580" s="756">
        <v>0</v>
      </c>
      <c r="O580" s="720">
        <f t="shared" si="44"/>
        <v>0</v>
      </c>
    </row>
    <row r="581" spans="1:15" outlineLevel="2" x14ac:dyDescent="0.25">
      <c r="A581" s="207" t="str">
        <f>VLOOKUP(RIGHT(E581,3)+0,SchLocTable!$A$2:$B$47,2,FALSE)</f>
        <v>Tisdale</v>
      </c>
      <c r="B581" s="207" t="str">
        <f>VLOOKUP(VALUE(D581),$D$3:F$106,3,FALSE)</f>
        <v>School Clericals</v>
      </c>
      <c r="C581" s="751" t="s">
        <v>246</v>
      </c>
      <c r="D581" s="751" t="s">
        <v>325</v>
      </c>
      <c r="E581" s="751" t="s">
        <v>351</v>
      </c>
      <c r="F581" s="751" t="s">
        <v>254</v>
      </c>
      <c r="G581" s="752" t="s">
        <v>1681</v>
      </c>
      <c r="H581" s="753">
        <v>52360</v>
      </c>
      <c r="I581" s="754">
        <v>1468.92</v>
      </c>
      <c r="J581" s="754">
        <v>0</v>
      </c>
      <c r="K581" s="754">
        <v>0</v>
      </c>
      <c r="L581" s="754">
        <v>432.09</v>
      </c>
      <c r="M581" s="754">
        <f t="shared" si="43"/>
        <v>432.09</v>
      </c>
      <c r="N581" s="756">
        <v>1468.92</v>
      </c>
      <c r="O581" s="720">
        <f t="shared" si="44"/>
        <v>0</v>
      </c>
    </row>
    <row r="582" spans="1:15" outlineLevel="2" x14ac:dyDescent="0.25">
      <c r="A582" s="207" t="str">
        <f>VLOOKUP(RIGHT(E582,3)+0,SchLocTable!$A$2:$B$47,2,FALSE)</f>
        <v>Tisdale</v>
      </c>
      <c r="B582" s="207" t="str">
        <f>VLOOKUP(VALUE(D582),$D$3:F$106,3,FALSE)</f>
        <v>School Clericals</v>
      </c>
      <c r="C582" s="751" t="s">
        <v>246</v>
      </c>
      <c r="D582" s="751" t="s">
        <v>325</v>
      </c>
      <c r="E582" s="751" t="s">
        <v>351</v>
      </c>
      <c r="F582" s="751" t="s">
        <v>331</v>
      </c>
      <c r="G582" s="752" t="s">
        <v>1681</v>
      </c>
      <c r="H582" s="753">
        <v>52504</v>
      </c>
      <c r="I582" s="754">
        <v>21093.09</v>
      </c>
      <c r="J582" s="754">
        <v>0</v>
      </c>
      <c r="K582" s="754">
        <v>0</v>
      </c>
      <c r="L582" s="754">
        <v>6370.08</v>
      </c>
      <c r="M582" s="754">
        <f t="shared" si="43"/>
        <v>6370.08</v>
      </c>
      <c r="N582" s="756">
        <v>21093.09</v>
      </c>
      <c r="O582" s="720">
        <f t="shared" si="44"/>
        <v>0</v>
      </c>
    </row>
    <row r="583" spans="1:15" outlineLevel="2" x14ac:dyDescent="0.25">
      <c r="A583" s="207" t="str">
        <f>VLOOKUP(RIGHT(E583,3)+0,SchLocTable!$A$2:$B$47,2,FALSE)</f>
        <v>Tisdale</v>
      </c>
      <c r="B583" s="207" t="str">
        <f>VLOOKUP(VALUE(D583),$D$3:F$106,3,FALSE)</f>
        <v>School Clericals</v>
      </c>
      <c r="C583" s="751" t="s">
        <v>246</v>
      </c>
      <c r="D583" s="751" t="s">
        <v>325</v>
      </c>
      <c r="E583" s="751" t="s">
        <v>351</v>
      </c>
      <c r="F583" s="751" t="s">
        <v>259</v>
      </c>
      <c r="G583" s="752" t="s">
        <v>1681</v>
      </c>
      <c r="H583" s="753">
        <v>52917</v>
      </c>
      <c r="I583" s="754">
        <v>23198.720000000001</v>
      </c>
      <c r="J583" s="754">
        <v>0</v>
      </c>
      <c r="K583" s="754">
        <v>0</v>
      </c>
      <c r="L583" s="754">
        <v>7110.72</v>
      </c>
      <c r="M583" s="754">
        <f t="shared" si="43"/>
        <v>7110.72</v>
      </c>
      <c r="N583" s="756">
        <v>23198.720000000001</v>
      </c>
      <c r="O583" s="720">
        <f t="shared" si="44"/>
        <v>0</v>
      </c>
    </row>
    <row r="584" spans="1:15" outlineLevel="2" x14ac:dyDescent="0.25">
      <c r="A584" s="207" t="str">
        <f>VLOOKUP(RIGHT(E584,3)+0,SchLocTable!$A$2:$B$47,2,FALSE)</f>
        <v>Read</v>
      </c>
      <c r="B584" s="207" t="str">
        <f>VLOOKUP(VALUE(D584),$D$3:F$106,3,FALSE)</f>
        <v>School Clericals</v>
      </c>
      <c r="C584" s="751" t="s">
        <v>246</v>
      </c>
      <c r="D584" s="751" t="s">
        <v>325</v>
      </c>
      <c r="E584" s="751" t="s">
        <v>352</v>
      </c>
      <c r="F584" s="751" t="s">
        <v>248</v>
      </c>
      <c r="G584" s="752">
        <v>3</v>
      </c>
      <c r="H584" s="753">
        <v>51000</v>
      </c>
      <c r="I584" s="754">
        <v>126583.32</v>
      </c>
      <c r="J584" s="754">
        <v>0</v>
      </c>
      <c r="K584" s="754">
        <v>0</v>
      </c>
      <c r="L584" s="754">
        <v>34160.32</v>
      </c>
      <c r="M584" s="754">
        <f t="shared" si="43"/>
        <v>34160.32</v>
      </c>
      <c r="N584" s="756">
        <v>126583.32</v>
      </c>
      <c r="O584" s="720">
        <f t="shared" si="44"/>
        <v>0</v>
      </c>
    </row>
    <row r="585" spans="1:15" outlineLevel="2" x14ac:dyDescent="0.25">
      <c r="A585" s="207" t="str">
        <f>VLOOKUP(RIGHT(E585,3)+0,SchLocTable!$A$2:$B$47,2,FALSE)</f>
        <v>Read</v>
      </c>
      <c r="B585" s="207" t="str">
        <f>VLOOKUP(VALUE(D585),$D$3:F$106,3,FALSE)</f>
        <v>School Clericals</v>
      </c>
      <c r="C585" s="751" t="s">
        <v>246</v>
      </c>
      <c r="D585" s="751" t="s">
        <v>325</v>
      </c>
      <c r="E585" s="751" t="s">
        <v>352</v>
      </c>
      <c r="F585" s="751" t="s">
        <v>257</v>
      </c>
      <c r="G585" s="752" t="s">
        <v>1681</v>
      </c>
      <c r="H585" s="753">
        <v>51140</v>
      </c>
      <c r="I585" s="754">
        <v>1470</v>
      </c>
      <c r="J585" s="754">
        <v>0</v>
      </c>
      <c r="K585" s="754">
        <v>0</v>
      </c>
      <c r="L585" s="754">
        <v>0</v>
      </c>
      <c r="M585" s="754">
        <f t="shared" si="43"/>
        <v>0</v>
      </c>
      <c r="N585" s="756">
        <v>1470</v>
      </c>
      <c r="O585" s="720">
        <f t="shared" si="44"/>
        <v>0</v>
      </c>
    </row>
    <row r="586" spans="1:15" outlineLevel="2" x14ac:dyDescent="0.25">
      <c r="A586" s="207" t="str">
        <f>VLOOKUP(RIGHT(E586,3)+0,SchLocTable!$A$2:$B$47,2,FALSE)</f>
        <v>Read</v>
      </c>
      <c r="B586" s="207" t="str">
        <f>VLOOKUP(VALUE(D586),$D$3:F$106,3,FALSE)</f>
        <v>School Clericals</v>
      </c>
      <c r="C586" s="751" t="s">
        <v>246</v>
      </c>
      <c r="D586" s="751" t="s">
        <v>325</v>
      </c>
      <c r="E586" s="751" t="s">
        <v>352</v>
      </c>
      <c r="F586" s="751" t="s">
        <v>254</v>
      </c>
      <c r="G586" s="752" t="s">
        <v>1681</v>
      </c>
      <c r="H586" s="753">
        <v>52360</v>
      </c>
      <c r="I586" s="754">
        <v>1835.45</v>
      </c>
      <c r="J586" s="754">
        <v>0</v>
      </c>
      <c r="K586" s="754">
        <v>0</v>
      </c>
      <c r="L586" s="754">
        <v>495.32</v>
      </c>
      <c r="M586" s="754">
        <f t="shared" si="43"/>
        <v>495.32</v>
      </c>
      <c r="N586" s="756">
        <v>1835.45</v>
      </c>
      <c r="O586" s="720">
        <f t="shared" si="44"/>
        <v>0</v>
      </c>
    </row>
    <row r="587" spans="1:15" outlineLevel="2" x14ac:dyDescent="0.25">
      <c r="A587" s="207" t="str">
        <f>VLOOKUP(RIGHT(E587,3)+0,SchLocTable!$A$2:$B$47,2,FALSE)</f>
        <v>Read</v>
      </c>
      <c r="B587" s="207" t="str">
        <f>VLOOKUP(VALUE(D587),$D$3:F$106,3,FALSE)</f>
        <v>School Clericals</v>
      </c>
      <c r="C587" s="755" t="s">
        <v>246</v>
      </c>
      <c r="D587" s="751" t="s">
        <v>325</v>
      </c>
      <c r="E587" s="751" t="s">
        <v>352</v>
      </c>
      <c r="F587" s="751" t="s">
        <v>331</v>
      </c>
      <c r="G587" s="752" t="s">
        <v>1681</v>
      </c>
      <c r="H587" s="753">
        <v>52504</v>
      </c>
      <c r="I587" s="754">
        <v>26063.38</v>
      </c>
      <c r="J587" s="754">
        <v>0</v>
      </c>
      <c r="K587" s="754">
        <v>0</v>
      </c>
      <c r="L587" s="754">
        <v>7033.48</v>
      </c>
      <c r="M587" s="754">
        <f t="shared" si="43"/>
        <v>7033.48</v>
      </c>
      <c r="N587" s="756">
        <v>26063.38</v>
      </c>
      <c r="O587" s="720">
        <f t="shared" si="44"/>
        <v>0</v>
      </c>
    </row>
    <row r="588" spans="1:15" outlineLevel="2" x14ac:dyDescent="0.25">
      <c r="A588" s="207" t="str">
        <f>VLOOKUP(RIGHT(E588,3)+0,SchLocTable!$A$2:$B$47,2,FALSE)</f>
        <v>Read</v>
      </c>
      <c r="B588" s="207" t="str">
        <f>VLOOKUP(VALUE(D588),$D$3:F$106,3,FALSE)</f>
        <v>School Clericals</v>
      </c>
      <c r="C588" s="751" t="s">
        <v>246</v>
      </c>
      <c r="D588" s="751" t="s">
        <v>325</v>
      </c>
      <c r="E588" s="751" t="s">
        <v>352</v>
      </c>
      <c r="F588" s="751" t="s">
        <v>259</v>
      </c>
      <c r="G588" s="752" t="s">
        <v>1681</v>
      </c>
      <c r="H588" s="753">
        <v>52917</v>
      </c>
      <c r="I588" s="754">
        <v>0</v>
      </c>
      <c r="J588" s="754">
        <v>0</v>
      </c>
      <c r="K588" s="754">
        <v>0</v>
      </c>
      <c r="L588" s="754">
        <v>0</v>
      </c>
      <c r="M588" s="754">
        <f t="shared" si="43"/>
        <v>0</v>
      </c>
      <c r="N588" s="756">
        <v>0</v>
      </c>
      <c r="O588" s="720">
        <f t="shared" si="44"/>
        <v>0</v>
      </c>
    </row>
    <row r="589" spans="1:15" outlineLevel="2" x14ac:dyDescent="0.25">
      <c r="A589" s="207" t="str">
        <f>VLOOKUP(RIGHT(E589,3)+0,SchLocTable!$A$2:$B$47,2,FALSE)</f>
        <v>Read</v>
      </c>
      <c r="B589" s="207" t="str">
        <f>VLOOKUP(VALUE(D589),$D$3:F$106,3,FALSE)</f>
        <v>School Clericals</v>
      </c>
      <c r="C589" s="751" t="s">
        <v>246</v>
      </c>
      <c r="D589" s="751" t="s">
        <v>325</v>
      </c>
      <c r="E589" s="751" t="s">
        <v>352</v>
      </c>
      <c r="F589" s="751" t="s">
        <v>333</v>
      </c>
      <c r="G589" s="752" t="s">
        <v>1681</v>
      </c>
      <c r="H589" s="753">
        <v>52920</v>
      </c>
      <c r="I589" s="754">
        <v>1000</v>
      </c>
      <c r="J589" s="754">
        <v>0</v>
      </c>
      <c r="K589" s="754">
        <v>0</v>
      </c>
      <c r="L589" s="754">
        <v>0</v>
      </c>
      <c r="M589" s="754">
        <f t="shared" si="43"/>
        <v>0</v>
      </c>
      <c r="N589" s="756">
        <v>1000</v>
      </c>
      <c r="O589" s="720">
        <f t="shared" si="44"/>
        <v>0</v>
      </c>
    </row>
    <row r="590" spans="1:15" outlineLevel="2" x14ac:dyDescent="0.25">
      <c r="A590" s="207" t="str">
        <f>VLOOKUP(RIGHT(E590,3)+0,SchLocTable!$A$2:$B$47,2,FALSE)</f>
        <v>Roosevelt</v>
      </c>
      <c r="B590" s="207" t="str">
        <f>VLOOKUP(VALUE(D590),$D$3:F$106,3,FALSE)</f>
        <v>School Clericals</v>
      </c>
      <c r="C590" s="751" t="s">
        <v>246</v>
      </c>
      <c r="D590" s="751" t="s">
        <v>325</v>
      </c>
      <c r="E590" s="751" t="s">
        <v>353</v>
      </c>
      <c r="F590" s="751" t="s">
        <v>248</v>
      </c>
      <c r="G590" s="752">
        <v>2</v>
      </c>
      <c r="H590" s="753">
        <v>51000</v>
      </c>
      <c r="I590" s="754">
        <v>96381.73</v>
      </c>
      <c r="J590" s="754">
        <v>0</v>
      </c>
      <c r="K590" s="754">
        <v>0</v>
      </c>
      <c r="L590" s="754">
        <v>29107.34</v>
      </c>
      <c r="M590" s="754">
        <f t="shared" si="43"/>
        <v>29107.34</v>
      </c>
      <c r="N590" s="756">
        <v>96381.73</v>
      </c>
      <c r="O590" s="720">
        <f t="shared" si="44"/>
        <v>0</v>
      </c>
    </row>
    <row r="591" spans="1:15" outlineLevel="2" x14ac:dyDescent="0.25">
      <c r="A591" s="207" t="str">
        <f>VLOOKUP(RIGHT(E591,3)+0,SchLocTable!$A$2:$B$47,2,FALSE)</f>
        <v>Roosevelt</v>
      </c>
      <c r="B591" s="207" t="str">
        <f>VLOOKUP(VALUE(D591),$D$3:F$106,3,FALSE)</f>
        <v>School Clericals</v>
      </c>
      <c r="C591" s="751" t="s">
        <v>246</v>
      </c>
      <c r="D591" s="751" t="s">
        <v>325</v>
      </c>
      <c r="E591" s="751" t="s">
        <v>353</v>
      </c>
      <c r="F591" s="751" t="s">
        <v>257</v>
      </c>
      <c r="G591" s="752" t="s">
        <v>1681</v>
      </c>
      <c r="H591" s="753">
        <v>51140</v>
      </c>
      <c r="I591" s="754">
        <v>1680</v>
      </c>
      <c r="J591" s="754">
        <v>0</v>
      </c>
      <c r="K591" s="754">
        <v>0</v>
      </c>
      <c r="L591" s="754">
        <v>0</v>
      </c>
      <c r="M591" s="754">
        <f t="shared" si="43"/>
        <v>0</v>
      </c>
      <c r="N591" s="756">
        <v>1680</v>
      </c>
      <c r="O591" s="720">
        <f t="shared" si="44"/>
        <v>0</v>
      </c>
    </row>
    <row r="592" spans="1:15" outlineLevel="2" x14ac:dyDescent="0.25">
      <c r="A592" s="207" t="str">
        <f>VLOOKUP(RIGHT(E592,3)+0,SchLocTable!$A$2:$B$47,2,FALSE)</f>
        <v>Roosevelt</v>
      </c>
      <c r="B592" s="207" t="str">
        <f>VLOOKUP(VALUE(D592),$D$3:F$106,3,FALSE)</f>
        <v>School Clericals</v>
      </c>
      <c r="C592" s="751" t="s">
        <v>246</v>
      </c>
      <c r="D592" s="751" t="s">
        <v>325</v>
      </c>
      <c r="E592" s="751" t="s">
        <v>353</v>
      </c>
      <c r="F592" s="751" t="s">
        <v>797</v>
      </c>
      <c r="G592" s="752" t="s">
        <v>1681</v>
      </c>
      <c r="H592" s="753">
        <v>51156</v>
      </c>
      <c r="I592" s="754">
        <v>0</v>
      </c>
      <c r="J592" s="754">
        <v>0</v>
      </c>
      <c r="K592" s="754">
        <v>0</v>
      </c>
      <c r="L592" s="754">
        <v>0</v>
      </c>
      <c r="M592" s="754">
        <f t="shared" si="43"/>
        <v>0</v>
      </c>
      <c r="N592" s="756">
        <v>0</v>
      </c>
      <c r="O592" s="720">
        <f t="shared" si="44"/>
        <v>0</v>
      </c>
    </row>
    <row r="593" spans="1:15" outlineLevel="2" x14ac:dyDescent="0.25">
      <c r="A593" s="207" t="str">
        <f>VLOOKUP(RIGHT(E593,3)+0,SchLocTable!$A$2:$B$47,2,FALSE)</f>
        <v>Roosevelt</v>
      </c>
      <c r="B593" s="207" t="str">
        <f>VLOOKUP(VALUE(D593),$D$3:F$106,3,FALSE)</f>
        <v>School Clericals</v>
      </c>
      <c r="C593" s="751" t="s">
        <v>246</v>
      </c>
      <c r="D593" s="751" t="s">
        <v>325</v>
      </c>
      <c r="E593" s="751" t="s">
        <v>353</v>
      </c>
      <c r="F593" s="751" t="s">
        <v>254</v>
      </c>
      <c r="G593" s="752" t="s">
        <v>1681</v>
      </c>
      <c r="H593" s="753">
        <v>52360</v>
      </c>
      <c r="I593" s="754">
        <v>1397.54</v>
      </c>
      <c r="J593" s="754">
        <v>0</v>
      </c>
      <c r="K593" s="754">
        <v>0</v>
      </c>
      <c r="L593" s="754">
        <v>422.06</v>
      </c>
      <c r="M593" s="754">
        <f t="shared" si="43"/>
        <v>422.06</v>
      </c>
      <c r="N593" s="756">
        <v>1397.54</v>
      </c>
      <c r="O593" s="720">
        <f t="shared" si="44"/>
        <v>0</v>
      </c>
    </row>
    <row r="594" spans="1:15" outlineLevel="2" x14ac:dyDescent="0.25">
      <c r="A594" s="207" t="str">
        <f>VLOOKUP(RIGHT(E594,3)+0,SchLocTable!$A$2:$B$47,2,FALSE)</f>
        <v>Roosevelt</v>
      </c>
      <c r="B594" s="207" t="str">
        <f>VLOOKUP(VALUE(D594),$D$3:F$106,3,FALSE)</f>
        <v>School Clericals</v>
      </c>
      <c r="C594" s="751" t="s">
        <v>246</v>
      </c>
      <c r="D594" s="751" t="s">
        <v>325</v>
      </c>
      <c r="E594" s="751" t="s">
        <v>353</v>
      </c>
      <c r="F594" s="751" t="s">
        <v>331</v>
      </c>
      <c r="G594" s="752" t="s">
        <v>1681</v>
      </c>
      <c r="H594" s="753">
        <v>52504</v>
      </c>
      <c r="I594" s="754">
        <v>19844.93</v>
      </c>
      <c r="J594" s="754">
        <v>0</v>
      </c>
      <c r="K594" s="754">
        <v>0</v>
      </c>
      <c r="L594" s="754">
        <v>5993.13</v>
      </c>
      <c r="M594" s="754">
        <f t="shared" si="43"/>
        <v>5993.13</v>
      </c>
      <c r="N594" s="756">
        <v>19844.93</v>
      </c>
      <c r="O594" s="720">
        <f t="shared" si="44"/>
        <v>0</v>
      </c>
    </row>
    <row r="595" spans="1:15" outlineLevel="2" x14ac:dyDescent="0.25">
      <c r="A595" s="207" t="str">
        <f>VLOOKUP(RIGHT(E595,3)+0,SchLocTable!$A$2:$B$47,2,FALSE)</f>
        <v>Roosevelt</v>
      </c>
      <c r="B595" s="207" t="str">
        <f>VLOOKUP(VALUE(D595),$D$3:F$106,3,FALSE)</f>
        <v>School Clericals</v>
      </c>
      <c r="C595" s="751" t="s">
        <v>246</v>
      </c>
      <c r="D595" s="751" t="s">
        <v>325</v>
      </c>
      <c r="E595" s="751" t="s">
        <v>353</v>
      </c>
      <c r="F595" s="751" t="s">
        <v>259</v>
      </c>
      <c r="G595" s="752" t="s">
        <v>1681</v>
      </c>
      <c r="H595" s="753">
        <v>52917</v>
      </c>
      <c r="I595" s="754">
        <v>29230.959999999999</v>
      </c>
      <c r="J595" s="754">
        <v>0</v>
      </c>
      <c r="K595" s="754">
        <v>0</v>
      </c>
      <c r="L595" s="754">
        <v>8959.68</v>
      </c>
      <c r="M595" s="754">
        <f t="shared" si="43"/>
        <v>8959.68</v>
      </c>
      <c r="N595" s="756">
        <v>29230.959999999999</v>
      </c>
      <c r="O595" s="720">
        <f t="shared" si="44"/>
        <v>0</v>
      </c>
    </row>
    <row r="596" spans="1:15" outlineLevel="2" x14ac:dyDescent="0.25">
      <c r="A596" s="207" t="str">
        <f>VLOOKUP(RIGHT(E596,3)+0,SchLocTable!$A$2:$B$47,2,FALSE)</f>
        <v>Roosevelt</v>
      </c>
      <c r="B596" s="207" t="str">
        <f>VLOOKUP(VALUE(D596),$D$3:F$106,3,FALSE)</f>
        <v>School Clericals</v>
      </c>
      <c r="C596" s="751" t="s">
        <v>246</v>
      </c>
      <c r="D596" s="751" t="s">
        <v>325</v>
      </c>
      <c r="E596" s="751" t="s">
        <v>353</v>
      </c>
      <c r="F596" s="751" t="s">
        <v>333</v>
      </c>
      <c r="G596" s="752" t="s">
        <v>1681</v>
      </c>
      <c r="H596" s="753">
        <v>52920</v>
      </c>
      <c r="I596" s="754">
        <v>500</v>
      </c>
      <c r="J596" s="754">
        <v>0</v>
      </c>
      <c r="K596" s="754">
        <v>0</v>
      </c>
      <c r="L596" s="754">
        <v>0</v>
      </c>
      <c r="M596" s="754">
        <f t="shared" si="43"/>
        <v>0</v>
      </c>
      <c r="N596" s="756">
        <v>500</v>
      </c>
      <c r="O596" s="720">
        <f t="shared" si="44"/>
        <v>0</v>
      </c>
    </row>
    <row r="597" spans="1:15" outlineLevel="2" x14ac:dyDescent="0.25">
      <c r="A597" s="207" t="str">
        <f>VLOOKUP(RIGHT(E597,3)+0,SchLocTable!$A$2:$B$47,2,FALSE)</f>
        <v>Bridgeport Learning Center</v>
      </c>
      <c r="B597" s="207" t="str">
        <f>VLOOKUP(VALUE(D597),$D$3:F$106,3,FALSE)</f>
        <v>School Clericals</v>
      </c>
      <c r="C597" s="751" t="s">
        <v>246</v>
      </c>
      <c r="D597" s="751" t="s">
        <v>325</v>
      </c>
      <c r="E597" s="751" t="s">
        <v>354</v>
      </c>
      <c r="F597" s="751" t="s">
        <v>248</v>
      </c>
      <c r="G597" s="752">
        <v>1</v>
      </c>
      <c r="H597" s="753">
        <v>51000</v>
      </c>
      <c r="I597" s="754">
        <v>62108.98</v>
      </c>
      <c r="J597" s="754">
        <v>0</v>
      </c>
      <c r="K597" s="754">
        <v>0</v>
      </c>
      <c r="L597" s="754">
        <v>18756.96</v>
      </c>
      <c r="M597" s="754">
        <f t="shared" si="43"/>
        <v>18756.96</v>
      </c>
      <c r="N597" s="756">
        <v>62108.98</v>
      </c>
      <c r="O597" s="720">
        <f t="shared" si="44"/>
        <v>0</v>
      </c>
    </row>
    <row r="598" spans="1:15" outlineLevel="2" x14ac:dyDescent="0.25">
      <c r="A598" s="207" t="str">
        <f>VLOOKUP(RIGHT(E598,3)+0,SchLocTable!$A$2:$B$47,2,FALSE)</f>
        <v>Bridgeport Learning Center</v>
      </c>
      <c r="B598" s="207" t="str">
        <f>VLOOKUP(VALUE(D598),$D$3:F$106,3,FALSE)</f>
        <v>School Clericals</v>
      </c>
      <c r="C598" s="751" t="s">
        <v>246</v>
      </c>
      <c r="D598" s="751" t="s">
        <v>325</v>
      </c>
      <c r="E598" s="751" t="s">
        <v>354</v>
      </c>
      <c r="F598" s="751" t="s">
        <v>257</v>
      </c>
      <c r="G598" s="752" t="s">
        <v>1681</v>
      </c>
      <c r="H598" s="753">
        <v>51140</v>
      </c>
      <c r="I598" s="754">
        <v>1800</v>
      </c>
      <c r="J598" s="754">
        <v>0</v>
      </c>
      <c r="K598" s="754">
        <v>0</v>
      </c>
      <c r="L598" s="754">
        <v>0</v>
      </c>
      <c r="M598" s="754">
        <f t="shared" si="43"/>
        <v>0</v>
      </c>
      <c r="N598" s="756">
        <v>1800</v>
      </c>
      <c r="O598" s="720">
        <f t="shared" si="44"/>
        <v>0</v>
      </c>
    </row>
    <row r="599" spans="1:15" outlineLevel="2" x14ac:dyDescent="0.25">
      <c r="A599" s="207" t="str">
        <f>VLOOKUP(RIGHT(E599,3)+0,SchLocTable!$A$2:$B$47,2,FALSE)</f>
        <v>Bridgeport Learning Center</v>
      </c>
      <c r="B599" s="207" t="str">
        <f>VLOOKUP(VALUE(D599),$D$3:F$106,3,FALSE)</f>
        <v>School Clericals</v>
      </c>
      <c r="C599" s="751" t="s">
        <v>246</v>
      </c>
      <c r="D599" s="751" t="s">
        <v>325</v>
      </c>
      <c r="E599" s="751" t="s">
        <v>354</v>
      </c>
      <c r="F599" s="751" t="s">
        <v>797</v>
      </c>
      <c r="G599" s="752" t="s">
        <v>1681</v>
      </c>
      <c r="H599" s="753">
        <v>51156</v>
      </c>
      <c r="I599" s="754">
        <v>0</v>
      </c>
      <c r="J599" s="754">
        <v>0</v>
      </c>
      <c r="K599" s="754">
        <v>0</v>
      </c>
      <c r="L599" s="754">
        <v>0</v>
      </c>
      <c r="M599" s="754">
        <f t="shared" si="43"/>
        <v>0</v>
      </c>
      <c r="N599" s="756">
        <v>0</v>
      </c>
      <c r="O599" s="720">
        <f t="shared" si="44"/>
        <v>0</v>
      </c>
    </row>
    <row r="600" spans="1:15" outlineLevel="2" x14ac:dyDescent="0.25">
      <c r="A600" s="207" t="str">
        <f>VLOOKUP(RIGHT(E600,3)+0,SchLocTable!$A$2:$B$47,2,FALSE)</f>
        <v>Bridgeport Learning Center</v>
      </c>
      <c r="B600" s="207" t="str">
        <f>VLOOKUP(VALUE(D600),$D$3:F$106,3,FALSE)</f>
        <v>School Clericals</v>
      </c>
      <c r="C600" s="755" t="s">
        <v>246</v>
      </c>
      <c r="D600" s="751" t="s">
        <v>325</v>
      </c>
      <c r="E600" s="751" t="s">
        <v>354</v>
      </c>
      <c r="F600" s="751" t="s">
        <v>254</v>
      </c>
      <c r="G600" s="752" t="s">
        <v>1681</v>
      </c>
      <c r="H600" s="753">
        <v>52360</v>
      </c>
      <c r="I600" s="754">
        <v>884.05</v>
      </c>
      <c r="J600" s="754">
        <v>0</v>
      </c>
      <c r="K600" s="754">
        <v>0</v>
      </c>
      <c r="L600" s="754">
        <v>255.45</v>
      </c>
      <c r="M600" s="754">
        <f t="shared" si="43"/>
        <v>255.45</v>
      </c>
      <c r="N600" s="756">
        <v>884.05</v>
      </c>
      <c r="O600" s="720">
        <f t="shared" si="44"/>
        <v>0</v>
      </c>
    </row>
    <row r="601" spans="1:15" outlineLevel="2" x14ac:dyDescent="0.25">
      <c r="A601" s="207" t="str">
        <f>VLOOKUP(RIGHT(E601,3)+0,SchLocTable!$A$2:$B$47,2,FALSE)</f>
        <v>Bridgeport Learning Center</v>
      </c>
      <c r="B601" s="207" t="str">
        <f>VLOOKUP(VALUE(D601),$D$3:F$106,3,FALSE)</f>
        <v>School Clericals</v>
      </c>
      <c r="C601" s="751" t="s">
        <v>246</v>
      </c>
      <c r="D601" s="751" t="s">
        <v>325</v>
      </c>
      <c r="E601" s="751" t="s">
        <v>354</v>
      </c>
      <c r="F601" s="751" t="s">
        <v>331</v>
      </c>
      <c r="G601" s="752" t="s">
        <v>1681</v>
      </c>
      <c r="H601" s="753">
        <v>52504</v>
      </c>
      <c r="I601" s="754">
        <v>12788.26</v>
      </c>
      <c r="J601" s="754">
        <v>0</v>
      </c>
      <c r="K601" s="754">
        <v>0</v>
      </c>
      <c r="L601" s="754">
        <v>3862.08</v>
      </c>
      <c r="M601" s="754">
        <f t="shared" si="43"/>
        <v>3862.08</v>
      </c>
      <c r="N601" s="756">
        <v>12788.26</v>
      </c>
      <c r="O601" s="720">
        <f t="shared" si="44"/>
        <v>0</v>
      </c>
    </row>
    <row r="602" spans="1:15" outlineLevel="2" x14ac:dyDescent="0.25">
      <c r="A602" s="207" t="str">
        <f>VLOOKUP(RIGHT(E602,3)+0,SchLocTable!$A$2:$B$47,2,FALSE)</f>
        <v>Bridgeport Learning Center</v>
      </c>
      <c r="B602" s="207" t="str">
        <f>VLOOKUP(VALUE(D602),$D$3:F$106,3,FALSE)</f>
        <v>School Clericals</v>
      </c>
      <c r="C602" s="751" t="s">
        <v>246</v>
      </c>
      <c r="D602" s="751" t="s">
        <v>325</v>
      </c>
      <c r="E602" s="751" t="s">
        <v>354</v>
      </c>
      <c r="F602" s="751" t="s">
        <v>259</v>
      </c>
      <c r="G602" s="752" t="s">
        <v>1681</v>
      </c>
      <c r="H602" s="753">
        <v>52917</v>
      </c>
      <c r="I602" s="754">
        <v>11599.36</v>
      </c>
      <c r="J602" s="754">
        <v>0</v>
      </c>
      <c r="K602" s="754">
        <v>0</v>
      </c>
      <c r="L602" s="754">
        <v>3555.36</v>
      </c>
      <c r="M602" s="754">
        <f t="shared" si="43"/>
        <v>3555.36</v>
      </c>
      <c r="N602" s="756">
        <v>11599.36</v>
      </c>
      <c r="O602" s="720">
        <f t="shared" si="44"/>
        <v>0</v>
      </c>
    </row>
    <row r="603" spans="1:15" outlineLevel="2" x14ac:dyDescent="0.25">
      <c r="A603" s="207" t="str">
        <f>VLOOKUP(RIGHT(E603,3)+0,SchLocTable!$A$2:$B$47,2,FALSE)</f>
        <v>Waltersville</v>
      </c>
      <c r="B603" s="207" t="str">
        <f>VLOOKUP(VALUE(D603),$D$3:F$106,3,FALSE)</f>
        <v>School Clericals</v>
      </c>
      <c r="C603" s="751" t="s">
        <v>246</v>
      </c>
      <c r="D603" s="751" t="s">
        <v>325</v>
      </c>
      <c r="E603" s="751" t="s">
        <v>355</v>
      </c>
      <c r="F603" s="751" t="s">
        <v>248</v>
      </c>
      <c r="G603" s="752">
        <v>2</v>
      </c>
      <c r="H603" s="753">
        <v>51000</v>
      </c>
      <c r="I603" s="754">
        <v>96403.520000000004</v>
      </c>
      <c r="J603" s="754">
        <v>0</v>
      </c>
      <c r="K603" s="754">
        <v>0</v>
      </c>
      <c r="L603" s="754">
        <v>26184.07</v>
      </c>
      <c r="M603" s="754">
        <f t="shared" si="43"/>
        <v>26184.07</v>
      </c>
      <c r="N603" s="756">
        <v>96403.520000000004</v>
      </c>
      <c r="O603" s="720">
        <f t="shared" si="44"/>
        <v>0</v>
      </c>
    </row>
    <row r="604" spans="1:15" outlineLevel="2" x14ac:dyDescent="0.25">
      <c r="A604" s="207" t="str">
        <f>VLOOKUP(RIGHT(E604,3)+0,SchLocTable!$A$2:$B$47,2,FALSE)</f>
        <v>Waltersville</v>
      </c>
      <c r="B604" s="207" t="str">
        <f>VLOOKUP(VALUE(D604),$D$3:F$106,3,FALSE)</f>
        <v>School Clericals</v>
      </c>
      <c r="C604" s="751" t="s">
        <v>246</v>
      </c>
      <c r="D604" s="751" t="s">
        <v>325</v>
      </c>
      <c r="E604" s="751" t="s">
        <v>355</v>
      </c>
      <c r="F604" s="751" t="s">
        <v>257</v>
      </c>
      <c r="G604" s="752" t="s">
        <v>1681</v>
      </c>
      <c r="H604" s="753">
        <v>51140</v>
      </c>
      <c r="I604" s="754">
        <v>3340</v>
      </c>
      <c r="J604" s="754">
        <v>0</v>
      </c>
      <c r="K604" s="754">
        <v>0</v>
      </c>
      <c r="L604" s="754">
        <v>0</v>
      </c>
      <c r="M604" s="754">
        <f t="shared" si="43"/>
        <v>0</v>
      </c>
      <c r="N604" s="756">
        <v>3340</v>
      </c>
      <c r="O604" s="720">
        <f t="shared" si="44"/>
        <v>0</v>
      </c>
    </row>
    <row r="605" spans="1:15" outlineLevel="2" x14ac:dyDescent="0.25">
      <c r="A605" s="207" t="str">
        <f>VLOOKUP(RIGHT(E605,3)+0,SchLocTable!$A$2:$B$47,2,FALSE)</f>
        <v>Waltersville</v>
      </c>
      <c r="B605" s="207" t="str">
        <f>VLOOKUP(VALUE(D605),$D$3:F$106,3,FALSE)</f>
        <v>School Clericals</v>
      </c>
      <c r="C605" s="751" t="s">
        <v>246</v>
      </c>
      <c r="D605" s="751" t="s">
        <v>325</v>
      </c>
      <c r="E605" s="751" t="s">
        <v>355</v>
      </c>
      <c r="F605" s="751" t="s">
        <v>254</v>
      </c>
      <c r="G605" s="752" t="s">
        <v>1681</v>
      </c>
      <c r="H605" s="753">
        <v>52360</v>
      </c>
      <c r="I605" s="754">
        <v>1397.84</v>
      </c>
      <c r="J605" s="754">
        <v>0</v>
      </c>
      <c r="K605" s="754">
        <v>0</v>
      </c>
      <c r="L605" s="754">
        <v>379.66</v>
      </c>
      <c r="M605" s="754">
        <f t="shared" si="43"/>
        <v>379.66</v>
      </c>
      <c r="N605" s="756">
        <v>1397.84</v>
      </c>
      <c r="O605" s="720">
        <f t="shared" si="44"/>
        <v>0</v>
      </c>
    </row>
    <row r="606" spans="1:15" outlineLevel="2" x14ac:dyDescent="0.25">
      <c r="A606" s="207" t="str">
        <f>VLOOKUP(RIGHT(E606,3)+0,SchLocTable!$A$2:$B$47,2,FALSE)</f>
        <v>Waltersville</v>
      </c>
      <c r="B606" s="207" t="str">
        <f>VLOOKUP(VALUE(D606),$D$3:F$106,3,FALSE)</f>
        <v>School Clericals</v>
      </c>
      <c r="C606" s="751" t="s">
        <v>246</v>
      </c>
      <c r="D606" s="751" t="s">
        <v>325</v>
      </c>
      <c r="E606" s="751" t="s">
        <v>355</v>
      </c>
      <c r="F606" s="751" t="s">
        <v>331</v>
      </c>
      <c r="G606" s="752" t="s">
        <v>1681</v>
      </c>
      <c r="H606" s="753">
        <v>52504</v>
      </c>
      <c r="I606" s="754">
        <v>19849.47</v>
      </c>
      <c r="J606" s="754">
        <v>0</v>
      </c>
      <c r="K606" s="754">
        <v>0</v>
      </c>
      <c r="L606" s="754">
        <v>5391.28</v>
      </c>
      <c r="M606" s="754">
        <f t="shared" si="43"/>
        <v>5391.28</v>
      </c>
      <c r="N606" s="756">
        <v>19849.47</v>
      </c>
      <c r="O606" s="720">
        <f t="shared" si="44"/>
        <v>0</v>
      </c>
    </row>
    <row r="607" spans="1:15" outlineLevel="2" x14ac:dyDescent="0.25">
      <c r="A607" s="207" t="str">
        <f>VLOOKUP(RIGHT(E607,3)+0,SchLocTable!$A$2:$B$47,2,FALSE)</f>
        <v>Waltersville</v>
      </c>
      <c r="B607" s="207" t="str">
        <f>VLOOKUP(VALUE(D607),$D$3:F$106,3,FALSE)</f>
        <v>School Clericals</v>
      </c>
      <c r="C607" s="751" t="s">
        <v>246</v>
      </c>
      <c r="D607" s="751" t="s">
        <v>325</v>
      </c>
      <c r="E607" s="751" t="s">
        <v>355</v>
      </c>
      <c r="F607" s="751" t="s">
        <v>259</v>
      </c>
      <c r="G607" s="752" t="s">
        <v>1681</v>
      </c>
      <c r="H607" s="753">
        <v>52917</v>
      </c>
      <c r="I607" s="754">
        <v>23189.89</v>
      </c>
      <c r="J607" s="754">
        <v>0</v>
      </c>
      <c r="K607" s="754">
        <v>0</v>
      </c>
      <c r="L607" s="754">
        <v>6315.01</v>
      </c>
      <c r="M607" s="754">
        <f t="shared" si="43"/>
        <v>6315.01</v>
      </c>
      <c r="N607" s="756">
        <v>23189.89</v>
      </c>
      <c r="O607" s="720">
        <f t="shared" si="44"/>
        <v>0</v>
      </c>
    </row>
    <row r="608" spans="1:15" outlineLevel="2" x14ac:dyDescent="0.25">
      <c r="A608" s="207" t="str">
        <f>VLOOKUP(RIGHT(E608,3)+0,SchLocTable!$A$2:$B$47,2,FALSE)</f>
        <v>Claytor</v>
      </c>
      <c r="B608" s="207" t="str">
        <f>VLOOKUP(VALUE(D608),$D$3:F$106,3,FALSE)</f>
        <v>School Clericals</v>
      </c>
      <c r="C608" s="755" t="s">
        <v>246</v>
      </c>
      <c r="D608" s="751" t="s">
        <v>325</v>
      </c>
      <c r="E608" s="751" t="s">
        <v>356</v>
      </c>
      <c r="F608" s="751" t="s">
        <v>248</v>
      </c>
      <c r="G608" s="752">
        <v>2</v>
      </c>
      <c r="H608" s="753">
        <v>51000</v>
      </c>
      <c r="I608" s="754">
        <v>102443.71</v>
      </c>
      <c r="J608" s="754">
        <v>0</v>
      </c>
      <c r="K608" s="754">
        <v>0</v>
      </c>
      <c r="L608" s="754">
        <v>30938.07</v>
      </c>
      <c r="M608" s="754">
        <f t="shared" si="43"/>
        <v>30938.07</v>
      </c>
      <c r="N608" s="756">
        <v>102443.71</v>
      </c>
      <c r="O608" s="720">
        <f t="shared" si="44"/>
        <v>0</v>
      </c>
    </row>
    <row r="609" spans="1:15" outlineLevel="2" x14ac:dyDescent="0.25">
      <c r="A609" s="207" t="str">
        <f>VLOOKUP(RIGHT(E609,3)+0,SchLocTable!$A$2:$B$47,2,FALSE)</f>
        <v>Claytor</v>
      </c>
      <c r="B609" s="207" t="str">
        <f>VLOOKUP(VALUE(D609),$D$3:F$106,3,FALSE)</f>
        <v>School Clericals</v>
      </c>
      <c r="C609" s="751" t="s">
        <v>246</v>
      </c>
      <c r="D609" s="751" t="s">
        <v>325</v>
      </c>
      <c r="E609" s="751" t="s">
        <v>356</v>
      </c>
      <c r="F609" s="751" t="s">
        <v>257</v>
      </c>
      <c r="G609" s="752" t="s">
        <v>1681</v>
      </c>
      <c r="H609" s="753">
        <v>51140</v>
      </c>
      <c r="I609" s="754">
        <v>2590</v>
      </c>
      <c r="J609" s="754">
        <v>0</v>
      </c>
      <c r="K609" s="754">
        <v>0</v>
      </c>
      <c r="L609" s="754">
        <v>0</v>
      </c>
      <c r="M609" s="754">
        <f t="shared" si="43"/>
        <v>0</v>
      </c>
      <c r="N609" s="756">
        <v>2590</v>
      </c>
      <c r="O609" s="720">
        <f t="shared" si="44"/>
        <v>0</v>
      </c>
    </row>
    <row r="610" spans="1:15" outlineLevel="2" x14ac:dyDescent="0.25">
      <c r="A610" s="207" t="str">
        <f>VLOOKUP(RIGHT(E610,3)+0,SchLocTable!$A$2:$B$47,2,FALSE)</f>
        <v>Claytor</v>
      </c>
      <c r="B610" s="207" t="str">
        <f>VLOOKUP(VALUE(D610),$D$3:F$106,3,FALSE)</f>
        <v>School Clericals</v>
      </c>
      <c r="C610" s="751" t="s">
        <v>246</v>
      </c>
      <c r="D610" s="751" t="s">
        <v>325</v>
      </c>
      <c r="E610" s="751" t="s">
        <v>356</v>
      </c>
      <c r="F610" s="751" t="s">
        <v>797</v>
      </c>
      <c r="G610" s="752" t="s">
        <v>1681</v>
      </c>
      <c r="H610" s="753">
        <v>51156</v>
      </c>
      <c r="I610" s="754">
        <v>0</v>
      </c>
      <c r="J610" s="754">
        <v>0</v>
      </c>
      <c r="K610" s="754">
        <v>0</v>
      </c>
      <c r="L610" s="754">
        <v>0</v>
      </c>
      <c r="M610" s="754">
        <f t="shared" si="43"/>
        <v>0</v>
      </c>
      <c r="N610" s="756">
        <v>0</v>
      </c>
      <c r="O610" s="720">
        <f t="shared" si="44"/>
        <v>0</v>
      </c>
    </row>
    <row r="611" spans="1:15" outlineLevel="2" x14ac:dyDescent="0.25">
      <c r="A611" s="207" t="str">
        <f>VLOOKUP(RIGHT(E611,3)+0,SchLocTable!$A$2:$B$47,2,FALSE)</f>
        <v>Claytor</v>
      </c>
      <c r="B611" s="207" t="str">
        <f>VLOOKUP(VALUE(D611),$D$3:F$106,3,FALSE)</f>
        <v>School Clericals</v>
      </c>
      <c r="C611" s="751" t="s">
        <v>246</v>
      </c>
      <c r="D611" s="751" t="s">
        <v>325</v>
      </c>
      <c r="E611" s="751" t="s">
        <v>356</v>
      </c>
      <c r="F611" s="751" t="s">
        <v>254</v>
      </c>
      <c r="G611" s="752" t="s">
        <v>1681</v>
      </c>
      <c r="H611" s="753">
        <v>52360</v>
      </c>
      <c r="I611" s="754">
        <v>1405.47</v>
      </c>
      <c r="J611" s="754">
        <v>0</v>
      </c>
      <c r="K611" s="754">
        <v>0</v>
      </c>
      <c r="L611" s="754">
        <v>368.64</v>
      </c>
      <c r="M611" s="754">
        <f t="shared" si="43"/>
        <v>368.64</v>
      </c>
      <c r="N611" s="756">
        <v>1405.47</v>
      </c>
      <c r="O611" s="720">
        <f t="shared" si="44"/>
        <v>0</v>
      </c>
    </row>
    <row r="612" spans="1:15" outlineLevel="2" x14ac:dyDescent="0.25">
      <c r="A612" s="207" t="str">
        <f>VLOOKUP(RIGHT(E612,3)+0,SchLocTable!$A$2:$B$47,2,FALSE)</f>
        <v>Claytor</v>
      </c>
      <c r="B612" s="207" t="str">
        <f>VLOOKUP(VALUE(D612),$D$3:F$106,3,FALSE)</f>
        <v>School Clericals</v>
      </c>
      <c r="C612" s="751" t="s">
        <v>246</v>
      </c>
      <c r="D612" s="751" t="s">
        <v>325</v>
      </c>
      <c r="E612" s="751" t="s">
        <v>356</v>
      </c>
      <c r="F612" s="751" t="s">
        <v>331</v>
      </c>
      <c r="G612" s="752" t="s">
        <v>1681</v>
      </c>
      <c r="H612" s="753">
        <v>52504</v>
      </c>
      <c r="I612" s="754">
        <v>21093.09</v>
      </c>
      <c r="J612" s="754">
        <v>0</v>
      </c>
      <c r="K612" s="754">
        <v>0</v>
      </c>
      <c r="L612" s="754">
        <v>6370.08</v>
      </c>
      <c r="M612" s="754">
        <f t="shared" si="43"/>
        <v>6370.08</v>
      </c>
      <c r="N612" s="756">
        <v>21093.09</v>
      </c>
      <c r="O612" s="720">
        <f t="shared" si="44"/>
        <v>0</v>
      </c>
    </row>
    <row r="613" spans="1:15" outlineLevel="2" x14ac:dyDescent="0.25">
      <c r="A613" s="207" t="str">
        <f>VLOOKUP(RIGHT(E613,3)+0,SchLocTable!$A$2:$B$47,2,FALSE)</f>
        <v>Claytor</v>
      </c>
      <c r="B613" s="207" t="str">
        <f>VLOOKUP(VALUE(D613),$D$3:F$106,3,FALSE)</f>
        <v>School Clericals</v>
      </c>
      <c r="C613" s="751" t="s">
        <v>246</v>
      </c>
      <c r="D613" s="751" t="s">
        <v>325</v>
      </c>
      <c r="E613" s="751" t="s">
        <v>356</v>
      </c>
      <c r="F613" s="751" t="s">
        <v>259</v>
      </c>
      <c r="G613" s="752" t="s">
        <v>1681</v>
      </c>
      <c r="H613" s="753">
        <v>52917</v>
      </c>
      <c r="I613" s="754">
        <v>55763.17</v>
      </c>
      <c r="J613" s="754">
        <v>0</v>
      </c>
      <c r="K613" s="754">
        <v>0</v>
      </c>
      <c r="L613" s="754">
        <v>17092.16</v>
      </c>
      <c r="M613" s="754">
        <f t="shared" si="43"/>
        <v>17092.16</v>
      </c>
      <c r="N613" s="756">
        <v>55763.17</v>
      </c>
      <c r="O613" s="720">
        <f t="shared" si="44"/>
        <v>0</v>
      </c>
    </row>
    <row r="614" spans="1:15" outlineLevel="2" x14ac:dyDescent="0.25">
      <c r="A614" s="207" t="str">
        <f>VLOOKUP(RIGHT(E614,3)+0,SchLocTable!$A$2:$B$47,2,FALSE)</f>
        <v>Johnson</v>
      </c>
      <c r="B614" s="207" t="str">
        <f>VLOOKUP(VALUE(D614),$D$3:F$106,3,FALSE)</f>
        <v>School Clericals</v>
      </c>
      <c r="C614" s="751" t="s">
        <v>246</v>
      </c>
      <c r="D614" s="751" t="s">
        <v>325</v>
      </c>
      <c r="E614" s="751" t="s">
        <v>357</v>
      </c>
      <c r="F614" s="751" t="s">
        <v>248</v>
      </c>
      <c r="G614" s="752">
        <v>2</v>
      </c>
      <c r="H614" s="753">
        <v>51000</v>
      </c>
      <c r="I614" s="754">
        <v>164991.45000000001</v>
      </c>
      <c r="J614" s="754">
        <v>0</v>
      </c>
      <c r="K614" s="754">
        <v>0</v>
      </c>
      <c r="L614" s="754">
        <v>50080.17</v>
      </c>
      <c r="M614" s="754">
        <f t="shared" si="43"/>
        <v>50080.17</v>
      </c>
      <c r="N614" s="756">
        <v>164991.45000000001</v>
      </c>
      <c r="O614" s="720">
        <f t="shared" si="44"/>
        <v>0</v>
      </c>
    </row>
    <row r="615" spans="1:15" outlineLevel="2" x14ac:dyDescent="0.25">
      <c r="A615" s="207" t="str">
        <f>VLOOKUP(RIGHT(E615,3)+0,SchLocTable!$A$2:$B$47,2,FALSE)</f>
        <v>Johnson</v>
      </c>
      <c r="B615" s="207" t="str">
        <f>VLOOKUP(VALUE(D615),$D$3:F$106,3,FALSE)</f>
        <v>School Clericals</v>
      </c>
      <c r="C615" s="751" t="s">
        <v>246</v>
      </c>
      <c r="D615" s="751" t="s">
        <v>325</v>
      </c>
      <c r="E615" s="751" t="s">
        <v>357</v>
      </c>
      <c r="F615" s="751" t="s">
        <v>257</v>
      </c>
      <c r="G615" s="752" t="s">
        <v>1681</v>
      </c>
      <c r="H615" s="753">
        <v>51140</v>
      </c>
      <c r="I615" s="754">
        <v>4005</v>
      </c>
      <c r="J615" s="754">
        <v>0</v>
      </c>
      <c r="K615" s="754">
        <v>0</v>
      </c>
      <c r="L615" s="754">
        <v>1350</v>
      </c>
      <c r="M615" s="754">
        <f t="shared" si="43"/>
        <v>1350</v>
      </c>
      <c r="N615" s="756">
        <v>4005</v>
      </c>
      <c r="O615" s="720">
        <f t="shared" si="44"/>
        <v>0</v>
      </c>
    </row>
    <row r="616" spans="1:15" outlineLevel="2" x14ac:dyDescent="0.25">
      <c r="A616" s="207" t="str">
        <f>VLOOKUP(RIGHT(E616,3)+0,SchLocTable!$A$2:$B$47,2,FALSE)</f>
        <v>Johnson</v>
      </c>
      <c r="B616" s="207" t="str">
        <f>VLOOKUP(VALUE(D616),$D$3:F$106,3,FALSE)</f>
        <v>School Clericals</v>
      </c>
      <c r="C616" s="751" t="s">
        <v>246</v>
      </c>
      <c r="D616" s="751" t="s">
        <v>325</v>
      </c>
      <c r="E616" s="751" t="s">
        <v>357</v>
      </c>
      <c r="F616" s="751" t="s">
        <v>254</v>
      </c>
      <c r="G616" s="752" t="s">
        <v>1681</v>
      </c>
      <c r="H616" s="753">
        <v>52360</v>
      </c>
      <c r="I616" s="754">
        <v>2338.94</v>
      </c>
      <c r="J616" s="754">
        <v>0</v>
      </c>
      <c r="K616" s="754">
        <v>0</v>
      </c>
      <c r="L616" s="754">
        <v>672.73</v>
      </c>
      <c r="M616" s="754">
        <f t="shared" si="43"/>
        <v>672.73</v>
      </c>
      <c r="N616" s="756">
        <v>2338.94</v>
      </c>
      <c r="O616" s="720">
        <f t="shared" si="44"/>
        <v>0</v>
      </c>
    </row>
    <row r="617" spans="1:15" outlineLevel="2" x14ac:dyDescent="0.25">
      <c r="A617" s="207" t="str">
        <f>VLOOKUP(RIGHT(E617,3)+0,SchLocTable!$A$2:$B$47,2,FALSE)</f>
        <v>Johnson</v>
      </c>
      <c r="B617" s="207" t="str">
        <f>VLOOKUP(VALUE(D617),$D$3:F$106,3,FALSE)</f>
        <v>School Clericals</v>
      </c>
      <c r="C617" s="751" t="s">
        <v>246</v>
      </c>
      <c r="D617" s="751" t="s">
        <v>325</v>
      </c>
      <c r="E617" s="751" t="s">
        <v>357</v>
      </c>
      <c r="F617" s="751" t="s">
        <v>331</v>
      </c>
      <c r="G617" s="752" t="s">
        <v>1681</v>
      </c>
      <c r="H617" s="753">
        <v>52504</v>
      </c>
      <c r="I617" s="754">
        <v>34249.599999999999</v>
      </c>
      <c r="J617" s="754">
        <v>0</v>
      </c>
      <c r="K617" s="754">
        <v>0</v>
      </c>
      <c r="L617" s="754">
        <v>10589.37</v>
      </c>
      <c r="M617" s="754">
        <f t="shared" si="43"/>
        <v>10589.37</v>
      </c>
      <c r="N617" s="756">
        <v>34249.599999999999</v>
      </c>
      <c r="O617" s="720">
        <f t="shared" si="44"/>
        <v>0</v>
      </c>
    </row>
    <row r="618" spans="1:15" outlineLevel="2" x14ac:dyDescent="0.25">
      <c r="A618" s="207" t="str">
        <f>VLOOKUP(RIGHT(E618,3)+0,SchLocTable!$A$2:$B$47,2,FALSE)</f>
        <v>Johnson</v>
      </c>
      <c r="B618" s="207" t="str">
        <f>VLOOKUP(VALUE(D618),$D$3:F$106,3,FALSE)</f>
        <v>School Clericals</v>
      </c>
      <c r="C618" s="751" t="s">
        <v>246</v>
      </c>
      <c r="D618" s="751" t="s">
        <v>325</v>
      </c>
      <c r="E618" s="751" t="s">
        <v>357</v>
      </c>
      <c r="F618" s="751" t="s">
        <v>259</v>
      </c>
      <c r="G618" s="752" t="s">
        <v>1681</v>
      </c>
      <c r="H618" s="753">
        <v>52917</v>
      </c>
      <c r="I618" s="754">
        <v>51080.31</v>
      </c>
      <c r="J618" s="754">
        <v>0</v>
      </c>
      <c r="K618" s="754">
        <v>0</v>
      </c>
      <c r="L618" s="754">
        <v>15656.8</v>
      </c>
      <c r="M618" s="754">
        <f t="shared" si="43"/>
        <v>15656.8</v>
      </c>
      <c r="N618" s="756">
        <v>51080.31</v>
      </c>
      <c r="O618" s="720">
        <f t="shared" si="44"/>
        <v>0</v>
      </c>
    </row>
    <row r="619" spans="1:15" outlineLevel="2" x14ac:dyDescent="0.25">
      <c r="A619" s="207" t="str">
        <f>VLOOKUP(RIGHT(E619,3)+0,SchLocTable!$A$2:$B$47,2,FALSE)</f>
        <v>Winthrop</v>
      </c>
      <c r="B619" s="207" t="str">
        <f>VLOOKUP(VALUE(D619),$D$3:F$106,3,FALSE)</f>
        <v>School Clericals</v>
      </c>
      <c r="C619" s="755" t="s">
        <v>246</v>
      </c>
      <c r="D619" s="751" t="s">
        <v>325</v>
      </c>
      <c r="E619" s="751" t="s">
        <v>358</v>
      </c>
      <c r="F619" s="751" t="s">
        <v>248</v>
      </c>
      <c r="G619" s="752">
        <v>2</v>
      </c>
      <c r="H619" s="753">
        <v>51000</v>
      </c>
      <c r="I619" s="754">
        <v>94410.35</v>
      </c>
      <c r="J619" s="754">
        <v>0</v>
      </c>
      <c r="K619" s="754">
        <v>0</v>
      </c>
      <c r="L619" s="754">
        <v>28511.99</v>
      </c>
      <c r="M619" s="754">
        <f t="shared" si="43"/>
        <v>28511.99</v>
      </c>
      <c r="N619" s="756">
        <v>94410.35</v>
      </c>
      <c r="O619" s="720">
        <f t="shared" si="44"/>
        <v>0</v>
      </c>
    </row>
    <row r="620" spans="1:15" outlineLevel="2" x14ac:dyDescent="0.25">
      <c r="A620" s="207" t="str">
        <f>VLOOKUP(RIGHT(E620,3)+0,SchLocTable!$A$2:$B$47,2,FALSE)</f>
        <v>Winthrop</v>
      </c>
      <c r="B620" s="207" t="str">
        <f>VLOOKUP(VALUE(D620),$D$3:F$106,3,FALSE)</f>
        <v>School Clericals</v>
      </c>
      <c r="C620" s="755" t="s">
        <v>246</v>
      </c>
      <c r="D620" s="751" t="s">
        <v>325</v>
      </c>
      <c r="E620" s="751" t="s">
        <v>358</v>
      </c>
      <c r="F620" s="751" t="s">
        <v>257</v>
      </c>
      <c r="G620" s="752" t="s">
        <v>1681</v>
      </c>
      <c r="H620" s="753">
        <v>51140</v>
      </c>
      <c r="I620" s="754">
        <v>1470</v>
      </c>
      <c r="J620" s="754">
        <v>0</v>
      </c>
      <c r="K620" s="754">
        <v>0</v>
      </c>
      <c r="L620" s="754">
        <v>0</v>
      </c>
      <c r="M620" s="754">
        <f t="shared" si="43"/>
        <v>0</v>
      </c>
      <c r="N620" s="756">
        <v>1470</v>
      </c>
      <c r="O620" s="720">
        <f t="shared" si="44"/>
        <v>0</v>
      </c>
    </row>
    <row r="621" spans="1:15" outlineLevel="2" x14ac:dyDescent="0.25">
      <c r="A621" s="207" t="str">
        <f>VLOOKUP(RIGHT(E621,3)+0,SchLocTable!$A$2:$B$47,2,FALSE)</f>
        <v>Winthrop</v>
      </c>
      <c r="B621" s="207" t="str">
        <f>VLOOKUP(VALUE(D621),$D$3:F$106,3,FALSE)</f>
        <v>School Clericals</v>
      </c>
      <c r="C621" s="751" t="s">
        <v>246</v>
      </c>
      <c r="D621" s="751" t="s">
        <v>325</v>
      </c>
      <c r="E621" s="751" t="s">
        <v>358</v>
      </c>
      <c r="F621" s="751" t="s">
        <v>797</v>
      </c>
      <c r="G621" s="752" t="s">
        <v>1681</v>
      </c>
      <c r="H621" s="753">
        <v>51156</v>
      </c>
      <c r="I621" s="754">
        <v>0</v>
      </c>
      <c r="J621" s="754">
        <v>0</v>
      </c>
      <c r="K621" s="754">
        <v>0</v>
      </c>
      <c r="L621" s="754">
        <v>0</v>
      </c>
      <c r="M621" s="754">
        <f t="shared" si="43"/>
        <v>0</v>
      </c>
      <c r="N621" s="756">
        <v>0</v>
      </c>
      <c r="O621" s="720">
        <f t="shared" si="44"/>
        <v>0</v>
      </c>
    </row>
    <row r="622" spans="1:15" outlineLevel="2" x14ac:dyDescent="0.25">
      <c r="A622" s="207" t="str">
        <f>VLOOKUP(RIGHT(E622,3)+0,SchLocTable!$A$2:$B$47,2,FALSE)</f>
        <v>Winthrop</v>
      </c>
      <c r="B622" s="207" t="str">
        <f>VLOOKUP(VALUE(D622),$D$3:F$106,3,FALSE)</f>
        <v>School Clericals</v>
      </c>
      <c r="C622" s="751" t="s">
        <v>246</v>
      </c>
      <c r="D622" s="751" t="s">
        <v>325</v>
      </c>
      <c r="E622" s="751" t="s">
        <v>358</v>
      </c>
      <c r="F622" s="751" t="s">
        <v>254</v>
      </c>
      <c r="G622" s="752" t="s">
        <v>1681</v>
      </c>
      <c r="H622" s="753">
        <v>52360</v>
      </c>
      <c r="I622" s="754">
        <v>1280.06</v>
      </c>
      <c r="J622" s="754">
        <v>0</v>
      </c>
      <c r="K622" s="754">
        <v>0</v>
      </c>
      <c r="L622" s="754">
        <v>324.52999999999997</v>
      </c>
      <c r="M622" s="754">
        <f t="shared" si="43"/>
        <v>324.52999999999997</v>
      </c>
      <c r="N622" s="756">
        <v>1280.06</v>
      </c>
      <c r="O622" s="720">
        <f t="shared" si="44"/>
        <v>0</v>
      </c>
    </row>
    <row r="623" spans="1:15" outlineLevel="2" x14ac:dyDescent="0.25">
      <c r="A623" s="207" t="str">
        <f>VLOOKUP(RIGHT(E623,3)+0,SchLocTable!$A$2:$B$47,2,FALSE)</f>
        <v>Winthrop</v>
      </c>
      <c r="B623" s="207" t="str">
        <f>VLOOKUP(VALUE(D623),$D$3:F$106,3,FALSE)</f>
        <v>School Clericals</v>
      </c>
      <c r="C623" s="751" t="s">
        <v>246</v>
      </c>
      <c r="D623" s="751" t="s">
        <v>325</v>
      </c>
      <c r="E623" s="751" t="s">
        <v>358</v>
      </c>
      <c r="F623" s="751" t="s">
        <v>292</v>
      </c>
      <c r="G623" s="752" t="s">
        <v>1681</v>
      </c>
      <c r="H623" s="753">
        <v>52385</v>
      </c>
      <c r="I623" s="754">
        <v>0</v>
      </c>
      <c r="J623" s="754">
        <v>0</v>
      </c>
      <c r="K623" s="754">
        <v>0</v>
      </c>
      <c r="L623" s="754">
        <v>0</v>
      </c>
      <c r="M623" s="754">
        <f t="shared" si="43"/>
        <v>0</v>
      </c>
      <c r="N623" s="756">
        <v>0</v>
      </c>
      <c r="O623" s="720">
        <f t="shared" si="44"/>
        <v>0</v>
      </c>
    </row>
    <row r="624" spans="1:15" outlineLevel="2" x14ac:dyDescent="0.25">
      <c r="A624" s="207" t="str">
        <f>VLOOKUP(RIGHT(E624,3)+0,SchLocTable!$A$2:$B$47,2,FALSE)</f>
        <v>Winthrop</v>
      </c>
      <c r="B624" s="207" t="str">
        <f>VLOOKUP(VALUE(D624),$D$3:F$106,3,FALSE)</f>
        <v>School Clericals</v>
      </c>
      <c r="C624" s="751" t="s">
        <v>246</v>
      </c>
      <c r="D624" s="751" t="s">
        <v>325</v>
      </c>
      <c r="E624" s="751" t="s">
        <v>358</v>
      </c>
      <c r="F624" s="751" t="s">
        <v>331</v>
      </c>
      <c r="G624" s="752" t="s">
        <v>1681</v>
      </c>
      <c r="H624" s="753">
        <v>52504</v>
      </c>
      <c r="I624" s="754">
        <v>19439.05</v>
      </c>
      <c r="J624" s="754">
        <v>0</v>
      </c>
      <c r="K624" s="754">
        <v>0</v>
      </c>
      <c r="L624" s="754">
        <v>5870.58</v>
      </c>
      <c r="M624" s="754">
        <f t="shared" si="43"/>
        <v>5870.58</v>
      </c>
      <c r="N624" s="756">
        <v>19439.05</v>
      </c>
      <c r="O624" s="720">
        <f t="shared" si="44"/>
        <v>0</v>
      </c>
    </row>
    <row r="625" spans="1:15" outlineLevel="2" x14ac:dyDescent="0.25">
      <c r="A625" s="207" t="str">
        <f>VLOOKUP(RIGHT(E625,3)+0,SchLocTable!$A$2:$B$47,2,FALSE)</f>
        <v>Winthrop</v>
      </c>
      <c r="B625" s="207" t="str">
        <f>VLOOKUP(VALUE(D625),$D$3:F$106,3,FALSE)</f>
        <v>School Clericals</v>
      </c>
      <c r="C625" s="751" t="s">
        <v>246</v>
      </c>
      <c r="D625" s="751" t="s">
        <v>325</v>
      </c>
      <c r="E625" s="751" t="s">
        <v>358</v>
      </c>
      <c r="F625" s="751" t="s">
        <v>259</v>
      </c>
      <c r="G625" s="752" t="s">
        <v>1681</v>
      </c>
      <c r="H625" s="753">
        <v>52917</v>
      </c>
      <c r="I625" s="754">
        <v>40675.279999999999</v>
      </c>
      <c r="J625" s="754">
        <v>0</v>
      </c>
      <c r="K625" s="754">
        <v>0</v>
      </c>
      <c r="L625" s="754">
        <v>12467.52</v>
      </c>
      <c r="M625" s="754">
        <f t="shared" si="43"/>
        <v>12467.52</v>
      </c>
      <c r="N625" s="756">
        <v>40675.279999999999</v>
      </c>
      <c r="O625" s="720">
        <f t="shared" si="44"/>
        <v>0</v>
      </c>
    </row>
    <row r="626" spans="1:15" outlineLevel="2" x14ac:dyDescent="0.25">
      <c r="A626" s="207" t="str">
        <f>VLOOKUP(RIGHT(E626,3)+0,SchLocTable!$A$2:$B$47,2,FALSE)</f>
        <v>Cross</v>
      </c>
      <c r="B626" s="207" t="str">
        <f>VLOOKUP(VALUE(D626),$D$3:F$106,3,FALSE)</f>
        <v>School Clericals</v>
      </c>
      <c r="C626" s="751" t="s">
        <v>246</v>
      </c>
      <c r="D626" s="751" t="s">
        <v>325</v>
      </c>
      <c r="E626" s="751" t="s">
        <v>359</v>
      </c>
      <c r="F626" s="751" t="s">
        <v>248</v>
      </c>
      <c r="G626" s="752">
        <v>1</v>
      </c>
      <c r="H626" s="753">
        <v>51000</v>
      </c>
      <c r="I626" s="754">
        <v>52949.27</v>
      </c>
      <c r="J626" s="754">
        <v>0</v>
      </c>
      <c r="K626" s="754">
        <v>0</v>
      </c>
      <c r="L626" s="754">
        <v>15990.72</v>
      </c>
      <c r="M626" s="754">
        <f t="shared" si="43"/>
        <v>15990.72</v>
      </c>
      <c r="N626" s="756">
        <v>52949.27</v>
      </c>
      <c r="O626" s="720">
        <f t="shared" si="44"/>
        <v>0</v>
      </c>
    </row>
    <row r="627" spans="1:15" outlineLevel="2" x14ac:dyDescent="0.25">
      <c r="A627" s="207" t="str">
        <f>VLOOKUP(RIGHT(E627,3)+0,SchLocTable!$A$2:$B$47,2,FALSE)</f>
        <v>Cross</v>
      </c>
      <c r="B627" s="207" t="str">
        <f>VLOOKUP(VALUE(D627),$D$3:F$106,3,FALSE)</f>
        <v>School Clericals</v>
      </c>
      <c r="C627" s="751" t="s">
        <v>246</v>
      </c>
      <c r="D627" s="751" t="s">
        <v>325</v>
      </c>
      <c r="E627" s="751" t="s">
        <v>359</v>
      </c>
      <c r="F627" s="751" t="s">
        <v>257</v>
      </c>
      <c r="G627" s="752" t="s">
        <v>1681</v>
      </c>
      <c r="H627" s="753">
        <v>51140</v>
      </c>
      <c r="I627" s="754">
        <v>1540</v>
      </c>
      <c r="J627" s="754">
        <v>0</v>
      </c>
      <c r="K627" s="754">
        <v>0</v>
      </c>
      <c r="L627" s="754">
        <v>0</v>
      </c>
      <c r="M627" s="754">
        <f t="shared" si="43"/>
        <v>0</v>
      </c>
      <c r="N627" s="756">
        <v>1540</v>
      </c>
      <c r="O627" s="720">
        <f t="shared" si="44"/>
        <v>0</v>
      </c>
    </row>
    <row r="628" spans="1:15" outlineLevel="2" x14ac:dyDescent="0.25">
      <c r="A628" s="207" t="str">
        <f>VLOOKUP(RIGHT(E628,3)+0,SchLocTable!$A$2:$B$47,2,FALSE)</f>
        <v>Cross</v>
      </c>
      <c r="B628" s="207" t="str">
        <f>VLOOKUP(VALUE(D628),$D$3:F$106,3,FALSE)</f>
        <v>School Clericals</v>
      </c>
      <c r="C628" s="751" t="s">
        <v>246</v>
      </c>
      <c r="D628" s="751" t="s">
        <v>325</v>
      </c>
      <c r="E628" s="751" t="s">
        <v>359</v>
      </c>
      <c r="F628" s="751" t="s">
        <v>252</v>
      </c>
      <c r="G628" s="752" t="s">
        <v>1681</v>
      </c>
      <c r="H628" s="753">
        <v>51154</v>
      </c>
      <c r="I628" s="754">
        <v>0</v>
      </c>
      <c r="J628" s="754">
        <v>0</v>
      </c>
      <c r="K628" s="754">
        <v>0</v>
      </c>
      <c r="L628" s="754">
        <v>0</v>
      </c>
      <c r="M628" s="754">
        <f t="shared" si="43"/>
        <v>0</v>
      </c>
      <c r="N628" s="756">
        <v>0</v>
      </c>
      <c r="O628" s="720">
        <f t="shared" si="44"/>
        <v>0</v>
      </c>
    </row>
    <row r="629" spans="1:15" outlineLevel="2" x14ac:dyDescent="0.25">
      <c r="A629" s="207" t="str">
        <f>VLOOKUP(RIGHT(E629,3)+0,SchLocTable!$A$2:$B$47,2,FALSE)</f>
        <v>Cross</v>
      </c>
      <c r="B629" s="207" t="str">
        <f>VLOOKUP(VALUE(D629),$D$3:F$106,3,FALSE)</f>
        <v>School Clericals</v>
      </c>
      <c r="C629" s="751" t="s">
        <v>246</v>
      </c>
      <c r="D629" s="751" t="s">
        <v>325</v>
      </c>
      <c r="E629" s="751" t="s">
        <v>359</v>
      </c>
      <c r="F629" s="751" t="s">
        <v>797</v>
      </c>
      <c r="G629" s="752" t="s">
        <v>1681</v>
      </c>
      <c r="H629" s="753">
        <v>51156</v>
      </c>
      <c r="I629" s="754">
        <v>0</v>
      </c>
      <c r="J629" s="754">
        <v>0</v>
      </c>
      <c r="K629" s="754">
        <v>0</v>
      </c>
      <c r="L629" s="754">
        <v>0</v>
      </c>
      <c r="M629" s="754">
        <f t="shared" si="43"/>
        <v>0</v>
      </c>
      <c r="N629" s="756">
        <v>0</v>
      </c>
      <c r="O629" s="720">
        <f t="shared" si="44"/>
        <v>0</v>
      </c>
    </row>
    <row r="630" spans="1:15" outlineLevel="2" x14ac:dyDescent="0.25">
      <c r="A630" s="207" t="str">
        <f>VLOOKUP(RIGHT(E630,3)+0,SchLocTable!$A$2:$B$47,2,FALSE)</f>
        <v>Cross</v>
      </c>
      <c r="B630" s="207" t="str">
        <f>VLOOKUP(VALUE(D630),$D$3:F$106,3,FALSE)</f>
        <v>School Clericals</v>
      </c>
      <c r="C630" s="751" t="s">
        <v>246</v>
      </c>
      <c r="D630" s="751" t="s">
        <v>325</v>
      </c>
      <c r="E630" s="751" t="s">
        <v>359</v>
      </c>
      <c r="F630" s="751" t="s">
        <v>326</v>
      </c>
      <c r="G630" s="752" t="s">
        <v>1681</v>
      </c>
      <c r="H630" s="753">
        <v>51314</v>
      </c>
      <c r="I630" s="754">
        <v>0</v>
      </c>
      <c r="J630" s="754">
        <v>0</v>
      </c>
      <c r="K630" s="754">
        <v>0</v>
      </c>
      <c r="L630" s="754">
        <v>0</v>
      </c>
      <c r="M630" s="754">
        <f t="shared" si="43"/>
        <v>0</v>
      </c>
      <c r="N630" s="756">
        <v>0</v>
      </c>
      <c r="O630" s="720">
        <f t="shared" si="44"/>
        <v>0</v>
      </c>
    </row>
    <row r="631" spans="1:15" outlineLevel="2" x14ac:dyDescent="0.25">
      <c r="A631" s="207" t="str">
        <f>VLOOKUP(RIGHT(E631,3)+0,SchLocTable!$A$2:$B$47,2,FALSE)</f>
        <v>Cross</v>
      </c>
      <c r="B631" s="207" t="str">
        <f>VLOOKUP(VALUE(D631),$D$3:F$106,3,FALSE)</f>
        <v>School Clericals</v>
      </c>
      <c r="C631" s="751" t="s">
        <v>246</v>
      </c>
      <c r="D631" s="751" t="s">
        <v>325</v>
      </c>
      <c r="E631" s="751" t="s">
        <v>359</v>
      </c>
      <c r="F631" s="751" t="s">
        <v>328</v>
      </c>
      <c r="G631" s="752" t="s">
        <v>1681</v>
      </c>
      <c r="H631" s="753">
        <v>51318</v>
      </c>
      <c r="I631" s="754">
        <v>0</v>
      </c>
      <c r="J631" s="754">
        <v>0</v>
      </c>
      <c r="K631" s="754">
        <v>0</v>
      </c>
      <c r="L631" s="754">
        <v>0</v>
      </c>
      <c r="M631" s="754">
        <f t="shared" si="43"/>
        <v>0</v>
      </c>
      <c r="N631" s="756">
        <v>0</v>
      </c>
      <c r="O631" s="720">
        <f t="shared" si="44"/>
        <v>0</v>
      </c>
    </row>
    <row r="632" spans="1:15" outlineLevel="2" x14ac:dyDescent="0.25">
      <c r="A632" s="207" t="str">
        <f>VLOOKUP(RIGHT(E632,3)+0,SchLocTable!$A$2:$B$47,2,FALSE)</f>
        <v>Cross</v>
      </c>
      <c r="B632" s="207" t="str">
        <f>VLOOKUP(VALUE(D632),$D$3:F$106,3,FALSE)</f>
        <v>School Clericals</v>
      </c>
      <c r="C632" s="755" t="s">
        <v>246</v>
      </c>
      <c r="D632" s="751" t="s">
        <v>325</v>
      </c>
      <c r="E632" s="751" t="s">
        <v>359</v>
      </c>
      <c r="F632" s="751" t="s">
        <v>254</v>
      </c>
      <c r="G632" s="752" t="s">
        <v>1681</v>
      </c>
      <c r="H632" s="753">
        <v>52360</v>
      </c>
      <c r="I632" s="754">
        <v>748.35</v>
      </c>
      <c r="J632" s="754">
        <v>0</v>
      </c>
      <c r="K632" s="754">
        <v>0</v>
      </c>
      <c r="L632" s="754">
        <v>212.45</v>
      </c>
      <c r="M632" s="754">
        <f t="shared" si="43"/>
        <v>212.45</v>
      </c>
      <c r="N632" s="756">
        <v>748.35</v>
      </c>
      <c r="O632" s="720">
        <f t="shared" si="44"/>
        <v>0</v>
      </c>
    </row>
    <row r="633" spans="1:15" outlineLevel="2" x14ac:dyDescent="0.25">
      <c r="A633" s="207" t="str">
        <f>VLOOKUP(RIGHT(E633,3)+0,SchLocTable!$A$2:$B$47,2,FALSE)</f>
        <v>Cross</v>
      </c>
      <c r="B633" s="207" t="str">
        <f>VLOOKUP(VALUE(D633),$D$3:F$106,3,FALSE)</f>
        <v>School Clericals</v>
      </c>
      <c r="C633" s="751" t="s">
        <v>246</v>
      </c>
      <c r="D633" s="751" t="s">
        <v>325</v>
      </c>
      <c r="E633" s="751" t="s">
        <v>359</v>
      </c>
      <c r="F633" s="751" t="s">
        <v>331</v>
      </c>
      <c r="G633" s="752" t="s">
        <v>1681</v>
      </c>
      <c r="H633" s="753">
        <v>52504</v>
      </c>
      <c r="I633" s="754">
        <v>10902.25</v>
      </c>
      <c r="J633" s="754">
        <v>0</v>
      </c>
      <c r="K633" s="754">
        <v>0</v>
      </c>
      <c r="L633" s="754">
        <v>3292.48</v>
      </c>
      <c r="M633" s="754">
        <f t="shared" si="43"/>
        <v>3292.48</v>
      </c>
      <c r="N633" s="756">
        <v>10902.25</v>
      </c>
      <c r="O633" s="720">
        <f t="shared" si="44"/>
        <v>0</v>
      </c>
    </row>
    <row r="634" spans="1:15" outlineLevel="2" x14ac:dyDescent="0.25">
      <c r="A634" s="207" t="str">
        <f>VLOOKUP(RIGHT(E634,3)+0,SchLocTable!$A$2:$B$47,2,FALSE)</f>
        <v>Cross</v>
      </c>
      <c r="B634" s="207" t="str">
        <f>VLOOKUP(VALUE(D634),$D$3:F$106,3,FALSE)</f>
        <v>School Clericals</v>
      </c>
      <c r="C634" s="755" t="s">
        <v>246</v>
      </c>
      <c r="D634" s="751" t="s">
        <v>325</v>
      </c>
      <c r="E634" s="751" t="s">
        <v>359</v>
      </c>
      <c r="F634" s="751" t="s">
        <v>259</v>
      </c>
      <c r="G634" s="752" t="s">
        <v>1681</v>
      </c>
      <c r="H634" s="753">
        <v>52917</v>
      </c>
      <c r="I634" s="754">
        <v>12500.86</v>
      </c>
      <c r="J634" s="754">
        <v>0</v>
      </c>
      <c r="K634" s="754">
        <v>0</v>
      </c>
      <c r="L634" s="754">
        <v>3831.68</v>
      </c>
      <c r="M634" s="754">
        <f t="shared" si="43"/>
        <v>3831.68</v>
      </c>
      <c r="N634" s="756">
        <v>12500.86</v>
      </c>
      <c r="O634" s="720">
        <f t="shared" si="44"/>
        <v>0</v>
      </c>
    </row>
    <row r="635" spans="1:15" outlineLevel="2" x14ac:dyDescent="0.25">
      <c r="A635" s="207" t="str">
        <f>VLOOKUP(RIGHT(E635,3)+0,SchLocTable!$A$2:$B$47,2,FALSE)</f>
        <v>Blackham</v>
      </c>
      <c r="B635" s="207" t="str">
        <f>VLOOKUP(VALUE(D635),$D$3:F$106,3,FALSE)</f>
        <v>School Clericals</v>
      </c>
      <c r="C635" s="751" t="s">
        <v>246</v>
      </c>
      <c r="D635" s="751" t="s">
        <v>325</v>
      </c>
      <c r="E635" s="751" t="s">
        <v>360</v>
      </c>
      <c r="F635" s="751" t="s">
        <v>248</v>
      </c>
      <c r="G635" s="752">
        <v>3</v>
      </c>
      <c r="H635" s="753">
        <v>51000</v>
      </c>
      <c r="I635" s="754">
        <v>141157.88</v>
      </c>
      <c r="J635" s="754">
        <v>0</v>
      </c>
      <c r="K635" s="754">
        <v>0</v>
      </c>
      <c r="L635" s="754">
        <v>44284.84</v>
      </c>
      <c r="M635" s="754">
        <f t="shared" si="43"/>
        <v>44284.84</v>
      </c>
      <c r="N635" s="756">
        <v>141157.88</v>
      </c>
      <c r="O635" s="720">
        <f t="shared" si="44"/>
        <v>0</v>
      </c>
    </row>
    <row r="636" spans="1:15" outlineLevel="2" x14ac:dyDescent="0.25">
      <c r="A636" s="207" t="str">
        <f>VLOOKUP(RIGHT(E636,3)+0,SchLocTable!$A$2:$B$47,2,FALSE)</f>
        <v>Blackham</v>
      </c>
      <c r="B636" s="207" t="str">
        <f>VLOOKUP(VALUE(D636),$D$3:F$106,3,FALSE)</f>
        <v>School Clericals</v>
      </c>
      <c r="C636" s="755" t="s">
        <v>246</v>
      </c>
      <c r="D636" s="751" t="s">
        <v>325</v>
      </c>
      <c r="E636" s="751" t="s">
        <v>360</v>
      </c>
      <c r="F636" s="751" t="s">
        <v>340</v>
      </c>
      <c r="G636" s="752" t="s">
        <v>1681</v>
      </c>
      <c r="H636" s="753">
        <v>51106</v>
      </c>
      <c r="I636" s="754">
        <v>0</v>
      </c>
      <c r="J636" s="754">
        <v>0</v>
      </c>
      <c r="K636" s="754">
        <v>0</v>
      </c>
      <c r="L636" s="754">
        <v>0</v>
      </c>
      <c r="M636" s="754">
        <f t="shared" si="43"/>
        <v>0</v>
      </c>
      <c r="N636" s="756">
        <v>0</v>
      </c>
      <c r="O636" s="720">
        <f t="shared" si="44"/>
        <v>0</v>
      </c>
    </row>
    <row r="637" spans="1:15" outlineLevel="2" x14ac:dyDescent="0.25">
      <c r="A637" s="207" t="str">
        <f>VLOOKUP(RIGHT(E637,3)+0,SchLocTable!$A$2:$B$47,2,FALSE)</f>
        <v>Blackham</v>
      </c>
      <c r="B637" s="207" t="str">
        <f>VLOOKUP(VALUE(D637),$D$3:F$106,3,FALSE)</f>
        <v>School Clericals</v>
      </c>
      <c r="C637" s="751" t="s">
        <v>246</v>
      </c>
      <c r="D637" s="751" t="s">
        <v>325</v>
      </c>
      <c r="E637" s="751" t="s">
        <v>360</v>
      </c>
      <c r="F637" s="751" t="s">
        <v>257</v>
      </c>
      <c r="G637" s="752" t="s">
        <v>1681</v>
      </c>
      <c r="H637" s="753">
        <v>51140</v>
      </c>
      <c r="I637" s="754">
        <v>3900</v>
      </c>
      <c r="J637" s="754">
        <v>0</v>
      </c>
      <c r="K637" s="754">
        <v>0</v>
      </c>
      <c r="L637" s="754">
        <v>3900</v>
      </c>
      <c r="M637" s="754">
        <f t="shared" si="43"/>
        <v>3900</v>
      </c>
      <c r="N637" s="756">
        <v>3900</v>
      </c>
      <c r="O637" s="720">
        <f t="shared" si="44"/>
        <v>0</v>
      </c>
    </row>
    <row r="638" spans="1:15" outlineLevel="2" x14ac:dyDescent="0.25">
      <c r="A638" s="207" t="str">
        <f>VLOOKUP(RIGHT(E638,3)+0,SchLocTable!$A$2:$B$47,2,FALSE)</f>
        <v>Blackham</v>
      </c>
      <c r="B638" s="207" t="str">
        <f>VLOOKUP(VALUE(D638),$D$3:F$106,3,FALSE)</f>
        <v>School Clericals</v>
      </c>
      <c r="C638" s="751" t="s">
        <v>246</v>
      </c>
      <c r="D638" s="751" t="s">
        <v>325</v>
      </c>
      <c r="E638" s="751" t="s">
        <v>360</v>
      </c>
      <c r="F638" s="751" t="s">
        <v>252</v>
      </c>
      <c r="G638" s="752" t="s">
        <v>1681</v>
      </c>
      <c r="H638" s="753">
        <v>51154</v>
      </c>
      <c r="I638" s="754">
        <v>8802.59</v>
      </c>
      <c r="J638" s="754">
        <v>0</v>
      </c>
      <c r="K638" s="754">
        <v>0</v>
      </c>
      <c r="L638" s="754">
        <v>8802.59</v>
      </c>
      <c r="M638" s="754">
        <f t="shared" si="43"/>
        <v>8802.59</v>
      </c>
      <c r="N638" s="756">
        <v>8802.59</v>
      </c>
      <c r="O638" s="720">
        <f t="shared" si="44"/>
        <v>0</v>
      </c>
    </row>
    <row r="639" spans="1:15" outlineLevel="2" x14ac:dyDescent="0.25">
      <c r="A639" s="207" t="str">
        <f>VLOOKUP(RIGHT(E639,3)+0,SchLocTable!$A$2:$B$47,2,FALSE)</f>
        <v>Blackham</v>
      </c>
      <c r="B639" s="207" t="str">
        <f>VLOOKUP(VALUE(D639),$D$3:F$106,3,FALSE)</f>
        <v>School Clericals</v>
      </c>
      <c r="C639" s="751" t="s">
        <v>246</v>
      </c>
      <c r="D639" s="751" t="s">
        <v>325</v>
      </c>
      <c r="E639" s="751" t="s">
        <v>360</v>
      </c>
      <c r="F639" s="751" t="s">
        <v>797</v>
      </c>
      <c r="G639" s="752" t="s">
        <v>1681</v>
      </c>
      <c r="H639" s="753">
        <v>51156</v>
      </c>
      <c r="I639" s="754">
        <v>0</v>
      </c>
      <c r="J639" s="754">
        <v>0</v>
      </c>
      <c r="K639" s="754">
        <v>0</v>
      </c>
      <c r="L639" s="754">
        <v>0</v>
      </c>
      <c r="M639" s="754">
        <f t="shared" ref="M639:M702" si="45">SUM(J639:L639)</f>
        <v>0</v>
      </c>
      <c r="N639" s="756">
        <v>0</v>
      </c>
      <c r="O639" s="720">
        <f t="shared" ref="O639:O702" si="46">I639-N639</f>
        <v>0</v>
      </c>
    </row>
    <row r="640" spans="1:15" outlineLevel="2" x14ac:dyDescent="0.25">
      <c r="A640" s="207" t="str">
        <f>VLOOKUP(RIGHT(E640,3)+0,SchLocTable!$A$2:$B$47,2,FALSE)</f>
        <v>Blackham</v>
      </c>
      <c r="B640" s="207" t="str">
        <f>VLOOKUP(VALUE(D640),$D$3:F$106,3,FALSE)</f>
        <v>School Clericals</v>
      </c>
      <c r="C640" s="755" t="s">
        <v>246</v>
      </c>
      <c r="D640" s="751" t="s">
        <v>325</v>
      </c>
      <c r="E640" s="751" t="s">
        <v>360</v>
      </c>
      <c r="F640" s="751" t="s">
        <v>326</v>
      </c>
      <c r="G640" s="752" t="s">
        <v>1681</v>
      </c>
      <c r="H640" s="753">
        <v>51314</v>
      </c>
      <c r="I640" s="754">
        <v>4397.45</v>
      </c>
      <c r="J640" s="754">
        <v>0</v>
      </c>
      <c r="K640" s="754">
        <v>0</v>
      </c>
      <c r="L640" s="754">
        <v>4397.45</v>
      </c>
      <c r="M640" s="754">
        <f t="shared" si="45"/>
        <v>4397.45</v>
      </c>
      <c r="N640" s="756">
        <v>4397.45</v>
      </c>
      <c r="O640" s="720">
        <f t="shared" si="46"/>
        <v>0</v>
      </c>
    </row>
    <row r="641" spans="1:15" outlineLevel="2" x14ac:dyDescent="0.25">
      <c r="A641" s="207" t="str">
        <f>VLOOKUP(RIGHT(E641,3)+0,SchLocTable!$A$2:$B$47,2,FALSE)</f>
        <v>Blackham</v>
      </c>
      <c r="B641" s="207" t="str">
        <f>VLOOKUP(VALUE(D641),$D$3:F$106,3,FALSE)</f>
        <v>School Clericals</v>
      </c>
      <c r="C641" s="751" t="s">
        <v>246</v>
      </c>
      <c r="D641" s="751" t="s">
        <v>325</v>
      </c>
      <c r="E641" s="751" t="s">
        <v>360</v>
      </c>
      <c r="F641" s="751" t="s">
        <v>328</v>
      </c>
      <c r="G641" s="752" t="s">
        <v>1681</v>
      </c>
      <c r="H641" s="753">
        <v>51318</v>
      </c>
      <c r="I641" s="754">
        <v>799.54</v>
      </c>
      <c r="J641" s="754">
        <v>0</v>
      </c>
      <c r="K641" s="754">
        <v>0</v>
      </c>
      <c r="L641" s="754">
        <v>799.54</v>
      </c>
      <c r="M641" s="754">
        <f t="shared" si="45"/>
        <v>799.54</v>
      </c>
      <c r="N641" s="756">
        <v>799.54</v>
      </c>
      <c r="O641" s="720">
        <f t="shared" si="46"/>
        <v>0</v>
      </c>
    </row>
    <row r="642" spans="1:15" outlineLevel="2" x14ac:dyDescent="0.25">
      <c r="A642" s="207" t="str">
        <f>VLOOKUP(RIGHT(E642,3)+0,SchLocTable!$A$2:$B$47,2,FALSE)</f>
        <v>Blackham</v>
      </c>
      <c r="B642" s="207" t="str">
        <f>VLOOKUP(VALUE(D642),$D$3:F$106,3,FALSE)</f>
        <v>School Clericals</v>
      </c>
      <c r="C642" s="751" t="s">
        <v>246</v>
      </c>
      <c r="D642" s="751" t="s">
        <v>325</v>
      </c>
      <c r="E642" s="751" t="s">
        <v>360</v>
      </c>
      <c r="F642" s="751" t="s">
        <v>254</v>
      </c>
      <c r="G642" s="752" t="s">
        <v>1681</v>
      </c>
      <c r="H642" s="753">
        <v>52360</v>
      </c>
      <c r="I642" s="754">
        <v>2208.73</v>
      </c>
      <c r="J642" s="754">
        <v>0</v>
      </c>
      <c r="K642" s="754">
        <v>0</v>
      </c>
      <c r="L642" s="754">
        <v>804.07</v>
      </c>
      <c r="M642" s="754">
        <f t="shared" si="45"/>
        <v>804.07</v>
      </c>
      <c r="N642" s="756">
        <v>2208.73</v>
      </c>
      <c r="O642" s="720">
        <f t="shared" si="46"/>
        <v>0</v>
      </c>
    </row>
    <row r="643" spans="1:15" outlineLevel="2" x14ac:dyDescent="0.25">
      <c r="A643" s="207" t="str">
        <f>VLOOKUP(RIGHT(E643,3)+0,SchLocTable!$A$2:$B$47,2,FALSE)</f>
        <v>Blackham</v>
      </c>
      <c r="B643" s="207" t="str">
        <f>VLOOKUP(VALUE(D643),$D$3:F$106,3,FALSE)</f>
        <v>School Clericals</v>
      </c>
      <c r="C643" s="751" t="s">
        <v>246</v>
      </c>
      <c r="D643" s="751" t="s">
        <v>325</v>
      </c>
      <c r="E643" s="751" t="s">
        <v>360</v>
      </c>
      <c r="F643" s="751" t="s">
        <v>331</v>
      </c>
      <c r="G643" s="752" t="s">
        <v>1681</v>
      </c>
      <c r="H643" s="753">
        <v>52504</v>
      </c>
      <c r="I643" s="754">
        <v>29867.41</v>
      </c>
      <c r="J643" s="754">
        <v>0</v>
      </c>
      <c r="K643" s="754">
        <v>0</v>
      </c>
      <c r="L643" s="754">
        <v>9921.25</v>
      </c>
      <c r="M643" s="754">
        <f t="shared" si="45"/>
        <v>9921.25</v>
      </c>
      <c r="N643" s="756">
        <v>29867.41</v>
      </c>
      <c r="O643" s="720">
        <f t="shared" si="46"/>
        <v>0</v>
      </c>
    </row>
    <row r="644" spans="1:15" outlineLevel="2" x14ac:dyDescent="0.25">
      <c r="A644" s="207" t="str">
        <f>VLOOKUP(RIGHT(E644,3)+0,SchLocTable!$A$2:$B$47,2,FALSE)</f>
        <v>Blackham</v>
      </c>
      <c r="B644" s="207" t="str">
        <f>VLOOKUP(VALUE(D644),$D$3:F$106,3,FALSE)</f>
        <v>School Clericals</v>
      </c>
      <c r="C644" s="751" t="s">
        <v>246</v>
      </c>
      <c r="D644" s="751" t="s">
        <v>325</v>
      </c>
      <c r="E644" s="751" t="s">
        <v>360</v>
      </c>
      <c r="F644" s="751" t="s">
        <v>259</v>
      </c>
      <c r="G644" s="752" t="s">
        <v>1681</v>
      </c>
      <c r="H644" s="753">
        <v>52917</v>
      </c>
      <c r="I644" s="754">
        <v>56733.24</v>
      </c>
      <c r="J644" s="754">
        <v>0</v>
      </c>
      <c r="K644" s="754">
        <v>0</v>
      </c>
      <c r="L644" s="754">
        <v>18333.37</v>
      </c>
      <c r="M644" s="754">
        <f t="shared" si="45"/>
        <v>18333.37</v>
      </c>
      <c r="N644" s="756">
        <v>56733.24</v>
      </c>
      <c r="O644" s="720">
        <f t="shared" si="46"/>
        <v>0</v>
      </c>
    </row>
    <row r="645" spans="1:15" outlineLevel="2" x14ac:dyDescent="0.25">
      <c r="A645" s="207" t="str">
        <f>VLOOKUP(RIGHT(E645,3)+0,SchLocTable!$A$2:$B$47,2,FALSE)</f>
        <v>Dunbar</v>
      </c>
      <c r="B645" s="207" t="str">
        <f>VLOOKUP(VALUE(D645),$D$3:F$106,3,FALSE)</f>
        <v>School Clericals</v>
      </c>
      <c r="C645" s="751" t="s">
        <v>246</v>
      </c>
      <c r="D645" s="751" t="s">
        <v>325</v>
      </c>
      <c r="E645" s="751" t="s">
        <v>361</v>
      </c>
      <c r="F645" s="751" t="s">
        <v>248</v>
      </c>
      <c r="G645" s="752">
        <v>1</v>
      </c>
      <c r="H645" s="753">
        <v>51000</v>
      </c>
      <c r="I645" s="754">
        <v>57868.06</v>
      </c>
      <c r="J645" s="754">
        <v>0</v>
      </c>
      <c r="K645" s="754">
        <v>0</v>
      </c>
      <c r="L645" s="754">
        <v>20909.509999999998</v>
      </c>
      <c r="M645" s="754">
        <f t="shared" si="45"/>
        <v>20909.509999999998</v>
      </c>
      <c r="N645" s="756">
        <v>57868.06</v>
      </c>
      <c r="O645" s="720">
        <f t="shared" si="46"/>
        <v>0</v>
      </c>
    </row>
    <row r="646" spans="1:15" outlineLevel="2" x14ac:dyDescent="0.25">
      <c r="A646" s="207" t="str">
        <f>VLOOKUP(RIGHT(E646,3)+0,SchLocTable!$A$2:$B$47,2,FALSE)</f>
        <v>Dunbar</v>
      </c>
      <c r="B646" s="207" t="str">
        <f>VLOOKUP(VALUE(D646),$D$3:F$106,3,FALSE)</f>
        <v>School Clericals</v>
      </c>
      <c r="C646" s="751" t="s">
        <v>246</v>
      </c>
      <c r="D646" s="751" t="s">
        <v>325</v>
      </c>
      <c r="E646" s="751" t="s">
        <v>361</v>
      </c>
      <c r="F646" s="751" t="s">
        <v>257</v>
      </c>
      <c r="G646" s="752" t="s">
        <v>1681</v>
      </c>
      <c r="H646" s="753">
        <v>51140</v>
      </c>
      <c r="I646" s="754">
        <v>1050</v>
      </c>
      <c r="J646" s="754">
        <v>0</v>
      </c>
      <c r="K646" s="754">
        <v>0</v>
      </c>
      <c r="L646" s="754">
        <v>0</v>
      </c>
      <c r="M646" s="754">
        <f t="shared" si="45"/>
        <v>0</v>
      </c>
      <c r="N646" s="756">
        <v>1050</v>
      </c>
      <c r="O646" s="720">
        <f t="shared" si="46"/>
        <v>0</v>
      </c>
    </row>
    <row r="647" spans="1:15" outlineLevel="2" x14ac:dyDescent="0.25">
      <c r="A647" s="207" t="str">
        <f>VLOOKUP(RIGHT(E647,3)+0,SchLocTable!$A$2:$B$47,2,FALSE)</f>
        <v>Dunbar</v>
      </c>
      <c r="B647" s="207" t="str">
        <f>VLOOKUP(VALUE(D647),$D$3:F$106,3,FALSE)</f>
        <v>School Clericals</v>
      </c>
      <c r="C647" s="751" t="s">
        <v>246</v>
      </c>
      <c r="D647" s="751" t="s">
        <v>325</v>
      </c>
      <c r="E647" s="751" t="s">
        <v>361</v>
      </c>
      <c r="F647" s="751" t="s">
        <v>797</v>
      </c>
      <c r="G647" s="752" t="s">
        <v>1681</v>
      </c>
      <c r="H647" s="753">
        <v>51156</v>
      </c>
      <c r="I647" s="754">
        <v>0</v>
      </c>
      <c r="J647" s="754">
        <v>0</v>
      </c>
      <c r="K647" s="754">
        <v>0</v>
      </c>
      <c r="L647" s="754">
        <v>0</v>
      </c>
      <c r="M647" s="754">
        <f t="shared" si="45"/>
        <v>0</v>
      </c>
      <c r="N647" s="756">
        <v>0</v>
      </c>
      <c r="O647" s="720">
        <f t="shared" si="46"/>
        <v>0</v>
      </c>
    </row>
    <row r="648" spans="1:15" outlineLevel="2" x14ac:dyDescent="0.25">
      <c r="A648" s="207" t="str">
        <f>VLOOKUP(RIGHT(E648,3)+0,SchLocTable!$A$2:$B$47,2,FALSE)</f>
        <v>Dunbar</v>
      </c>
      <c r="B648" s="207" t="str">
        <f>VLOOKUP(VALUE(D648),$D$3:F$106,3,FALSE)</f>
        <v>School Clericals</v>
      </c>
      <c r="C648" s="751" t="s">
        <v>246</v>
      </c>
      <c r="D648" s="751" t="s">
        <v>325</v>
      </c>
      <c r="E648" s="751" t="s">
        <v>361</v>
      </c>
      <c r="F648" s="751" t="s">
        <v>254</v>
      </c>
      <c r="G648" s="752" t="s">
        <v>1681</v>
      </c>
      <c r="H648" s="753">
        <v>52360</v>
      </c>
      <c r="I648" s="754">
        <v>822.57</v>
      </c>
      <c r="J648" s="754">
        <v>0</v>
      </c>
      <c r="K648" s="754">
        <v>0</v>
      </c>
      <c r="L648" s="754">
        <v>286.67</v>
      </c>
      <c r="M648" s="754">
        <f t="shared" si="45"/>
        <v>286.67</v>
      </c>
      <c r="N648" s="756">
        <v>822.57</v>
      </c>
      <c r="O648" s="720">
        <f t="shared" si="46"/>
        <v>0</v>
      </c>
    </row>
    <row r="649" spans="1:15" outlineLevel="2" x14ac:dyDescent="0.25">
      <c r="A649" s="207" t="str">
        <f>VLOOKUP(RIGHT(E649,3)+0,SchLocTable!$A$2:$B$47,2,FALSE)</f>
        <v>Dunbar</v>
      </c>
      <c r="B649" s="207" t="str">
        <f>VLOOKUP(VALUE(D649),$D$3:F$106,3,FALSE)</f>
        <v>School Clericals</v>
      </c>
      <c r="C649" s="755" t="s">
        <v>246</v>
      </c>
      <c r="D649" s="751" t="s">
        <v>325</v>
      </c>
      <c r="E649" s="751" t="s">
        <v>361</v>
      </c>
      <c r="F649" s="751" t="s">
        <v>292</v>
      </c>
      <c r="G649" s="752" t="s">
        <v>1681</v>
      </c>
      <c r="H649" s="753">
        <v>52385</v>
      </c>
      <c r="I649" s="754">
        <v>46.21</v>
      </c>
      <c r="J649" s="754">
        <v>0</v>
      </c>
      <c r="K649" s="754">
        <v>0</v>
      </c>
      <c r="L649" s="754">
        <v>46.21</v>
      </c>
      <c r="M649" s="754">
        <f t="shared" si="45"/>
        <v>46.21</v>
      </c>
      <c r="N649" s="756">
        <v>46.21</v>
      </c>
      <c r="O649" s="720">
        <f t="shared" si="46"/>
        <v>0</v>
      </c>
    </row>
    <row r="650" spans="1:15" outlineLevel="2" x14ac:dyDescent="0.25">
      <c r="A650" s="207" t="str">
        <f>VLOOKUP(RIGHT(E650,3)+0,SchLocTable!$A$2:$B$47,2,FALSE)</f>
        <v>Dunbar</v>
      </c>
      <c r="B650" s="207" t="str">
        <f>VLOOKUP(VALUE(D650),$D$3:F$106,3,FALSE)</f>
        <v>School Clericals</v>
      </c>
      <c r="C650" s="751" t="s">
        <v>246</v>
      </c>
      <c r="D650" s="751" t="s">
        <v>325</v>
      </c>
      <c r="E650" s="751" t="s">
        <v>361</v>
      </c>
      <c r="F650" s="751" t="s">
        <v>331</v>
      </c>
      <c r="G650" s="752" t="s">
        <v>1681</v>
      </c>
      <c r="H650" s="753">
        <v>52504</v>
      </c>
      <c r="I650" s="754">
        <v>11669.5</v>
      </c>
      <c r="J650" s="754">
        <v>0</v>
      </c>
      <c r="K650" s="754">
        <v>0</v>
      </c>
      <c r="L650" s="754">
        <v>4059.73</v>
      </c>
      <c r="M650" s="754">
        <f t="shared" si="45"/>
        <v>4059.73</v>
      </c>
      <c r="N650" s="756">
        <v>11669.5</v>
      </c>
      <c r="O650" s="720">
        <f t="shared" si="46"/>
        <v>0</v>
      </c>
    </row>
    <row r="651" spans="1:15" outlineLevel="2" x14ac:dyDescent="0.25">
      <c r="A651" s="207" t="str">
        <f>VLOOKUP(RIGHT(E651,3)+0,SchLocTable!$A$2:$B$47,2,FALSE)</f>
        <v>Dunbar</v>
      </c>
      <c r="B651" s="207" t="str">
        <f>VLOOKUP(VALUE(D651),$D$3:F$106,3,FALSE)</f>
        <v>School Clericals</v>
      </c>
      <c r="C651" s="751" t="s">
        <v>246</v>
      </c>
      <c r="D651" s="751" t="s">
        <v>325</v>
      </c>
      <c r="E651" s="751" t="s">
        <v>361</v>
      </c>
      <c r="F651" s="751" t="s">
        <v>259</v>
      </c>
      <c r="G651" s="752" t="s">
        <v>1681</v>
      </c>
      <c r="H651" s="753">
        <v>52917</v>
      </c>
      <c r="I651" s="754">
        <v>11585.79</v>
      </c>
      <c r="J651" s="754">
        <v>0</v>
      </c>
      <c r="K651" s="754">
        <v>0</v>
      </c>
      <c r="L651" s="754">
        <v>3551.2</v>
      </c>
      <c r="M651" s="754">
        <f t="shared" si="45"/>
        <v>3551.2</v>
      </c>
      <c r="N651" s="756">
        <v>11585.79</v>
      </c>
      <c r="O651" s="720">
        <f t="shared" si="46"/>
        <v>0</v>
      </c>
    </row>
    <row r="652" spans="1:15" outlineLevel="2" x14ac:dyDescent="0.25">
      <c r="A652" s="207" t="str">
        <f>VLOOKUP(RIGHT(E652,3)+0,SchLocTable!$A$2:$B$47,2,FALSE)</f>
        <v>Dunbar</v>
      </c>
      <c r="B652" s="207" t="str">
        <f>VLOOKUP(VALUE(D652),$D$3:F$106,3,FALSE)</f>
        <v>School Clericals</v>
      </c>
      <c r="C652" s="751" t="s">
        <v>246</v>
      </c>
      <c r="D652" s="751" t="s">
        <v>325</v>
      </c>
      <c r="E652" s="751" t="s">
        <v>361</v>
      </c>
      <c r="F652" s="751" t="s">
        <v>333</v>
      </c>
      <c r="G652" s="752" t="s">
        <v>1681</v>
      </c>
      <c r="H652" s="753">
        <v>52920</v>
      </c>
      <c r="I652" s="754">
        <v>0</v>
      </c>
      <c r="J652" s="754">
        <v>0</v>
      </c>
      <c r="K652" s="754">
        <v>0</v>
      </c>
      <c r="L652" s="754">
        <v>0</v>
      </c>
      <c r="M652" s="754">
        <f t="shared" si="45"/>
        <v>0</v>
      </c>
      <c r="N652" s="756">
        <v>0</v>
      </c>
      <c r="O652" s="720">
        <f t="shared" si="46"/>
        <v>0</v>
      </c>
    </row>
    <row r="653" spans="1:15" outlineLevel="2" x14ac:dyDescent="0.25">
      <c r="A653" s="207" t="str">
        <f>VLOOKUP(RIGHT(E653,3)+0,SchLocTable!$A$2:$B$47,2,FALSE)</f>
        <v>Curiale</v>
      </c>
      <c r="B653" s="207" t="str">
        <f>VLOOKUP(VALUE(D653),$D$3:F$106,3,FALSE)</f>
        <v>School Clericals</v>
      </c>
      <c r="C653" s="751" t="s">
        <v>246</v>
      </c>
      <c r="D653" s="751" t="s">
        <v>325</v>
      </c>
      <c r="E653" s="751" t="s">
        <v>362</v>
      </c>
      <c r="F653" s="751" t="s">
        <v>248</v>
      </c>
      <c r="G653" s="752">
        <v>2</v>
      </c>
      <c r="H653" s="753">
        <v>51000</v>
      </c>
      <c r="I653" s="754">
        <v>102305.33</v>
      </c>
      <c r="J653" s="754">
        <v>0</v>
      </c>
      <c r="K653" s="754">
        <v>0</v>
      </c>
      <c r="L653" s="754">
        <v>30799.69</v>
      </c>
      <c r="M653" s="754">
        <f t="shared" si="45"/>
        <v>30799.69</v>
      </c>
      <c r="N653" s="756">
        <v>102305.33</v>
      </c>
      <c r="O653" s="720">
        <f t="shared" si="46"/>
        <v>0</v>
      </c>
    </row>
    <row r="654" spans="1:15" outlineLevel="2" x14ac:dyDescent="0.25">
      <c r="A654" s="207" t="str">
        <f>VLOOKUP(RIGHT(E654,3)+0,SchLocTable!$A$2:$B$47,2,FALSE)</f>
        <v>Curiale</v>
      </c>
      <c r="B654" s="207" t="str">
        <f>VLOOKUP(VALUE(D654),$D$3:F$106,3,FALSE)</f>
        <v>School Clericals</v>
      </c>
      <c r="C654" s="751" t="s">
        <v>246</v>
      </c>
      <c r="D654" s="751" t="s">
        <v>325</v>
      </c>
      <c r="E654" s="751" t="s">
        <v>362</v>
      </c>
      <c r="F654" s="751" t="s">
        <v>257</v>
      </c>
      <c r="G654" s="752" t="s">
        <v>1681</v>
      </c>
      <c r="H654" s="753">
        <v>51140</v>
      </c>
      <c r="I654" s="754">
        <v>1960</v>
      </c>
      <c r="J654" s="754">
        <v>0</v>
      </c>
      <c r="K654" s="754">
        <v>0</v>
      </c>
      <c r="L654" s="754">
        <v>0</v>
      </c>
      <c r="M654" s="754">
        <f t="shared" si="45"/>
        <v>0</v>
      </c>
      <c r="N654" s="756">
        <v>1960</v>
      </c>
      <c r="O654" s="720">
        <f t="shared" si="46"/>
        <v>0</v>
      </c>
    </row>
    <row r="655" spans="1:15" outlineLevel="2" x14ac:dyDescent="0.25">
      <c r="A655" s="207" t="str">
        <f>VLOOKUP(RIGHT(E655,3)+0,SchLocTable!$A$2:$B$47,2,FALSE)</f>
        <v>Curiale</v>
      </c>
      <c r="B655" s="207" t="str">
        <f>VLOOKUP(VALUE(D655),$D$3:F$106,3,FALSE)</f>
        <v>School Clericals</v>
      </c>
      <c r="C655" s="751" t="s">
        <v>246</v>
      </c>
      <c r="D655" s="751" t="s">
        <v>325</v>
      </c>
      <c r="E655" s="751" t="s">
        <v>362</v>
      </c>
      <c r="F655" s="751" t="s">
        <v>254</v>
      </c>
      <c r="G655" s="752" t="s">
        <v>1681</v>
      </c>
      <c r="H655" s="753">
        <v>52360</v>
      </c>
      <c r="I655" s="754">
        <v>1379.93</v>
      </c>
      <c r="J655" s="754">
        <v>0</v>
      </c>
      <c r="K655" s="754">
        <v>0</v>
      </c>
      <c r="L655" s="754">
        <v>343.1</v>
      </c>
      <c r="M655" s="754">
        <f t="shared" si="45"/>
        <v>343.1</v>
      </c>
      <c r="N655" s="756">
        <v>1379.93</v>
      </c>
      <c r="O655" s="720">
        <f t="shared" si="46"/>
        <v>0</v>
      </c>
    </row>
    <row r="656" spans="1:15" outlineLevel="1" x14ac:dyDescent="0.25">
      <c r="A656" s="207" t="str">
        <f>VLOOKUP(RIGHT(E656,3)+0,SchLocTable!$A$2:$B$47,2,FALSE)</f>
        <v>Curiale</v>
      </c>
      <c r="B656" s="207" t="str">
        <f>VLOOKUP(VALUE(D656),$D$3:F$106,3,FALSE)</f>
        <v>School Clericals</v>
      </c>
      <c r="C656" s="751" t="s">
        <v>246</v>
      </c>
      <c r="D656" s="751" t="s">
        <v>325</v>
      </c>
      <c r="E656" s="751" t="s">
        <v>362</v>
      </c>
      <c r="F656" s="751" t="s">
        <v>331</v>
      </c>
      <c r="G656" s="752" t="s">
        <v>1681</v>
      </c>
      <c r="H656" s="753">
        <v>52504</v>
      </c>
      <c r="I656" s="754">
        <v>21064.6</v>
      </c>
      <c r="J656" s="754">
        <v>0</v>
      </c>
      <c r="K656" s="754">
        <v>0</v>
      </c>
      <c r="L656" s="754">
        <v>6341.59</v>
      </c>
      <c r="M656" s="754">
        <f t="shared" si="45"/>
        <v>6341.59</v>
      </c>
      <c r="N656" s="756">
        <v>21064.6</v>
      </c>
      <c r="O656" s="720">
        <f t="shared" si="46"/>
        <v>0</v>
      </c>
    </row>
    <row r="657" spans="1:15" outlineLevel="1" x14ac:dyDescent="0.25">
      <c r="A657" s="207" t="str">
        <f>VLOOKUP(RIGHT(E657,3)+0,SchLocTable!$A$2:$B$47,2,FALSE)</f>
        <v>Curiale</v>
      </c>
      <c r="B657" s="207" t="str">
        <f>VLOOKUP(VALUE(D657),$D$3:F$106,3,FALSE)</f>
        <v>School Clericals</v>
      </c>
      <c r="C657" s="755" t="s">
        <v>246</v>
      </c>
      <c r="D657" s="751" t="s">
        <v>325</v>
      </c>
      <c r="E657" s="751" t="s">
        <v>362</v>
      </c>
      <c r="F657" s="751" t="s">
        <v>259</v>
      </c>
      <c r="G657" s="752" t="s">
        <v>1681</v>
      </c>
      <c r="H657" s="753">
        <v>52917</v>
      </c>
      <c r="I657" s="754">
        <v>51445.71</v>
      </c>
      <c r="J657" s="754">
        <v>0</v>
      </c>
      <c r="K657" s="754">
        <v>0</v>
      </c>
      <c r="L657" s="754">
        <v>15768.8</v>
      </c>
      <c r="M657" s="754">
        <f t="shared" si="45"/>
        <v>15768.8</v>
      </c>
      <c r="N657" s="756">
        <v>51445.71</v>
      </c>
      <c r="O657" s="720">
        <f t="shared" si="46"/>
        <v>0</v>
      </c>
    </row>
    <row r="658" spans="1:15" outlineLevel="2" x14ac:dyDescent="0.25">
      <c r="A658" s="207" t="str">
        <f>VLOOKUP(RIGHT(E658,3)+0,SchLocTable!$A$2:$B$47,2,FALSE)</f>
        <v>Skane</v>
      </c>
      <c r="B658" s="207" t="str">
        <f>VLOOKUP(VALUE(D658),$D$3:F$106,3,FALSE)</f>
        <v>School Clericals</v>
      </c>
      <c r="C658" s="751" t="s">
        <v>246</v>
      </c>
      <c r="D658" s="751" t="s">
        <v>325</v>
      </c>
      <c r="E658" s="751" t="s">
        <v>363</v>
      </c>
      <c r="F658" s="751" t="s">
        <v>248</v>
      </c>
      <c r="G658" s="752">
        <v>2</v>
      </c>
      <c r="H658" s="753">
        <v>51000</v>
      </c>
      <c r="I658" s="754">
        <v>102443.72</v>
      </c>
      <c r="J658" s="754">
        <v>0</v>
      </c>
      <c r="K658" s="754">
        <v>0</v>
      </c>
      <c r="L658" s="754">
        <v>30938.080000000002</v>
      </c>
      <c r="M658" s="754">
        <f t="shared" si="45"/>
        <v>30938.080000000002</v>
      </c>
      <c r="N658" s="756">
        <v>102443.72</v>
      </c>
      <c r="O658" s="720">
        <f t="shared" si="46"/>
        <v>0</v>
      </c>
    </row>
    <row r="659" spans="1:15" outlineLevel="2" x14ac:dyDescent="0.25">
      <c r="A659" s="207" t="str">
        <f>VLOOKUP(RIGHT(E659,3)+0,SchLocTable!$A$2:$B$47,2,FALSE)</f>
        <v>Skane</v>
      </c>
      <c r="B659" s="207" t="str">
        <f>VLOOKUP(VALUE(D659),$D$3:F$106,3,FALSE)</f>
        <v>School Clericals</v>
      </c>
      <c r="C659" s="751" t="s">
        <v>246</v>
      </c>
      <c r="D659" s="751" t="s">
        <v>325</v>
      </c>
      <c r="E659" s="751" t="s">
        <v>363</v>
      </c>
      <c r="F659" s="751" t="s">
        <v>257</v>
      </c>
      <c r="G659" s="752" t="s">
        <v>1681</v>
      </c>
      <c r="H659" s="753">
        <v>51140</v>
      </c>
      <c r="I659" s="754">
        <v>1470</v>
      </c>
      <c r="J659" s="754">
        <v>0</v>
      </c>
      <c r="K659" s="754">
        <v>0</v>
      </c>
      <c r="L659" s="754">
        <v>0</v>
      </c>
      <c r="M659" s="754">
        <f t="shared" si="45"/>
        <v>0</v>
      </c>
      <c r="N659" s="756">
        <v>1470</v>
      </c>
      <c r="O659" s="720">
        <f t="shared" si="46"/>
        <v>0</v>
      </c>
    </row>
    <row r="660" spans="1:15" outlineLevel="2" x14ac:dyDescent="0.25">
      <c r="A660" s="207" t="str">
        <f>VLOOKUP(RIGHT(E660,3)+0,SchLocTable!$A$2:$B$47,2,FALSE)</f>
        <v>Skane</v>
      </c>
      <c r="B660" s="207" t="str">
        <f>VLOOKUP(VALUE(D660),$D$3:F$106,3,FALSE)</f>
        <v>School Clericals</v>
      </c>
      <c r="C660" s="751" t="s">
        <v>246</v>
      </c>
      <c r="D660" s="751" t="s">
        <v>325</v>
      </c>
      <c r="E660" s="751" t="s">
        <v>363</v>
      </c>
      <c r="F660" s="751" t="s">
        <v>254</v>
      </c>
      <c r="G660" s="752" t="s">
        <v>1681</v>
      </c>
      <c r="H660" s="753">
        <v>52360</v>
      </c>
      <c r="I660" s="754">
        <v>1460.98</v>
      </c>
      <c r="J660" s="754">
        <v>0</v>
      </c>
      <c r="K660" s="754">
        <v>0</v>
      </c>
      <c r="L660" s="754">
        <v>424.15</v>
      </c>
      <c r="M660" s="754">
        <f t="shared" si="45"/>
        <v>424.15</v>
      </c>
      <c r="N660" s="756">
        <v>1460.98</v>
      </c>
      <c r="O660" s="720">
        <f t="shared" si="46"/>
        <v>0</v>
      </c>
    </row>
    <row r="661" spans="1:15" outlineLevel="2" x14ac:dyDescent="0.25">
      <c r="A661" s="207" t="str">
        <f>VLOOKUP(RIGHT(E661,3)+0,SchLocTable!$A$2:$B$47,2,FALSE)</f>
        <v>Skane</v>
      </c>
      <c r="B661" s="207" t="str">
        <f>VLOOKUP(VALUE(D661),$D$3:F$106,3,FALSE)</f>
        <v>School Clericals</v>
      </c>
      <c r="C661" s="755" t="s">
        <v>246</v>
      </c>
      <c r="D661" s="751" t="s">
        <v>325</v>
      </c>
      <c r="E661" s="751" t="s">
        <v>363</v>
      </c>
      <c r="F661" s="751" t="s">
        <v>331</v>
      </c>
      <c r="G661" s="752" t="s">
        <v>1681</v>
      </c>
      <c r="H661" s="753">
        <v>52504</v>
      </c>
      <c r="I661" s="754">
        <v>21093.09</v>
      </c>
      <c r="J661" s="754">
        <v>0</v>
      </c>
      <c r="K661" s="754">
        <v>0</v>
      </c>
      <c r="L661" s="754">
        <v>6370.08</v>
      </c>
      <c r="M661" s="754">
        <f t="shared" si="45"/>
        <v>6370.08</v>
      </c>
      <c r="N661" s="756">
        <v>21093.09</v>
      </c>
      <c r="O661" s="720">
        <f t="shared" si="46"/>
        <v>0</v>
      </c>
    </row>
    <row r="662" spans="1:15" outlineLevel="2" x14ac:dyDescent="0.25">
      <c r="A662" s="207" t="str">
        <f>VLOOKUP(RIGHT(E662,3)+0,SchLocTable!$A$2:$B$47,2,FALSE)</f>
        <v>Skane</v>
      </c>
      <c r="B662" s="207" t="str">
        <f>VLOOKUP(VALUE(D662),$D$3:F$106,3,FALSE)</f>
        <v>School Clericals</v>
      </c>
      <c r="C662" s="751" t="s">
        <v>246</v>
      </c>
      <c r="D662" s="751" t="s">
        <v>325</v>
      </c>
      <c r="E662" s="751" t="s">
        <v>363</v>
      </c>
      <c r="F662" s="751" t="s">
        <v>259</v>
      </c>
      <c r="G662" s="752" t="s">
        <v>1681</v>
      </c>
      <c r="H662" s="753">
        <v>52917</v>
      </c>
      <c r="I662" s="754">
        <v>10263.040000000001</v>
      </c>
      <c r="J662" s="754">
        <v>0</v>
      </c>
      <c r="K662" s="754">
        <v>0</v>
      </c>
      <c r="L662" s="754">
        <v>3145.76</v>
      </c>
      <c r="M662" s="754">
        <f t="shared" si="45"/>
        <v>3145.76</v>
      </c>
      <c r="N662" s="756">
        <v>10263.040000000001</v>
      </c>
      <c r="O662" s="720">
        <f t="shared" si="46"/>
        <v>0</v>
      </c>
    </row>
    <row r="663" spans="1:15" outlineLevel="2" x14ac:dyDescent="0.25">
      <c r="A663" s="207" t="str">
        <f>VLOOKUP(RIGHT(E663,3)+0,SchLocTable!$A$2:$B$47,2,FALSE)</f>
        <v>Skane</v>
      </c>
      <c r="B663" s="207" t="str">
        <f>VLOOKUP(VALUE(D663),$D$3:F$106,3,FALSE)</f>
        <v>School Clericals</v>
      </c>
      <c r="C663" s="751" t="s">
        <v>246</v>
      </c>
      <c r="D663" s="751" t="s">
        <v>325</v>
      </c>
      <c r="E663" s="751" t="s">
        <v>363</v>
      </c>
      <c r="F663" s="751" t="s">
        <v>333</v>
      </c>
      <c r="G663" s="752" t="s">
        <v>1681</v>
      </c>
      <c r="H663" s="753">
        <v>52920</v>
      </c>
      <c r="I663" s="754">
        <v>500</v>
      </c>
      <c r="J663" s="754">
        <v>0</v>
      </c>
      <c r="K663" s="754">
        <v>0</v>
      </c>
      <c r="L663" s="754">
        <v>0</v>
      </c>
      <c r="M663" s="754">
        <f t="shared" si="45"/>
        <v>0</v>
      </c>
      <c r="N663" s="756">
        <v>500</v>
      </c>
      <c r="O663" s="720">
        <f t="shared" si="46"/>
        <v>0</v>
      </c>
    </row>
    <row r="664" spans="1:15" outlineLevel="2" x14ac:dyDescent="0.25">
      <c r="A664" s="207" t="str">
        <f>VLOOKUP(RIGHT(E664,3)+0,SchLocTable!$A$2:$B$47,2,FALSE)</f>
        <v>High Horizons Magnet</v>
      </c>
      <c r="B664" s="207" t="str">
        <f>VLOOKUP(VALUE(D664),$D$3:F$106,3,FALSE)</f>
        <v>School Clericals</v>
      </c>
      <c r="C664" s="751" t="s">
        <v>246</v>
      </c>
      <c r="D664" s="751" t="s">
        <v>325</v>
      </c>
      <c r="E664" s="751" t="s">
        <v>364</v>
      </c>
      <c r="F664" s="751" t="s">
        <v>248</v>
      </c>
      <c r="G664" s="752">
        <v>1</v>
      </c>
      <c r="H664" s="753">
        <v>51000</v>
      </c>
      <c r="I664" s="754">
        <v>51164.88</v>
      </c>
      <c r="J664" s="754">
        <v>0</v>
      </c>
      <c r="K664" s="754">
        <v>0</v>
      </c>
      <c r="L664" s="754">
        <v>20203.37</v>
      </c>
      <c r="M664" s="754">
        <f t="shared" si="45"/>
        <v>20203.37</v>
      </c>
      <c r="N664" s="756">
        <v>51164.88</v>
      </c>
      <c r="O664" s="720">
        <f t="shared" si="46"/>
        <v>0</v>
      </c>
    </row>
    <row r="665" spans="1:15" outlineLevel="2" x14ac:dyDescent="0.25">
      <c r="A665" s="207" t="str">
        <f>VLOOKUP(RIGHT(E665,3)+0,SchLocTable!$A$2:$B$47,2,FALSE)</f>
        <v>High Horizons Magnet</v>
      </c>
      <c r="B665" s="207" t="str">
        <f>VLOOKUP(VALUE(D665),$D$3:F$106,3,FALSE)</f>
        <v>School Clericals</v>
      </c>
      <c r="C665" s="751" t="s">
        <v>246</v>
      </c>
      <c r="D665" s="751" t="s">
        <v>325</v>
      </c>
      <c r="E665" s="751" t="s">
        <v>364</v>
      </c>
      <c r="F665" s="751" t="s">
        <v>257</v>
      </c>
      <c r="G665" s="752" t="s">
        <v>1681</v>
      </c>
      <c r="H665" s="753">
        <v>51140</v>
      </c>
      <c r="I665" s="754">
        <v>700</v>
      </c>
      <c r="J665" s="754">
        <v>0</v>
      </c>
      <c r="K665" s="754">
        <v>0</v>
      </c>
      <c r="L665" s="754">
        <v>0</v>
      </c>
      <c r="M665" s="754">
        <f t="shared" si="45"/>
        <v>0</v>
      </c>
      <c r="N665" s="756">
        <v>700</v>
      </c>
      <c r="O665" s="720">
        <f t="shared" si="46"/>
        <v>0</v>
      </c>
    </row>
    <row r="666" spans="1:15" outlineLevel="2" x14ac:dyDescent="0.25">
      <c r="A666" s="207" t="str">
        <f>VLOOKUP(RIGHT(E666,3)+0,SchLocTable!$A$2:$B$47,2,FALSE)</f>
        <v>High Horizons Magnet</v>
      </c>
      <c r="B666" s="207" t="str">
        <f>VLOOKUP(VALUE(D666),$D$3:F$106,3,FALSE)</f>
        <v>School Clericals</v>
      </c>
      <c r="C666" s="751" t="s">
        <v>246</v>
      </c>
      <c r="D666" s="751" t="s">
        <v>325</v>
      </c>
      <c r="E666" s="751" t="s">
        <v>364</v>
      </c>
      <c r="F666" s="751" t="s">
        <v>797</v>
      </c>
      <c r="G666" s="752" t="s">
        <v>1681</v>
      </c>
      <c r="H666" s="753">
        <v>51156</v>
      </c>
      <c r="I666" s="754">
        <v>0</v>
      </c>
      <c r="J666" s="754">
        <v>0</v>
      </c>
      <c r="K666" s="754">
        <v>0</v>
      </c>
      <c r="L666" s="754">
        <v>0</v>
      </c>
      <c r="M666" s="754">
        <f t="shared" si="45"/>
        <v>0</v>
      </c>
      <c r="N666" s="756">
        <v>0</v>
      </c>
      <c r="O666" s="720">
        <f t="shared" si="46"/>
        <v>0</v>
      </c>
    </row>
    <row r="667" spans="1:15" outlineLevel="2" x14ac:dyDescent="0.25">
      <c r="A667" s="207" t="str">
        <f>VLOOKUP(RIGHT(E667,3)+0,SchLocTable!$A$2:$B$47,2,FALSE)</f>
        <v>High Horizons Magnet</v>
      </c>
      <c r="B667" s="207" t="str">
        <f>VLOOKUP(VALUE(D667),$D$3:F$106,3,FALSE)</f>
        <v>School Clericals</v>
      </c>
      <c r="C667" s="751" t="s">
        <v>246</v>
      </c>
      <c r="D667" s="751" t="s">
        <v>325</v>
      </c>
      <c r="E667" s="751" t="s">
        <v>364</v>
      </c>
      <c r="F667" s="751" t="s">
        <v>254</v>
      </c>
      <c r="G667" s="752" t="s">
        <v>1681</v>
      </c>
      <c r="H667" s="753">
        <v>52360</v>
      </c>
      <c r="I667" s="754">
        <v>741.88</v>
      </c>
      <c r="J667" s="754">
        <v>0</v>
      </c>
      <c r="K667" s="754">
        <v>0</v>
      </c>
      <c r="L667" s="754">
        <v>292.94</v>
      </c>
      <c r="M667" s="754">
        <f t="shared" si="45"/>
        <v>292.94</v>
      </c>
      <c r="N667" s="756">
        <v>741.88</v>
      </c>
      <c r="O667" s="720">
        <f t="shared" si="46"/>
        <v>0</v>
      </c>
    </row>
    <row r="668" spans="1:15" outlineLevel="2" x14ac:dyDescent="0.25">
      <c r="A668" s="207" t="str">
        <f>VLOOKUP(RIGHT(E668,3)+0,SchLocTable!$A$2:$B$47,2,FALSE)</f>
        <v>High Horizons Magnet</v>
      </c>
      <c r="B668" s="207" t="str">
        <f>VLOOKUP(VALUE(D668),$D$3:F$106,3,FALSE)</f>
        <v>School Clericals</v>
      </c>
      <c r="C668" s="751" t="s">
        <v>246</v>
      </c>
      <c r="D668" s="751" t="s">
        <v>325</v>
      </c>
      <c r="E668" s="751" t="s">
        <v>364</v>
      </c>
      <c r="F668" s="751" t="s">
        <v>331</v>
      </c>
      <c r="G668" s="752" t="s">
        <v>1681</v>
      </c>
      <c r="H668" s="753">
        <v>52504</v>
      </c>
      <c r="I668" s="754">
        <v>9505.94</v>
      </c>
      <c r="J668" s="754">
        <v>0</v>
      </c>
      <c r="K668" s="754">
        <v>0</v>
      </c>
      <c r="L668" s="754">
        <v>3130.97</v>
      </c>
      <c r="M668" s="754">
        <f t="shared" si="45"/>
        <v>3130.97</v>
      </c>
      <c r="N668" s="756">
        <v>9505.94</v>
      </c>
      <c r="O668" s="720">
        <f t="shared" si="46"/>
        <v>0</v>
      </c>
    </row>
    <row r="669" spans="1:15" outlineLevel="2" x14ac:dyDescent="0.25">
      <c r="A669" s="207" t="str">
        <f>VLOOKUP(RIGHT(E669,3)+0,SchLocTable!$A$2:$B$47,2,FALSE)</f>
        <v>High Horizons Magnet</v>
      </c>
      <c r="B669" s="207" t="str">
        <f>VLOOKUP(VALUE(D669),$D$3:F$106,3,FALSE)</f>
        <v>School Clericals</v>
      </c>
      <c r="C669" s="751" t="s">
        <v>246</v>
      </c>
      <c r="D669" s="751" t="s">
        <v>325</v>
      </c>
      <c r="E669" s="751" t="s">
        <v>364</v>
      </c>
      <c r="F669" s="751" t="s">
        <v>259</v>
      </c>
      <c r="G669" s="752" t="s">
        <v>1681</v>
      </c>
      <c r="H669" s="753">
        <v>52917</v>
      </c>
      <c r="I669" s="754">
        <v>0</v>
      </c>
      <c r="J669" s="754">
        <v>0</v>
      </c>
      <c r="K669" s="754">
        <v>0</v>
      </c>
      <c r="L669" s="754">
        <v>0</v>
      </c>
      <c r="M669" s="754">
        <f t="shared" si="45"/>
        <v>0</v>
      </c>
      <c r="N669" s="756">
        <v>0</v>
      </c>
      <c r="O669" s="720">
        <f t="shared" si="46"/>
        <v>0</v>
      </c>
    </row>
    <row r="670" spans="1:15" outlineLevel="2" x14ac:dyDescent="0.25">
      <c r="A670" s="207" t="str">
        <f>VLOOKUP(RIGHT(E670,3)+0,SchLocTable!$A$2:$B$47,2,FALSE)</f>
        <v>High Horizons Magnet</v>
      </c>
      <c r="B670" s="207" t="str">
        <f>VLOOKUP(VALUE(D670),$D$3:F$106,3,FALSE)</f>
        <v>School Clericals</v>
      </c>
      <c r="C670" s="751" t="s">
        <v>246</v>
      </c>
      <c r="D670" s="751" t="s">
        <v>325</v>
      </c>
      <c r="E670" s="751" t="s">
        <v>364</v>
      </c>
      <c r="F670" s="751" t="s">
        <v>333</v>
      </c>
      <c r="G670" s="752" t="s">
        <v>1681</v>
      </c>
      <c r="H670" s="753">
        <v>52920</v>
      </c>
      <c r="I670" s="754">
        <v>500</v>
      </c>
      <c r="J670" s="754">
        <v>0</v>
      </c>
      <c r="K670" s="754">
        <v>0</v>
      </c>
      <c r="L670" s="754">
        <v>0</v>
      </c>
      <c r="M670" s="754">
        <f t="shared" si="45"/>
        <v>0</v>
      </c>
      <c r="N670" s="756">
        <v>500</v>
      </c>
      <c r="O670" s="720">
        <f t="shared" si="46"/>
        <v>0</v>
      </c>
    </row>
    <row r="671" spans="1:15" outlineLevel="2" x14ac:dyDescent="0.25">
      <c r="A671" s="207" t="str">
        <f>VLOOKUP(RIGHT(E671,3)+0,SchLocTable!$A$2:$B$47,2,FALSE)</f>
        <v>Multicultural Magnet</v>
      </c>
      <c r="B671" s="207" t="str">
        <f>VLOOKUP(VALUE(D671),$D$3:F$106,3,FALSE)</f>
        <v>School Clericals</v>
      </c>
      <c r="C671" s="751" t="s">
        <v>246</v>
      </c>
      <c r="D671" s="751" t="s">
        <v>325</v>
      </c>
      <c r="E671" s="751" t="s">
        <v>365</v>
      </c>
      <c r="F671" s="751" t="s">
        <v>248</v>
      </c>
      <c r="G671" s="752">
        <v>1</v>
      </c>
      <c r="H671" s="753">
        <v>51000</v>
      </c>
      <c r="I671" s="754">
        <v>52949.26</v>
      </c>
      <c r="J671" s="754">
        <v>0</v>
      </c>
      <c r="K671" s="754">
        <v>0</v>
      </c>
      <c r="L671" s="754">
        <v>15990.71</v>
      </c>
      <c r="M671" s="754">
        <f t="shared" si="45"/>
        <v>15990.71</v>
      </c>
      <c r="N671" s="756">
        <v>52949.26</v>
      </c>
      <c r="O671" s="720">
        <f t="shared" si="46"/>
        <v>0</v>
      </c>
    </row>
    <row r="672" spans="1:15" outlineLevel="2" x14ac:dyDescent="0.25">
      <c r="A672" s="207" t="str">
        <f>VLOOKUP(RIGHT(E672,3)+0,SchLocTable!$A$2:$B$47,2,FALSE)</f>
        <v>Multicultural Magnet</v>
      </c>
      <c r="B672" s="207" t="str">
        <f>VLOOKUP(VALUE(D672),$D$3:F$106,3,FALSE)</f>
        <v>School Clericals</v>
      </c>
      <c r="C672" s="751" t="s">
        <v>246</v>
      </c>
      <c r="D672" s="751" t="s">
        <v>325</v>
      </c>
      <c r="E672" s="751" t="s">
        <v>365</v>
      </c>
      <c r="F672" s="751" t="s">
        <v>257</v>
      </c>
      <c r="G672" s="752" t="s">
        <v>1681</v>
      </c>
      <c r="H672" s="753">
        <v>51140</v>
      </c>
      <c r="I672" s="754">
        <v>910</v>
      </c>
      <c r="J672" s="754">
        <v>0</v>
      </c>
      <c r="K672" s="754">
        <v>0</v>
      </c>
      <c r="L672" s="754">
        <v>0</v>
      </c>
      <c r="M672" s="754">
        <f t="shared" si="45"/>
        <v>0</v>
      </c>
      <c r="N672" s="756">
        <v>910</v>
      </c>
      <c r="O672" s="720">
        <f t="shared" si="46"/>
        <v>0</v>
      </c>
    </row>
    <row r="673" spans="1:15" outlineLevel="2" x14ac:dyDescent="0.25">
      <c r="A673" s="207" t="str">
        <f>VLOOKUP(RIGHT(E673,3)+0,SchLocTable!$A$2:$B$47,2,FALSE)</f>
        <v>Multicultural Magnet</v>
      </c>
      <c r="B673" s="207" t="str">
        <f>VLOOKUP(VALUE(D673),$D$3:F$106,3,FALSE)</f>
        <v>School Clericals</v>
      </c>
      <c r="C673" s="751" t="s">
        <v>246</v>
      </c>
      <c r="D673" s="751" t="s">
        <v>325</v>
      </c>
      <c r="E673" s="751" t="s">
        <v>365</v>
      </c>
      <c r="F673" s="751" t="s">
        <v>254</v>
      </c>
      <c r="G673" s="752" t="s">
        <v>1681</v>
      </c>
      <c r="H673" s="753">
        <v>52360</v>
      </c>
      <c r="I673" s="754">
        <v>727.79</v>
      </c>
      <c r="J673" s="754">
        <v>0</v>
      </c>
      <c r="K673" s="754">
        <v>0</v>
      </c>
      <c r="L673" s="754">
        <v>191.89</v>
      </c>
      <c r="M673" s="754">
        <f t="shared" si="45"/>
        <v>191.89</v>
      </c>
      <c r="N673" s="756">
        <v>727.79</v>
      </c>
      <c r="O673" s="720">
        <f t="shared" si="46"/>
        <v>0</v>
      </c>
    </row>
    <row r="674" spans="1:15" outlineLevel="2" x14ac:dyDescent="0.25">
      <c r="A674" s="207" t="str">
        <f>VLOOKUP(RIGHT(E674,3)+0,SchLocTable!$A$2:$B$47,2,FALSE)</f>
        <v>Multicultural Magnet</v>
      </c>
      <c r="B674" s="207" t="str">
        <f>VLOOKUP(VALUE(D674),$D$3:F$106,3,FALSE)</f>
        <v>School Clericals</v>
      </c>
      <c r="C674" s="751" t="s">
        <v>246</v>
      </c>
      <c r="D674" s="751" t="s">
        <v>325</v>
      </c>
      <c r="E674" s="751" t="s">
        <v>365</v>
      </c>
      <c r="F674" s="751" t="s">
        <v>331</v>
      </c>
      <c r="G674" s="752" t="s">
        <v>1681</v>
      </c>
      <c r="H674" s="753">
        <v>52504</v>
      </c>
      <c r="I674" s="754">
        <v>10902.25</v>
      </c>
      <c r="J674" s="754">
        <v>0</v>
      </c>
      <c r="K674" s="754">
        <v>0</v>
      </c>
      <c r="L674" s="754">
        <v>3292.48</v>
      </c>
      <c r="M674" s="754">
        <f t="shared" si="45"/>
        <v>3292.48</v>
      </c>
      <c r="N674" s="756">
        <v>10902.25</v>
      </c>
      <c r="O674" s="720">
        <f t="shared" si="46"/>
        <v>0</v>
      </c>
    </row>
    <row r="675" spans="1:15" outlineLevel="2" x14ac:dyDescent="0.25">
      <c r="A675" s="207" t="str">
        <f>VLOOKUP(RIGHT(E675,3)+0,SchLocTable!$A$2:$B$47,2,FALSE)</f>
        <v>Multicultural Magnet</v>
      </c>
      <c r="B675" s="207" t="str">
        <f>VLOOKUP(VALUE(D675),$D$3:F$106,3,FALSE)</f>
        <v>School Clericals</v>
      </c>
      <c r="C675" s="751" t="s">
        <v>246</v>
      </c>
      <c r="D675" s="751" t="s">
        <v>325</v>
      </c>
      <c r="E675" s="751" t="s">
        <v>365</v>
      </c>
      <c r="F675" s="751" t="s">
        <v>259</v>
      </c>
      <c r="G675" s="752" t="s">
        <v>1681</v>
      </c>
      <c r="H675" s="753">
        <v>52917</v>
      </c>
      <c r="I675" s="754">
        <v>27881.59</v>
      </c>
      <c r="J675" s="754">
        <v>0</v>
      </c>
      <c r="K675" s="754">
        <v>0</v>
      </c>
      <c r="L675" s="754">
        <v>8546.08</v>
      </c>
      <c r="M675" s="754">
        <f t="shared" si="45"/>
        <v>8546.08</v>
      </c>
      <c r="N675" s="756">
        <v>27881.59</v>
      </c>
      <c r="O675" s="720">
        <f t="shared" si="46"/>
        <v>0</v>
      </c>
    </row>
    <row r="676" spans="1:15" outlineLevel="2" x14ac:dyDescent="0.25">
      <c r="A676" s="207" t="str">
        <f>VLOOKUP(RIGHT(E676,3)+0,SchLocTable!$A$2:$B$47,2,FALSE)</f>
        <v>Bassick HS</v>
      </c>
      <c r="B676" s="207" t="str">
        <f>VLOOKUP(VALUE(D676),$D$3:F$106,3,FALSE)</f>
        <v>School Clericals</v>
      </c>
      <c r="C676" s="751" t="s">
        <v>246</v>
      </c>
      <c r="D676" s="751" t="s">
        <v>325</v>
      </c>
      <c r="E676" s="751" t="s">
        <v>366</v>
      </c>
      <c r="F676" s="751" t="s">
        <v>248</v>
      </c>
      <c r="G676" s="752">
        <v>5</v>
      </c>
      <c r="H676" s="753">
        <v>51000</v>
      </c>
      <c r="I676" s="754">
        <v>250927.04</v>
      </c>
      <c r="J676" s="754">
        <v>0</v>
      </c>
      <c r="K676" s="754">
        <v>0</v>
      </c>
      <c r="L676" s="754">
        <v>75780.149999999994</v>
      </c>
      <c r="M676" s="754">
        <f t="shared" si="45"/>
        <v>75780.149999999994</v>
      </c>
      <c r="N676" s="756">
        <v>250927.04</v>
      </c>
      <c r="O676" s="720">
        <f t="shared" si="46"/>
        <v>0</v>
      </c>
    </row>
    <row r="677" spans="1:15" outlineLevel="2" x14ac:dyDescent="0.25">
      <c r="A677" s="207" t="str">
        <f>VLOOKUP(RIGHT(E677,3)+0,SchLocTable!$A$2:$B$47,2,FALSE)</f>
        <v>Bassick HS</v>
      </c>
      <c r="B677" s="207" t="str">
        <f>VLOOKUP(VALUE(D677),$D$3:F$106,3,FALSE)</f>
        <v>School Clericals</v>
      </c>
      <c r="C677" s="751" t="s">
        <v>246</v>
      </c>
      <c r="D677" s="751" t="s">
        <v>325</v>
      </c>
      <c r="E677" s="751" t="s">
        <v>366</v>
      </c>
      <c r="F677" s="751" t="s">
        <v>340</v>
      </c>
      <c r="G677" s="752" t="s">
        <v>1681</v>
      </c>
      <c r="H677" s="753">
        <v>51106</v>
      </c>
      <c r="I677" s="754">
        <v>3749.31</v>
      </c>
      <c r="J677" s="754">
        <v>0</v>
      </c>
      <c r="K677" s="754">
        <v>0</v>
      </c>
      <c r="L677" s="754">
        <v>560.52</v>
      </c>
      <c r="M677" s="754">
        <f t="shared" si="45"/>
        <v>560.52</v>
      </c>
      <c r="N677" s="756">
        <v>3749.31</v>
      </c>
      <c r="O677" s="720">
        <f t="shared" si="46"/>
        <v>0</v>
      </c>
    </row>
    <row r="678" spans="1:15" outlineLevel="2" x14ac:dyDescent="0.25">
      <c r="A678" s="207" t="str">
        <f>VLOOKUP(RIGHT(E678,3)+0,SchLocTable!$A$2:$B$47,2,FALSE)</f>
        <v>Bassick HS</v>
      </c>
      <c r="B678" s="207" t="str">
        <f>VLOOKUP(VALUE(D678),$D$3:F$106,3,FALSE)</f>
        <v>School Clericals</v>
      </c>
      <c r="C678" s="751" t="s">
        <v>246</v>
      </c>
      <c r="D678" s="751" t="s">
        <v>325</v>
      </c>
      <c r="E678" s="751" t="s">
        <v>366</v>
      </c>
      <c r="F678" s="751" t="s">
        <v>378</v>
      </c>
      <c r="G678" s="752" t="s">
        <v>1681</v>
      </c>
      <c r="H678" s="753">
        <v>51108</v>
      </c>
      <c r="I678" s="754">
        <v>6055.33</v>
      </c>
      <c r="J678" s="754">
        <v>0</v>
      </c>
      <c r="K678" s="754">
        <v>0</v>
      </c>
      <c r="L678" s="754">
        <v>1271.97</v>
      </c>
      <c r="M678" s="754">
        <f t="shared" si="45"/>
        <v>1271.97</v>
      </c>
      <c r="N678" s="756">
        <v>6055.33</v>
      </c>
      <c r="O678" s="720">
        <f t="shared" si="46"/>
        <v>0</v>
      </c>
    </row>
    <row r="679" spans="1:15" outlineLevel="2" x14ac:dyDescent="0.25">
      <c r="A679" s="207" t="str">
        <f>VLOOKUP(RIGHT(E679,3)+0,SchLocTable!$A$2:$B$47,2,FALSE)</f>
        <v>Bassick HS</v>
      </c>
      <c r="B679" s="207" t="str">
        <f>VLOOKUP(VALUE(D679),$D$3:F$106,3,FALSE)</f>
        <v>School Clericals</v>
      </c>
      <c r="C679" s="751" t="s">
        <v>246</v>
      </c>
      <c r="D679" s="751" t="s">
        <v>325</v>
      </c>
      <c r="E679" s="751" t="s">
        <v>366</v>
      </c>
      <c r="F679" s="751" t="s">
        <v>257</v>
      </c>
      <c r="G679" s="752" t="s">
        <v>1681</v>
      </c>
      <c r="H679" s="753">
        <v>51140</v>
      </c>
      <c r="I679" s="754">
        <v>6070</v>
      </c>
      <c r="J679" s="754">
        <v>0</v>
      </c>
      <c r="K679" s="754">
        <v>0</v>
      </c>
      <c r="L679" s="754">
        <v>0</v>
      </c>
      <c r="M679" s="754">
        <f t="shared" si="45"/>
        <v>0</v>
      </c>
      <c r="N679" s="756">
        <v>6070</v>
      </c>
      <c r="O679" s="720">
        <f t="shared" si="46"/>
        <v>0</v>
      </c>
    </row>
    <row r="680" spans="1:15" outlineLevel="2" x14ac:dyDescent="0.25">
      <c r="A680" s="207" t="str">
        <f>VLOOKUP(RIGHT(E680,3)+0,SchLocTable!$A$2:$B$47,2,FALSE)</f>
        <v>Bassick HS</v>
      </c>
      <c r="B680" s="207" t="str">
        <f>VLOOKUP(VALUE(D680),$D$3:F$106,3,FALSE)</f>
        <v>School Clericals</v>
      </c>
      <c r="C680" s="751" t="s">
        <v>246</v>
      </c>
      <c r="D680" s="751" t="s">
        <v>325</v>
      </c>
      <c r="E680" s="751" t="s">
        <v>366</v>
      </c>
      <c r="F680" s="751" t="s">
        <v>797</v>
      </c>
      <c r="G680" s="752" t="s">
        <v>1681</v>
      </c>
      <c r="H680" s="753">
        <v>51156</v>
      </c>
      <c r="I680" s="754">
        <v>0</v>
      </c>
      <c r="J680" s="754">
        <v>0</v>
      </c>
      <c r="K680" s="754">
        <v>0</v>
      </c>
      <c r="L680" s="754">
        <v>0</v>
      </c>
      <c r="M680" s="754">
        <f t="shared" si="45"/>
        <v>0</v>
      </c>
      <c r="N680" s="756">
        <v>0</v>
      </c>
      <c r="O680" s="720">
        <f t="shared" si="46"/>
        <v>0</v>
      </c>
    </row>
    <row r="681" spans="1:15" outlineLevel="2" x14ac:dyDescent="0.25">
      <c r="A681" s="207" t="str">
        <f>VLOOKUP(RIGHT(E681,3)+0,SchLocTable!$A$2:$B$47,2,FALSE)</f>
        <v>Bassick HS</v>
      </c>
      <c r="B681" s="207" t="str">
        <f>VLOOKUP(VALUE(D681),$D$3:F$106,3,FALSE)</f>
        <v>School Clericals</v>
      </c>
      <c r="C681" s="751" t="s">
        <v>246</v>
      </c>
      <c r="D681" s="751" t="s">
        <v>325</v>
      </c>
      <c r="E681" s="751" t="s">
        <v>366</v>
      </c>
      <c r="F681" s="751" t="s">
        <v>254</v>
      </c>
      <c r="G681" s="752" t="s">
        <v>1681</v>
      </c>
      <c r="H681" s="753">
        <v>52360</v>
      </c>
      <c r="I681" s="754">
        <v>3731.69</v>
      </c>
      <c r="J681" s="754">
        <v>0</v>
      </c>
      <c r="K681" s="754">
        <v>0</v>
      </c>
      <c r="L681" s="754">
        <v>1076.46</v>
      </c>
      <c r="M681" s="754">
        <f t="shared" si="45"/>
        <v>1076.46</v>
      </c>
      <c r="N681" s="756">
        <v>3731.69</v>
      </c>
      <c r="O681" s="720">
        <f t="shared" si="46"/>
        <v>0</v>
      </c>
    </row>
    <row r="682" spans="1:15" outlineLevel="2" x14ac:dyDescent="0.25">
      <c r="A682" s="207" t="str">
        <f>VLOOKUP(RIGHT(E682,3)+0,SchLocTable!$A$2:$B$47,2,FALSE)</f>
        <v>Bassick HS</v>
      </c>
      <c r="B682" s="207" t="str">
        <f>VLOOKUP(VALUE(D682),$D$3:F$106,3,FALSE)</f>
        <v>School Clericals</v>
      </c>
      <c r="C682" s="751" t="s">
        <v>246</v>
      </c>
      <c r="D682" s="751" t="s">
        <v>325</v>
      </c>
      <c r="E682" s="751" t="s">
        <v>366</v>
      </c>
      <c r="F682" s="751" t="s">
        <v>331</v>
      </c>
      <c r="G682" s="752" t="s">
        <v>1681</v>
      </c>
      <c r="H682" s="753">
        <v>52504</v>
      </c>
      <c r="I682" s="754">
        <v>53684.41</v>
      </c>
      <c r="J682" s="754">
        <v>0</v>
      </c>
      <c r="K682" s="754">
        <v>0</v>
      </c>
      <c r="L682" s="754">
        <v>15980.2</v>
      </c>
      <c r="M682" s="754">
        <f t="shared" si="45"/>
        <v>15980.2</v>
      </c>
      <c r="N682" s="756">
        <v>53684.41</v>
      </c>
      <c r="O682" s="720">
        <f t="shared" si="46"/>
        <v>0</v>
      </c>
    </row>
    <row r="683" spans="1:15" outlineLevel="2" x14ac:dyDescent="0.25">
      <c r="A683" s="207" t="str">
        <f>VLOOKUP(RIGHT(E683,3)+0,SchLocTable!$A$2:$B$47,2,FALSE)</f>
        <v>Bassick HS</v>
      </c>
      <c r="B683" s="207" t="str">
        <f>VLOOKUP(VALUE(D683),$D$3:F$106,3,FALSE)</f>
        <v>School Clericals</v>
      </c>
      <c r="C683" s="751" t="s">
        <v>246</v>
      </c>
      <c r="D683" s="751" t="s">
        <v>325</v>
      </c>
      <c r="E683" s="751" t="s">
        <v>366</v>
      </c>
      <c r="F683" s="751" t="s">
        <v>259</v>
      </c>
      <c r="G683" s="752" t="s">
        <v>1681</v>
      </c>
      <c r="H683" s="753">
        <v>52917</v>
      </c>
      <c r="I683" s="754">
        <v>69264.7</v>
      </c>
      <c r="J683" s="754">
        <v>0</v>
      </c>
      <c r="K683" s="754">
        <v>0</v>
      </c>
      <c r="L683" s="754">
        <v>21230.560000000001</v>
      </c>
      <c r="M683" s="754">
        <f t="shared" si="45"/>
        <v>21230.560000000001</v>
      </c>
      <c r="N683" s="756">
        <v>69264.7</v>
      </c>
      <c r="O683" s="720">
        <f t="shared" si="46"/>
        <v>0</v>
      </c>
    </row>
    <row r="684" spans="1:15" outlineLevel="2" x14ac:dyDescent="0.25">
      <c r="A684" s="207" t="str">
        <f>VLOOKUP(RIGHT(E684,3)+0,SchLocTable!$A$2:$B$47,2,FALSE)</f>
        <v>Bassick HS</v>
      </c>
      <c r="B684" s="207" t="str">
        <f>VLOOKUP(VALUE(D684),$D$3:F$106,3,FALSE)</f>
        <v>School Clericals</v>
      </c>
      <c r="C684" s="751" t="s">
        <v>246</v>
      </c>
      <c r="D684" s="751" t="s">
        <v>325</v>
      </c>
      <c r="E684" s="751" t="s">
        <v>366</v>
      </c>
      <c r="F684" s="751" t="s">
        <v>333</v>
      </c>
      <c r="G684" s="752" t="s">
        <v>1681</v>
      </c>
      <c r="H684" s="753">
        <v>52920</v>
      </c>
      <c r="I684" s="754">
        <v>500</v>
      </c>
      <c r="J684" s="754">
        <v>0</v>
      </c>
      <c r="K684" s="754">
        <v>0</v>
      </c>
      <c r="L684" s="754">
        <v>0</v>
      </c>
      <c r="M684" s="754">
        <f t="shared" si="45"/>
        <v>0</v>
      </c>
      <c r="N684" s="756">
        <v>500</v>
      </c>
      <c r="O684" s="720">
        <f t="shared" si="46"/>
        <v>0</v>
      </c>
    </row>
    <row r="685" spans="1:15" outlineLevel="2" x14ac:dyDescent="0.25">
      <c r="A685" s="207" t="str">
        <f>VLOOKUP(RIGHT(E685,3)+0,SchLocTable!$A$2:$B$47,2,FALSE)</f>
        <v>Central HS</v>
      </c>
      <c r="B685" s="207" t="str">
        <f>VLOOKUP(VALUE(D685),$D$3:F$106,3,FALSE)</f>
        <v>School Clericals</v>
      </c>
      <c r="C685" s="751" t="s">
        <v>246</v>
      </c>
      <c r="D685" s="751" t="s">
        <v>325</v>
      </c>
      <c r="E685" s="751" t="s">
        <v>367</v>
      </c>
      <c r="F685" s="751" t="s">
        <v>248</v>
      </c>
      <c r="G685" s="752">
        <v>6</v>
      </c>
      <c r="H685" s="753">
        <v>51000</v>
      </c>
      <c r="I685" s="754">
        <v>296905.05</v>
      </c>
      <c r="J685" s="754">
        <v>0</v>
      </c>
      <c r="K685" s="754">
        <v>0</v>
      </c>
      <c r="L685" s="754">
        <v>89884.79</v>
      </c>
      <c r="M685" s="754">
        <f t="shared" si="45"/>
        <v>89884.79</v>
      </c>
      <c r="N685" s="756">
        <v>296905.05</v>
      </c>
      <c r="O685" s="720">
        <f t="shared" si="46"/>
        <v>0</v>
      </c>
    </row>
    <row r="686" spans="1:15" outlineLevel="2" x14ac:dyDescent="0.25">
      <c r="A686" s="207" t="str">
        <f>VLOOKUP(RIGHT(E686,3)+0,SchLocTable!$A$2:$B$47,2,FALSE)</f>
        <v>Central HS</v>
      </c>
      <c r="B686" s="207" t="str">
        <f>VLOOKUP(VALUE(D686),$D$3:F$106,3,FALSE)</f>
        <v>School Clericals</v>
      </c>
      <c r="C686" s="751" t="s">
        <v>246</v>
      </c>
      <c r="D686" s="751" t="s">
        <v>325</v>
      </c>
      <c r="E686" s="751" t="s">
        <v>367</v>
      </c>
      <c r="F686" s="751" t="s">
        <v>257</v>
      </c>
      <c r="G686" s="752" t="s">
        <v>1681</v>
      </c>
      <c r="H686" s="753">
        <v>51140</v>
      </c>
      <c r="I686" s="754">
        <v>5650</v>
      </c>
      <c r="J686" s="754">
        <v>0</v>
      </c>
      <c r="K686" s="754">
        <v>0</v>
      </c>
      <c r="L686" s="754">
        <v>1875</v>
      </c>
      <c r="M686" s="754">
        <f t="shared" si="45"/>
        <v>1875</v>
      </c>
      <c r="N686" s="756">
        <v>5650</v>
      </c>
      <c r="O686" s="720">
        <f t="shared" si="46"/>
        <v>0</v>
      </c>
    </row>
    <row r="687" spans="1:15" outlineLevel="2" x14ac:dyDescent="0.25">
      <c r="A687" s="207" t="str">
        <f>VLOOKUP(RIGHT(E687,3)+0,SchLocTable!$A$2:$B$47,2,FALSE)</f>
        <v>Central HS</v>
      </c>
      <c r="B687" s="207" t="str">
        <f>VLOOKUP(VALUE(D687),$D$3:F$106,3,FALSE)</f>
        <v>School Clericals</v>
      </c>
      <c r="C687" s="751" t="s">
        <v>246</v>
      </c>
      <c r="D687" s="751" t="s">
        <v>325</v>
      </c>
      <c r="E687" s="751" t="s">
        <v>367</v>
      </c>
      <c r="F687" s="751" t="s">
        <v>797</v>
      </c>
      <c r="G687" s="752" t="s">
        <v>1681</v>
      </c>
      <c r="H687" s="753">
        <v>51156</v>
      </c>
      <c r="I687" s="754">
        <v>0</v>
      </c>
      <c r="J687" s="754">
        <v>0</v>
      </c>
      <c r="K687" s="754">
        <v>0</v>
      </c>
      <c r="L687" s="754">
        <v>0</v>
      </c>
      <c r="M687" s="754">
        <f t="shared" si="45"/>
        <v>0</v>
      </c>
      <c r="N687" s="756">
        <v>0</v>
      </c>
      <c r="O687" s="720">
        <f t="shared" si="46"/>
        <v>0</v>
      </c>
    </row>
    <row r="688" spans="1:15" outlineLevel="2" x14ac:dyDescent="0.25">
      <c r="A688" s="207" t="str">
        <f>VLOOKUP(RIGHT(E688,3)+0,SchLocTable!$A$2:$B$47,2,FALSE)</f>
        <v>Central HS</v>
      </c>
      <c r="B688" s="207" t="str">
        <f>VLOOKUP(VALUE(D688),$D$3:F$106,3,FALSE)</f>
        <v>School Clericals</v>
      </c>
      <c r="C688" s="755" t="s">
        <v>246</v>
      </c>
      <c r="D688" s="751" t="s">
        <v>325</v>
      </c>
      <c r="E688" s="751" t="s">
        <v>367</v>
      </c>
      <c r="F688" s="751" t="s">
        <v>254</v>
      </c>
      <c r="G688" s="752" t="s">
        <v>1681</v>
      </c>
      <c r="H688" s="753">
        <v>52360</v>
      </c>
      <c r="I688" s="754">
        <v>4209.3999999999996</v>
      </c>
      <c r="J688" s="754">
        <v>0</v>
      </c>
      <c r="K688" s="754">
        <v>0</v>
      </c>
      <c r="L688" s="754">
        <v>1207.6099999999999</v>
      </c>
      <c r="M688" s="754">
        <f t="shared" si="45"/>
        <v>1207.6099999999999</v>
      </c>
      <c r="N688" s="756">
        <v>4209.3999999999996</v>
      </c>
      <c r="O688" s="720">
        <f t="shared" si="46"/>
        <v>0</v>
      </c>
    </row>
    <row r="689" spans="1:15" outlineLevel="2" x14ac:dyDescent="0.25">
      <c r="A689" s="207" t="str">
        <f>VLOOKUP(RIGHT(E689,3)+0,SchLocTable!$A$2:$B$47,2,FALSE)</f>
        <v>Central HS</v>
      </c>
      <c r="B689" s="207" t="str">
        <f>VLOOKUP(VALUE(D689),$D$3:F$106,3,FALSE)</f>
        <v>School Clericals</v>
      </c>
      <c r="C689" s="751" t="s">
        <v>246</v>
      </c>
      <c r="D689" s="751" t="s">
        <v>325</v>
      </c>
      <c r="E689" s="751" t="s">
        <v>367</v>
      </c>
      <c r="F689" s="751" t="s">
        <v>331</v>
      </c>
      <c r="G689" s="752" t="s">
        <v>1681</v>
      </c>
      <c r="H689" s="753">
        <v>52504</v>
      </c>
      <c r="I689" s="754">
        <v>61518.57</v>
      </c>
      <c r="J689" s="754">
        <v>0</v>
      </c>
      <c r="K689" s="754">
        <v>0</v>
      </c>
      <c r="L689" s="754">
        <v>18893.099999999999</v>
      </c>
      <c r="M689" s="754">
        <f t="shared" si="45"/>
        <v>18893.099999999999</v>
      </c>
      <c r="N689" s="756">
        <v>61518.57</v>
      </c>
      <c r="O689" s="720">
        <f t="shared" si="46"/>
        <v>0</v>
      </c>
    </row>
    <row r="690" spans="1:15" outlineLevel="2" x14ac:dyDescent="0.25">
      <c r="A690" s="207" t="str">
        <f>VLOOKUP(RIGHT(E690,3)+0,SchLocTable!$A$2:$B$47,2,FALSE)</f>
        <v>Central HS</v>
      </c>
      <c r="B690" s="207" t="str">
        <f>VLOOKUP(VALUE(D690),$D$3:F$106,3,FALSE)</f>
        <v>School Clericals</v>
      </c>
      <c r="C690" s="751" t="s">
        <v>246</v>
      </c>
      <c r="D690" s="751" t="s">
        <v>325</v>
      </c>
      <c r="E690" s="751" t="s">
        <v>367</v>
      </c>
      <c r="F690" s="751" t="s">
        <v>259</v>
      </c>
      <c r="G690" s="752" t="s">
        <v>1681</v>
      </c>
      <c r="H690" s="753">
        <v>52917</v>
      </c>
      <c r="I690" s="754">
        <v>79003.13</v>
      </c>
      <c r="J690" s="754">
        <v>0</v>
      </c>
      <c r="K690" s="754">
        <v>0</v>
      </c>
      <c r="L690" s="754">
        <v>24215.52</v>
      </c>
      <c r="M690" s="754">
        <f t="shared" si="45"/>
        <v>24215.52</v>
      </c>
      <c r="N690" s="756">
        <v>79003.13</v>
      </c>
      <c r="O690" s="720">
        <f t="shared" si="46"/>
        <v>0</v>
      </c>
    </row>
    <row r="691" spans="1:15" outlineLevel="2" x14ac:dyDescent="0.25">
      <c r="A691" s="207" t="str">
        <f>VLOOKUP(RIGHT(E691,3)+0,SchLocTable!$A$2:$B$47,2,FALSE)</f>
        <v>Central HS</v>
      </c>
      <c r="B691" s="207" t="str">
        <f>VLOOKUP(VALUE(D691),$D$3:F$106,3,FALSE)</f>
        <v>School Clericals</v>
      </c>
      <c r="C691" s="751" t="s">
        <v>246</v>
      </c>
      <c r="D691" s="751" t="s">
        <v>325</v>
      </c>
      <c r="E691" s="751" t="s">
        <v>367</v>
      </c>
      <c r="F691" s="751" t="s">
        <v>333</v>
      </c>
      <c r="G691" s="752" t="s">
        <v>1681</v>
      </c>
      <c r="H691" s="753">
        <v>52920</v>
      </c>
      <c r="I691" s="754">
        <v>500</v>
      </c>
      <c r="J691" s="754">
        <v>0</v>
      </c>
      <c r="K691" s="754">
        <v>0</v>
      </c>
      <c r="L691" s="754">
        <v>0</v>
      </c>
      <c r="M691" s="754">
        <f t="shared" si="45"/>
        <v>0</v>
      </c>
      <c r="N691" s="756">
        <v>500</v>
      </c>
      <c r="O691" s="720">
        <f t="shared" si="46"/>
        <v>0</v>
      </c>
    </row>
    <row r="692" spans="1:15" outlineLevel="2" x14ac:dyDescent="0.25">
      <c r="A692" s="207" t="str">
        <f>VLOOKUP(RIGHT(E692,3)+0,SchLocTable!$A$2:$B$47,2,FALSE)</f>
        <v>Harding HS</v>
      </c>
      <c r="B692" s="207" t="str">
        <f>VLOOKUP(VALUE(D692),$D$3:F$106,3,FALSE)</f>
        <v>School Clericals</v>
      </c>
      <c r="C692" s="751" t="s">
        <v>246</v>
      </c>
      <c r="D692" s="751" t="s">
        <v>325</v>
      </c>
      <c r="E692" s="751" t="s">
        <v>368</v>
      </c>
      <c r="F692" s="751" t="s">
        <v>248</v>
      </c>
      <c r="G692" s="752">
        <v>6</v>
      </c>
      <c r="H692" s="753">
        <v>51000</v>
      </c>
      <c r="I692" s="754">
        <v>312166.11</v>
      </c>
      <c r="J692" s="754">
        <v>0</v>
      </c>
      <c r="K692" s="754">
        <v>0</v>
      </c>
      <c r="L692" s="754">
        <v>94274.4</v>
      </c>
      <c r="M692" s="754">
        <f t="shared" si="45"/>
        <v>94274.4</v>
      </c>
      <c r="N692" s="756">
        <v>312166.11</v>
      </c>
      <c r="O692" s="720">
        <f t="shared" si="46"/>
        <v>0</v>
      </c>
    </row>
    <row r="693" spans="1:15" outlineLevel="2" x14ac:dyDescent="0.25">
      <c r="A693" s="207" t="str">
        <f>VLOOKUP(RIGHT(E693,3)+0,SchLocTable!$A$2:$B$47,2,FALSE)</f>
        <v>Harding HS</v>
      </c>
      <c r="B693" s="207" t="str">
        <f>VLOOKUP(VALUE(D693),$D$3:F$106,3,FALSE)</f>
        <v>School Clericals</v>
      </c>
      <c r="C693" s="751" t="s">
        <v>246</v>
      </c>
      <c r="D693" s="751" t="s">
        <v>325</v>
      </c>
      <c r="E693" s="751" t="s">
        <v>368</v>
      </c>
      <c r="F693" s="751" t="s">
        <v>257</v>
      </c>
      <c r="G693" s="752" t="s">
        <v>1681</v>
      </c>
      <c r="H693" s="753">
        <v>51140</v>
      </c>
      <c r="I693" s="754">
        <v>5400</v>
      </c>
      <c r="J693" s="754">
        <v>0</v>
      </c>
      <c r="K693" s="754">
        <v>0</v>
      </c>
      <c r="L693" s="754">
        <v>0</v>
      </c>
      <c r="M693" s="754">
        <f t="shared" si="45"/>
        <v>0</v>
      </c>
      <c r="N693" s="756">
        <v>5400</v>
      </c>
      <c r="O693" s="720">
        <f t="shared" si="46"/>
        <v>0</v>
      </c>
    </row>
    <row r="694" spans="1:15" outlineLevel="2" x14ac:dyDescent="0.25">
      <c r="A694" s="207" t="str">
        <f>VLOOKUP(RIGHT(E694,3)+0,SchLocTable!$A$2:$B$47,2,FALSE)</f>
        <v>Harding HS</v>
      </c>
      <c r="B694" s="207" t="str">
        <f>VLOOKUP(VALUE(D694),$D$3:F$106,3,FALSE)</f>
        <v>School Clericals</v>
      </c>
      <c r="C694" s="755" t="s">
        <v>246</v>
      </c>
      <c r="D694" s="751" t="s">
        <v>325</v>
      </c>
      <c r="E694" s="751" t="s">
        <v>368</v>
      </c>
      <c r="F694" s="751" t="s">
        <v>797</v>
      </c>
      <c r="G694" s="752" t="s">
        <v>1681</v>
      </c>
      <c r="H694" s="753">
        <v>51156</v>
      </c>
      <c r="I694" s="754">
        <v>0</v>
      </c>
      <c r="J694" s="754">
        <v>0</v>
      </c>
      <c r="K694" s="754">
        <v>0</v>
      </c>
      <c r="L694" s="754">
        <v>0</v>
      </c>
      <c r="M694" s="754">
        <f t="shared" si="45"/>
        <v>0</v>
      </c>
      <c r="N694" s="756">
        <v>0</v>
      </c>
      <c r="O694" s="720">
        <f t="shared" si="46"/>
        <v>0</v>
      </c>
    </row>
    <row r="695" spans="1:15" outlineLevel="2" x14ac:dyDescent="0.25">
      <c r="A695" s="207" t="str">
        <f>VLOOKUP(RIGHT(E695,3)+0,SchLocTable!$A$2:$B$47,2,FALSE)</f>
        <v>Harding HS</v>
      </c>
      <c r="B695" s="207" t="str">
        <f>VLOOKUP(VALUE(D695),$D$3:F$106,3,FALSE)</f>
        <v>School Clericals</v>
      </c>
      <c r="C695" s="751" t="s">
        <v>246</v>
      </c>
      <c r="D695" s="751" t="s">
        <v>325</v>
      </c>
      <c r="E695" s="751" t="s">
        <v>368</v>
      </c>
      <c r="F695" s="751" t="s">
        <v>254</v>
      </c>
      <c r="G695" s="752" t="s">
        <v>1681</v>
      </c>
      <c r="H695" s="753">
        <v>52360</v>
      </c>
      <c r="I695" s="754">
        <v>3994.05</v>
      </c>
      <c r="J695" s="754">
        <v>0</v>
      </c>
      <c r="K695" s="754">
        <v>0</v>
      </c>
      <c r="L695" s="754">
        <v>834.62</v>
      </c>
      <c r="M695" s="754">
        <f t="shared" si="45"/>
        <v>834.62</v>
      </c>
      <c r="N695" s="756">
        <v>3994.05</v>
      </c>
      <c r="O695" s="720">
        <f t="shared" si="46"/>
        <v>0</v>
      </c>
    </row>
    <row r="696" spans="1:15" outlineLevel="2" x14ac:dyDescent="0.25">
      <c r="A696" s="207" t="str">
        <f>VLOOKUP(RIGHT(E696,3)+0,SchLocTable!$A$2:$B$47,2,FALSE)</f>
        <v>Harding HS</v>
      </c>
      <c r="B696" s="207" t="str">
        <f>VLOOKUP(VALUE(D696),$D$3:F$106,3,FALSE)</f>
        <v>School Clericals</v>
      </c>
      <c r="C696" s="751" t="s">
        <v>246</v>
      </c>
      <c r="D696" s="751" t="s">
        <v>325</v>
      </c>
      <c r="E696" s="751" t="s">
        <v>368</v>
      </c>
      <c r="F696" s="751" t="s">
        <v>331</v>
      </c>
      <c r="G696" s="752" t="s">
        <v>1681</v>
      </c>
      <c r="H696" s="753">
        <v>52504</v>
      </c>
      <c r="I696" s="754">
        <v>64274.78</v>
      </c>
      <c r="J696" s="754">
        <v>0</v>
      </c>
      <c r="K696" s="754">
        <v>0</v>
      </c>
      <c r="L696" s="754">
        <v>19410.88</v>
      </c>
      <c r="M696" s="754">
        <f t="shared" si="45"/>
        <v>19410.88</v>
      </c>
      <c r="N696" s="756">
        <v>64274.78</v>
      </c>
      <c r="O696" s="720">
        <f t="shared" si="46"/>
        <v>0</v>
      </c>
    </row>
    <row r="697" spans="1:15" outlineLevel="2" x14ac:dyDescent="0.25">
      <c r="A697" s="207" t="str">
        <f>VLOOKUP(RIGHT(E697,3)+0,SchLocTable!$A$2:$B$47,2,FALSE)</f>
        <v>Harding HS</v>
      </c>
      <c r="B697" s="207" t="str">
        <f>VLOOKUP(VALUE(D697),$D$3:F$106,3,FALSE)</f>
        <v>School Clericals</v>
      </c>
      <c r="C697" s="751" t="s">
        <v>246</v>
      </c>
      <c r="D697" s="751" t="s">
        <v>325</v>
      </c>
      <c r="E697" s="751" t="s">
        <v>368</v>
      </c>
      <c r="F697" s="751" t="s">
        <v>259</v>
      </c>
      <c r="G697" s="752" t="s">
        <v>1681</v>
      </c>
      <c r="H697" s="753">
        <v>52917</v>
      </c>
      <c r="I697" s="754">
        <v>77633.929999999993</v>
      </c>
      <c r="J697" s="754">
        <v>0</v>
      </c>
      <c r="K697" s="754">
        <v>0</v>
      </c>
      <c r="L697" s="754">
        <v>23795.84</v>
      </c>
      <c r="M697" s="754">
        <f t="shared" si="45"/>
        <v>23795.84</v>
      </c>
      <c r="N697" s="756">
        <v>77633.929999999993</v>
      </c>
      <c r="O697" s="720">
        <f t="shared" si="46"/>
        <v>0</v>
      </c>
    </row>
    <row r="698" spans="1:15" outlineLevel="2" x14ac:dyDescent="0.25">
      <c r="A698" s="207" t="str">
        <f>VLOOKUP(RIGHT(E698,3)+0,SchLocTable!$A$2:$B$47,2,FALSE)</f>
        <v>Harding HS</v>
      </c>
      <c r="B698" s="207" t="str">
        <f>VLOOKUP(VALUE(D698),$D$3:F$106,3,FALSE)</f>
        <v>School Clericals</v>
      </c>
      <c r="C698" s="751" t="s">
        <v>246</v>
      </c>
      <c r="D698" s="751" t="s">
        <v>325</v>
      </c>
      <c r="E698" s="751" t="s">
        <v>368</v>
      </c>
      <c r="F698" s="751" t="s">
        <v>333</v>
      </c>
      <c r="G698" s="752" t="s">
        <v>1681</v>
      </c>
      <c r="H698" s="753">
        <v>52920</v>
      </c>
      <c r="I698" s="754">
        <v>1000</v>
      </c>
      <c r="J698" s="754">
        <v>0</v>
      </c>
      <c r="K698" s="754">
        <v>0</v>
      </c>
      <c r="L698" s="754">
        <v>0</v>
      </c>
      <c r="M698" s="754">
        <f t="shared" si="45"/>
        <v>0</v>
      </c>
      <c r="N698" s="756">
        <v>1000</v>
      </c>
      <c r="O698" s="720">
        <f t="shared" si="46"/>
        <v>0</v>
      </c>
    </row>
    <row r="699" spans="1:15" outlineLevel="2" x14ac:dyDescent="0.25">
      <c r="A699" s="207" t="str">
        <f>VLOOKUP(RIGHT(E699,3)+0,SchLocTable!$A$2:$B$47,2,FALSE)</f>
        <v>FCW campus</v>
      </c>
      <c r="B699" s="207" t="str">
        <f>VLOOKUP(VALUE(D699),$D$3:F$106,3,FALSE)</f>
        <v>School Clericals</v>
      </c>
      <c r="C699" s="751" t="s">
        <v>246</v>
      </c>
      <c r="D699" s="751" t="s">
        <v>325</v>
      </c>
      <c r="E699" s="751" t="s">
        <v>1866</v>
      </c>
      <c r="F699" s="751" t="s">
        <v>257</v>
      </c>
      <c r="G699" s="752" t="s">
        <v>1681</v>
      </c>
      <c r="H699" s="753">
        <v>51140</v>
      </c>
      <c r="I699" s="754">
        <v>1610</v>
      </c>
      <c r="J699" s="754">
        <v>0</v>
      </c>
      <c r="K699" s="754">
        <v>0</v>
      </c>
      <c r="L699" s="754">
        <v>0</v>
      </c>
      <c r="M699" s="754">
        <f t="shared" si="45"/>
        <v>0</v>
      </c>
      <c r="N699" s="756">
        <v>1610</v>
      </c>
      <c r="O699" s="720">
        <f t="shared" si="46"/>
        <v>0</v>
      </c>
    </row>
    <row r="700" spans="1:15" outlineLevel="2" x14ac:dyDescent="0.25">
      <c r="A700" s="207" t="str">
        <f>VLOOKUP(RIGHT(E700,3)+0,SchLocTable!$A$2:$B$47,2,FALSE)</f>
        <v>FCW campus</v>
      </c>
      <c r="B700" s="207" t="str">
        <f>VLOOKUP(VALUE(D700),$D$3:F$106,3,FALSE)</f>
        <v>School Clericals</v>
      </c>
      <c r="C700" s="751" t="s">
        <v>246</v>
      </c>
      <c r="D700" s="751" t="s">
        <v>325</v>
      </c>
      <c r="E700" s="751" t="s">
        <v>1866</v>
      </c>
      <c r="F700" s="751" t="s">
        <v>254</v>
      </c>
      <c r="G700" s="752" t="s">
        <v>1681</v>
      </c>
      <c r="H700" s="753">
        <v>52360</v>
      </c>
      <c r="I700" s="754">
        <v>0</v>
      </c>
      <c r="J700" s="754">
        <v>0</v>
      </c>
      <c r="K700" s="754">
        <v>0</v>
      </c>
      <c r="L700" s="754">
        <v>0</v>
      </c>
      <c r="M700" s="754">
        <f t="shared" si="45"/>
        <v>0</v>
      </c>
      <c r="N700" s="756">
        <v>0</v>
      </c>
      <c r="O700" s="720">
        <f t="shared" si="46"/>
        <v>0</v>
      </c>
    </row>
    <row r="701" spans="1:15" outlineLevel="2" x14ac:dyDescent="0.25">
      <c r="A701" s="207" t="str">
        <f>VLOOKUP(RIGHT(E701,3)+0,SchLocTable!$A$2:$B$47,2,FALSE)</f>
        <v>FCW campus</v>
      </c>
      <c r="B701" s="207" t="str">
        <f>VLOOKUP(VALUE(D701),$D$3:F$106,3,FALSE)</f>
        <v>School Clericals</v>
      </c>
      <c r="C701" s="755" t="s">
        <v>246</v>
      </c>
      <c r="D701" s="751" t="s">
        <v>325</v>
      </c>
      <c r="E701" s="751" t="s">
        <v>1866</v>
      </c>
      <c r="F701" s="751" t="s">
        <v>331</v>
      </c>
      <c r="G701" s="752" t="s">
        <v>1681</v>
      </c>
      <c r="H701" s="753">
        <v>52504</v>
      </c>
      <c r="I701" s="754">
        <v>0</v>
      </c>
      <c r="J701" s="754">
        <v>0</v>
      </c>
      <c r="K701" s="754">
        <v>0</v>
      </c>
      <c r="L701" s="754">
        <v>0</v>
      </c>
      <c r="M701" s="754">
        <f t="shared" si="45"/>
        <v>0</v>
      </c>
      <c r="N701" s="756">
        <v>0</v>
      </c>
      <c r="O701" s="720">
        <f t="shared" si="46"/>
        <v>0</v>
      </c>
    </row>
    <row r="702" spans="1:15" outlineLevel="2" x14ac:dyDescent="0.25">
      <c r="A702" s="207" t="e">
        <f>VLOOKUP(RIGHT(E702,3)+0,SchLocTable!$A$2:$B$47,2,FALSE)</f>
        <v>#N/A</v>
      </c>
      <c r="B702" s="207" t="str">
        <f>VLOOKUP(VALUE(D702),$D$3:F$106,3,FALSE)</f>
        <v>Instructional Supplies</v>
      </c>
      <c r="C702" s="751" t="s">
        <v>246</v>
      </c>
      <c r="D702" s="751" t="s">
        <v>369</v>
      </c>
      <c r="E702" s="751" t="s">
        <v>370</v>
      </c>
      <c r="F702" s="751" t="s">
        <v>371</v>
      </c>
      <c r="G702" s="752" t="s">
        <v>1681</v>
      </c>
      <c r="H702" s="753">
        <v>54580</v>
      </c>
      <c r="I702" s="754">
        <v>85337.31</v>
      </c>
      <c r="J702" s="754">
        <v>33111.949999999997</v>
      </c>
      <c r="K702" s="754">
        <v>0</v>
      </c>
      <c r="L702" s="754">
        <v>8805.6200000000008</v>
      </c>
      <c r="M702" s="754">
        <f t="shared" si="45"/>
        <v>41917.57</v>
      </c>
      <c r="N702" s="756">
        <v>85337.31</v>
      </c>
      <c r="O702" s="720">
        <f t="shared" si="46"/>
        <v>0</v>
      </c>
    </row>
    <row r="703" spans="1:15" outlineLevel="2" x14ac:dyDescent="0.25">
      <c r="A703" s="207" t="e">
        <f>VLOOKUP(RIGHT(E703,3)+0,SchLocTable!$A$2:$B$47,2,FALSE)</f>
        <v>#N/A</v>
      </c>
      <c r="B703" s="207" t="str">
        <f>VLOOKUP(VALUE(D703),$D$3:F$106,3,FALSE)</f>
        <v>Instructional Supplies</v>
      </c>
      <c r="C703" s="751" t="s">
        <v>246</v>
      </c>
      <c r="D703" s="751" t="s">
        <v>369</v>
      </c>
      <c r="E703" s="751" t="s">
        <v>370</v>
      </c>
      <c r="F703" s="751" t="s">
        <v>372</v>
      </c>
      <c r="G703" s="752" t="s">
        <v>1681</v>
      </c>
      <c r="H703" s="753">
        <v>54675</v>
      </c>
      <c r="I703" s="754">
        <v>6100</v>
      </c>
      <c r="J703" s="754">
        <v>0</v>
      </c>
      <c r="K703" s="754">
        <v>0</v>
      </c>
      <c r="L703" s="754">
        <v>0</v>
      </c>
      <c r="M703" s="754">
        <f t="shared" ref="M703:M766" si="47">SUM(J703:L703)</f>
        <v>0</v>
      </c>
      <c r="N703" s="756">
        <v>6100</v>
      </c>
      <c r="O703" s="720">
        <f t="shared" ref="O703:O766" si="48">I703-N703</f>
        <v>0</v>
      </c>
    </row>
    <row r="704" spans="1:15" outlineLevel="2" x14ac:dyDescent="0.25">
      <c r="A704" s="207" t="e">
        <f>VLOOKUP(RIGHT(E704,3)+0,SchLocTable!$A$2:$B$47,2,FALSE)</f>
        <v>#N/A</v>
      </c>
      <c r="B704" s="207" t="str">
        <f>VLOOKUP(VALUE(D704),$D$3:F$106,3,FALSE)</f>
        <v>Instructional Supplies</v>
      </c>
      <c r="C704" s="751" t="s">
        <v>246</v>
      </c>
      <c r="D704" s="751" t="s">
        <v>369</v>
      </c>
      <c r="E704" s="751" t="s">
        <v>370</v>
      </c>
      <c r="F704" s="751" t="s">
        <v>374</v>
      </c>
      <c r="G704" s="752" t="s">
        <v>1681</v>
      </c>
      <c r="H704" s="753">
        <v>59015</v>
      </c>
      <c r="I704" s="754">
        <v>20050</v>
      </c>
      <c r="J704" s="754">
        <v>0</v>
      </c>
      <c r="K704" s="754">
        <v>0</v>
      </c>
      <c r="L704" s="754">
        <v>-250</v>
      </c>
      <c r="M704" s="754">
        <f t="shared" si="47"/>
        <v>-250</v>
      </c>
      <c r="N704" s="756">
        <v>20050</v>
      </c>
      <c r="O704" s="720">
        <f t="shared" si="48"/>
        <v>0</v>
      </c>
    </row>
    <row r="705" spans="1:15" outlineLevel="2" x14ac:dyDescent="0.25">
      <c r="A705" s="207" t="e">
        <f>VLOOKUP(RIGHT(E705,3)+0,SchLocTable!$A$2:$B$47,2,FALSE)</f>
        <v>#N/A</v>
      </c>
      <c r="B705" s="207" t="str">
        <f>VLOOKUP(VALUE(D705),$D$3:F$106,3,FALSE)</f>
        <v>Supplementary Supplies</v>
      </c>
      <c r="C705" s="751" t="s">
        <v>246</v>
      </c>
      <c r="D705" s="751">
        <v>806</v>
      </c>
      <c r="E705" s="751" t="s">
        <v>376</v>
      </c>
      <c r="F705" s="751" t="s">
        <v>756</v>
      </c>
      <c r="G705" s="752" t="s">
        <v>1681</v>
      </c>
      <c r="H705" s="753">
        <v>53050</v>
      </c>
      <c r="I705" s="754">
        <v>24999</v>
      </c>
      <c r="J705" s="754">
        <v>24999</v>
      </c>
      <c r="K705" s="754">
        <v>0</v>
      </c>
      <c r="L705" s="754">
        <v>0</v>
      </c>
      <c r="M705" s="754">
        <f t="shared" si="47"/>
        <v>24999</v>
      </c>
      <c r="N705" s="756">
        <v>24999</v>
      </c>
      <c r="O705" s="720">
        <f t="shared" si="48"/>
        <v>0</v>
      </c>
    </row>
    <row r="706" spans="1:15" outlineLevel="2" x14ac:dyDescent="0.25">
      <c r="A706" s="207" t="e">
        <f>VLOOKUP(RIGHT(E706,3)+0,SchLocTable!$A$2:$B$47,2,FALSE)</f>
        <v>#N/A</v>
      </c>
      <c r="B706" s="207" t="str">
        <f>VLOOKUP(VALUE(D706),$D$3:F$106,3,FALSE)</f>
        <v>Supplementary Supplies</v>
      </c>
      <c r="C706" s="751" t="s">
        <v>246</v>
      </c>
      <c r="D706" s="751" t="s">
        <v>375</v>
      </c>
      <c r="E706" s="751" t="s">
        <v>376</v>
      </c>
      <c r="F706" s="751" t="s">
        <v>371</v>
      </c>
      <c r="G706" s="752" t="s">
        <v>1681</v>
      </c>
      <c r="H706" s="753">
        <v>54580</v>
      </c>
      <c r="I706" s="754">
        <v>134865.74</v>
      </c>
      <c r="J706" s="754">
        <v>228.4</v>
      </c>
      <c r="K706" s="754">
        <v>0</v>
      </c>
      <c r="L706" s="754">
        <v>14331.86</v>
      </c>
      <c r="M706" s="754">
        <f t="shared" si="47"/>
        <v>14560.26</v>
      </c>
      <c r="N706" s="756">
        <v>134865.74</v>
      </c>
      <c r="O706" s="720">
        <f t="shared" si="48"/>
        <v>0</v>
      </c>
    </row>
    <row r="707" spans="1:15" outlineLevel="2" x14ac:dyDescent="0.25">
      <c r="A707" s="207" t="e">
        <f>VLOOKUP(RIGHT(E707,3)+0,SchLocTable!$A$2:$B$47,2,FALSE)</f>
        <v>#N/A</v>
      </c>
      <c r="B707" s="207" t="str">
        <f>VLOOKUP(VALUE(D707),$D$3:F$106,3,FALSE)</f>
        <v>Supplementary Supplies</v>
      </c>
      <c r="C707" s="755" t="s">
        <v>246</v>
      </c>
      <c r="D707" s="751" t="s">
        <v>375</v>
      </c>
      <c r="E707" s="751" t="s">
        <v>376</v>
      </c>
      <c r="F707" s="751" t="s">
        <v>372</v>
      </c>
      <c r="G707" s="752" t="s">
        <v>1681</v>
      </c>
      <c r="H707" s="753">
        <v>54675</v>
      </c>
      <c r="I707" s="754">
        <v>6500</v>
      </c>
      <c r="J707" s="754">
        <v>193.53</v>
      </c>
      <c r="K707" s="754">
        <v>0</v>
      </c>
      <c r="L707" s="754">
        <v>1033.0999999999999</v>
      </c>
      <c r="M707" s="754">
        <f t="shared" si="47"/>
        <v>1226.6299999999999</v>
      </c>
      <c r="N707" s="756">
        <v>6500</v>
      </c>
      <c r="O707" s="720">
        <f t="shared" si="48"/>
        <v>0</v>
      </c>
    </row>
    <row r="708" spans="1:15" outlineLevel="2" x14ac:dyDescent="0.25">
      <c r="A708" s="207" t="str">
        <f>VLOOKUP(RIGHT(E708,3)+0,SchLocTable!$A$2:$B$47,2,FALSE)</f>
        <v>Barnum</v>
      </c>
      <c r="B708" s="207" t="str">
        <f>VLOOKUP(VALUE(D708),$D$3:F$106,3,FALSE)</f>
        <v>Supplementary Supplies</v>
      </c>
      <c r="C708" s="751" t="s">
        <v>246</v>
      </c>
      <c r="D708" s="751" t="s">
        <v>375</v>
      </c>
      <c r="E708" s="751" t="s">
        <v>377</v>
      </c>
      <c r="F708" s="751" t="s">
        <v>402</v>
      </c>
      <c r="G708" s="752" t="s">
        <v>1681</v>
      </c>
      <c r="H708" s="753">
        <v>51400</v>
      </c>
      <c r="I708" s="754">
        <v>3790</v>
      </c>
      <c r="J708" s="754">
        <v>0</v>
      </c>
      <c r="K708" s="754">
        <v>0</v>
      </c>
      <c r="L708" s="754">
        <v>3790</v>
      </c>
      <c r="M708" s="754">
        <f t="shared" si="47"/>
        <v>3790</v>
      </c>
      <c r="N708" s="756">
        <v>3790</v>
      </c>
      <c r="O708" s="720">
        <f t="shared" si="48"/>
        <v>0</v>
      </c>
    </row>
    <row r="709" spans="1:15" outlineLevel="2" x14ac:dyDescent="0.25">
      <c r="A709" s="207" t="str">
        <f>VLOOKUP(RIGHT(E709,3)+0,SchLocTable!$A$2:$B$47,2,FALSE)</f>
        <v>Barnum</v>
      </c>
      <c r="B709" s="207" t="str">
        <f>VLOOKUP(VALUE(D709),$D$3:F$106,3,FALSE)</f>
        <v>Supplementary Supplies</v>
      </c>
      <c r="C709" s="751" t="s">
        <v>246</v>
      </c>
      <c r="D709" s="751" t="s">
        <v>375</v>
      </c>
      <c r="E709" s="751" t="s">
        <v>377</v>
      </c>
      <c r="F709" s="751" t="s">
        <v>254</v>
      </c>
      <c r="G709" s="752" t="s">
        <v>1681</v>
      </c>
      <c r="H709" s="753">
        <v>52360</v>
      </c>
      <c r="I709" s="754">
        <v>27.41</v>
      </c>
      <c r="J709" s="754">
        <v>0</v>
      </c>
      <c r="K709" s="754">
        <v>0</v>
      </c>
      <c r="L709" s="754">
        <v>27.41</v>
      </c>
      <c r="M709" s="754">
        <f t="shared" si="47"/>
        <v>27.41</v>
      </c>
      <c r="N709" s="756">
        <v>27.41</v>
      </c>
      <c r="O709" s="720">
        <f t="shared" si="48"/>
        <v>0</v>
      </c>
    </row>
    <row r="710" spans="1:15" outlineLevel="2" x14ac:dyDescent="0.25">
      <c r="A710" s="207" t="str">
        <f>VLOOKUP(RIGHT(E710,3)+0,SchLocTable!$A$2:$B$47,2,FALSE)</f>
        <v>Barnum</v>
      </c>
      <c r="B710" s="207" t="str">
        <f>VLOOKUP(VALUE(D710),$D$3:F$106,3,FALSE)</f>
        <v>Supplementary Supplies</v>
      </c>
      <c r="C710" s="751" t="s">
        <v>246</v>
      </c>
      <c r="D710" s="751" t="s">
        <v>375</v>
      </c>
      <c r="E710" s="751" t="s">
        <v>377</v>
      </c>
      <c r="F710" s="751" t="s">
        <v>331</v>
      </c>
      <c r="G710" s="752" t="s">
        <v>1681</v>
      </c>
      <c r="H710" s="753">
        <v>52504</v>
      </c>
      <c r="I710" s="754">
        <v>780.36</v>
      </c>
      <c r="J710" s="754">
        <v>0</v>
      </c>
      <c r="K710" s="754">
        <v>0</v>
      </c>
      <c r="L710" s="754">
        <v>780.36</v>
      </c>
      <c r="M710" s="754">
        <f t="shared" si="47"/>
        <v>780.36</v>
      </c>
      <c r="N710" s="756">
        <v>780.36</v>
      </c>
      <c r="O710" s="720">
        <f t="shared" si="48"/>
        <v>0</v>
      </c>
    </row>
    <row r="711" spans="1:15" outlineLevel="2" x14ac:dyDescent="0.25">
      <c r="A711" s="207" t="str">
        <f>VLOOKUP(RIGHT(E711,3)+0,SchLocTable!$A$2:$B$47,2,FALSE)</f>
        <v>Barnum</v>
      </c>
      <c r="B711" s="207" t="str">
        <f>VLOOKUP(VALUE(D711),$D$3:F$106,3,FALSE)</f>
        <v>Supplementary Supplies</v>
      </c>
      <c r="C711" s="751" t="s">
        <v>246</v>
      </c>
      <c r="D711" s="751" t="s">
        <v>375</v>
      </c>
      <c r="E711" s="751" t="s">
        <v>377</v>
      </c>
      <c r="F711" s="751" t="s">
        <v>371</v>
      </c>
      <c r="G711" s="752" t="s">
        <v>1681</v>
      </c>
      <c r="H711" s="753">
        <v>54580</v>
      </c>
      <c r="I711" s="754">
        <v>7476.68</v>
      </c>
      <c r="J711" s="754">
        <v>0</v>
      </c>
      <c r="K711" s="754">
        <v>0</v>
      </c>
      <c r="L711" s="754">
        <v>5097.0200000000004</v>
      </c>
      <c r="M711" s="754">
        <f t="shared" si="47"/>
        <v>5097.0200000000004</v>
      </c>
      <c r="N711" s="756">
        <v>7476.68</v>
      </c>
      <c r="O711" s="720">
        <f t="shared" si="48"/>
        <v>0</v>
      </c>
    </row>
    <row r="712" spans="1:15" outlineLevel="2" x14ac:dyDescent="0.25">
      <c r="A712" s="207" t="str">
        <f>VLOOKUP(RIGHT(E712,3)+0,SchLocTable!$A$2:$B$47,2,FALSE)</f>
        <v>Barnum</v>
      </c>
      <c r="B712" s="207" t="str">
        <f>VLOOKUP(VALUE(D712),$D$3:F$106,3,FALSE)</f>
        <v>Supplementary Supplies</v>
      </c>
      <c r="C712" s="751" t="s">
        <v>246</v>
      </c>
      <c r="D712" s="751" t="s">
        <v>375</v>
      </c>
      <c r="E712" s="751" t="s">
        <v>377</v>
      </c>
      <c r="F712" s="751" t="s">
        <v>381</v>
      </c>
      <c r="G712" s="752" t="s">
        <v>1681</v>
      </c>
      <c r="H712" s="753">
        <v>54725</v>
      </c>
      <c r="I712" s="754">
        <v>946.91</v>
      </c>
      <c r="J712" s="754">
        <v>0</v>
      </c>
      <c r="K712" s="754">
        <v>0</v>
      </c>
      <c r="L712" s="754">
        <v>0</v>
      </c>
      <c r="M712" s="754">
        <f t="shared" si="47"/>
        <v>0</v>
      </c>
      <c r="N712" s="756">
        <v>946.91</v>
      </c>
      <c r="O712" s="720">
        <f t="shared" si="48"/>
        <v>0</v>
      </c>
    </row>
    <row r="713" spans="1:15" outlineLevel="2" x14ac:dyDescent="0.25">
      <c r="A713" s="207" t="str">
        <f>VLOOKUP(RIGHT(E713,3)+0,SchLocTable!$A$2:$B$47,2,FALSE)</f>
        <v>Barnum</v>
      </c>
      <c r="B713" s="207" t="str">
        <f>VLOOKUP(VALUE(D713),$D$3:F$106,3,FALSE)</f>
        <v>Supplementary Supplies</v>
      </c>
      <c r="C713" s="751" t="s">
        <v>246</v>
      </c>
      <c r="D713" s="751" t="s">
        <v>375</v>
      </c>
      <c r="E713" s="751" t="s">
        <v>377</v>
      </c>
      <c r="F713" s="751" t="s">
        <v>382</v>
      </c>
      <c r="G713" s="752" t="s">
        <v>1681</v>
      </c>
      <c r="H713" s="753">
        <v>56180</v>
      </c>
      <c r="I713" s="754">
        <v>1754.65</v>
      </c>
      <c r="J713" s="754">
        <v>0</v>
      </c>
      <c r="K713" s="754">
        <v>0</v>
      </c>
      <c r="L713" s="754">
        <v>997.83</v>
      </c>
      <c r="M713" s="754">
        <f t="shared" si="47"/>
        <v>997.83</v>
      </c>
      <c r="N713" s="756">
        <v>1754.65</v>
      </c>
      <c r="O713" s="720">
        <f t="shared" si="48"/>
        <v>0</v>
      </c>
    </row>
    <row r="714" spans="1:15" outlineLevel="2" x14ac:dyDescent="0.25">
      <c r="A714" s="207" t="str">
        <f>VLOOKUP(RIGHT(E714,3)+0,SchLocTable!$A$2:$B$47,2,FALSE)</f>
        <v>Barnum</v>
      </c>
      <c r="B714" s="207" t="str">
        <f>VLOOKUP(VALUE(D714),$D$3:F$106,3,FALSE)</f>
        <v>Supplementary Supplies</v>
      </c>
      <c r="C714" s="751" t="s">
        <v>246</v>
      </c>
      <c r="D714" s="751" t="s">
        <v>375</v>
      </c>
      <c r="E714" s="751" t="s">
        <v>377</v>
      </c>
      <c r="F714" s="751" t="s">
        <v>635</v>
      </c>
      <c r="G714" s="752" t="s">
        <v>1681</v>
      </c>
      <c r="H714" s="753">
        <v>56240</v>
      </c>
      <c r="I714" s="754">
        <v>0</v>
      </c>
      <c r="J714" s="754">
        <v>0</v>
      </c>
      <c r="K714" s="754">
        <v>0</v>
      </c>
      <c r="L714" s="754">
        <v>0</v>
      </c>
      <c r="M714" s="754">
        <f t="shared" si="47"/>
        <v>0</v>
      </c>
      <c r="N714" s="756">
        <v>0</v>
      </c>
      <c r="O714" s="720">
        <f t="shared" si="48"/>
        <v>0</v>
      </c>
    </row>
    <row r="715" spans="1:15" outlineLevel="2" x14ac:dyDescent="0.25">
      <c r="A715" s="207" t="str">
        <f>VLOOKUP(RIGHT(E715,3)+0,SchLocTable!$A$2:$B$47,2,FALSE)</f>
        <v>Beardsley</v>
      </c>
      <c r="B715" s="207" t="str">
        <f>VLOOKUP(VALUE(D715),$D$3:F$106,3,FALSE)</f>
        <v>Supplementary Supplies</v>
      </c>
      <c r="C715" s="751" t="s">
        <v>246</v>
      </c>
      <c r="D715" s="751" t="s">
        <v>375</v>
      </c>
      <c r="E715" s="751" t="s">
        <v>384</v>
      </c>
      <c r="F715" s="751" t="s">
        <v>371</v>
      </c>
      <c r="G715" s="752" t="s">
        <v>1681</v>
      </c>
      <c r="H715" s="753">
        <v>54580</v>
      </c>
      <c r="I715" s="754">
        <v>7028.09</v>
      </c>
      <c r="J715" s="754">
        <v>0</v>
      </c>
      <c r="K715" s="754">
        <v>0</v>
      </c>
      <c r="L715" s="754">
        <v>540.85</v>
      </c>
      <c r="M715" s="754">
        <f t="shared" si="47"/>
        <v>540.85</v>
      </c>
      <c r="N715" s="756">
        <v>7028.09</v>
      </c>
      <c r="O715" s="720">
        <f t="shared" si="48"/>
        <v>0</v>
      </c>
    </row>
    <row r="716" spans="1:15" outlineLevel="2" x14ac:dyDescent="0.25">
      <c r="A716" s="207" t="str">
        <f>VLOOKUP(RIGHT(E716,3)+0,SchLocTable!$A$2:$B$47,2,FALSE)</f>
        <v>Beardsley</v>
      </c>
      <c r="B716" s="207" t="str">
        <f>VLOOKUP(VALUE(D716),$D$3:F$106,3,FALSE)</f>
        <v>Supplementary Supplies</v>
      </c>
      <c r="C716" s="751" t="s">
        <v>246</v>
      </c>
      <c r="D716" s="751" t="s">
        <v>375</v>
      </c>
      <c r="E716" s="751" t="s">
        <v>384</v>
      </c>
      <c r="F716" s="751" t="s">
        <v>381</v>
      </c>
      <c r="G716" s="752" t="s">
        <v>1681</v>
      </c>
      <c r="H716" s="753">
        <v>54725</v>
      </c>
      <c r="I716" s="754">
        <v>846.91</v>
      </c>
      <c r="J716" s="754">
        <v>0</v>
      </c>
      <c r="K716" s="754">
        <v>0</v>
      </c>
      <c r="L716" s="754">
        <v>0</v>
      </c>
      <c r="M716" s="754">
        <f t="shared" si="47"/>
        <v>0</v>
      </c>
      <c r="N716" s="756">
        <v>846.91</v>
      </c>
      <c r="O716" s="720">
        <f t="shared" si="48"/>
        <v>0</v>
      </c>
    </row>
    <row r="717" spans="1:15" outlineLevel="2" x14ac:dyDescent="0.25">
      <c r="A717" s="207" t="str">
        <f>VLOOKUP(RIGHT(E717,3)+0,SchLocTable!$A$2:$B$47,2,FALSE)</f>
        <v>Black Rock</v>
      </c>
      <c r="B717" s="207" t="str">
        <f>VLOOKUP(VALUE(D717),$D$3:F$106,3,FALSE)</f>
        <v>Supplementary Supplies</v>
      </c>
      <c r="C717" s="751" t="s">
        <v>246</v>
      </c>
      <c r="D717" s="751" t="s">
        <v>375</v>
      </c>
      <c r="E717" s="751" t="s">
        <v>385</v>
      </c>
      <c r="F717" s="751" t="s">
        <v>371</v>
      </c>
      <c r="G717" s="752" t="s">
        <v>1681</v>
      </c>
      <c r="H717" s="753">
        <v>54580</v>
      </c>
      <c r="I717" s="754">
        <v>10235.94</v>
      </c>
      <c r="J717" s="754">
        <v>810.32</v>
      </c>
      <c r="K717" s="754">
        <v>0</v>
      </c>
      <c r="L717" s="754">
        <v>757.15</v>
      </c>
      <c r="M717" s="754">
        <f t="shared" si="47"/>
        <v>1567.47</v>
      </c>
      <c r="N717" s="756">
        <v>10235.94</v>
      </c>
      <c r="O717" s="720">
        <f t="shared" si="48"/>
        <v>0</v>
      </c>
    </row>
    <row r="718" spans="1:15" outlineLevel="2" x14ac:dyDescent="0.25">
      <c r="A718" s="207" t="str">
        <f>VLOOKUP(RIGHT(E718,3)+0,SchLocTable!$A$2:$B$47,2,FALSE)</f>
        <v>Black Rock</v>
      </c>
      <c r="B718" s="207" t="str">
        <f>VLOOKUP(VALUE(D718),$D$3:F$106,3,FALSE)</f>
        <v>Supplementary Supplies</v>
      </c>
      <c r="C718" s="751" t="s">
        <v>246</v>
      </c>
      <c r="D718" s="751" t="s">
        <v>375</v>
      </c>
      <c r="E718" s="751" t="s">
        <v>385</v>
      </c>
      <c r="F718" s="751" t="s">
        <v>381</v>
      </c>
      <c r="G718" s="752" t="s">
        <v>1681</v>
      </c>
      <c r="H718" s="753">
        <v>54725</v>
      </c>
      <c r="I718" s="754">
        <v>421.91</v>
      </c>
      <c r="J718" s="754">
        <v>0</v>
      </c>
      <c r="K718" s="754">
        <v>0</v>
      </c>
      <c r="L718" s="754">
        <v>0</v>
      </c>
      <c r="M718" s="754">
        <f t="shared" si="47"/>
        <v>0</v>
      </c>
      <c r="N718" s="756">
        <v>421.91</v>
      </c>
      <c r="O718" s="720">
        <f t="shared" si="48"/>
        <v>0</v>
      </c>
    </row>
    <row r="719" spans="1:15" outlineLevel="2" x14ac:dyDescent="0.25">
      <c r="A719" s="207" t="str">
        <f>VLOOKUP(RIGHT(E719,3)+0,SchLocTable!$A$2:$B$47,2,FALSE)</f>
        <v>Black Rock</v>
      </c>
      <c r="B719" s="207" t="str">
        <f>VLOOKUP(VALUE(D719),$D$3:F$106,3,FALSE)</f>
        <v>Supplementary Supplies</v>
      </c>
      <c r="C719" s="751" t="s">
        <v>246</v>
      </c>
      <c r="D719" s="751" t="s">
        <v>375</v>
      </c>
      <c r="E719" s="751" t="s">
        <v>385</v>
      </c>
      <c r="F719" s="751" t="s">
        <v>382</v>
      </c>
      <c r="G719" s="752" t="s">
        <v>1681</v>
      </c>
      <c r="H719" s="753">
        <v>56180</v>
      </c>
      <c r="I719" s="754">
        <v>492.15</v>
      </c>
      <c r="J719" s="754">
        <v>0</v>
      </c>
      <c r="K719" s="754">
        <v>0</v>
      </c>
      <c r="L719" s="754">
        <v>0</v>
      </c>
      <c r="M719" s="754">
        <f t="shared" si="47"/>
        <v>0</v>
      </c>
      <c r="N719" s="756">
        <v>492.15</v>
      </c>
      <c r="O719" s="720">
        <f t="shared" si="48"/>
        <v>0</v>
      </c>
    </row>
    <row r="720" spans="1:15" outlineLevel="2" x14ac:dyDescent="0.25">
      <c r="A720" s="207" t="str">
        <f>VLOOKUP(RIGHT(E720,3)+0,SchLocTable!$A$2:$B$47,2,FALSE)</f>
        <v>Bryant</v>
      </c>
      <c r="B720" s="207" t="str">
        <f>VLOOKUP(VALUE(D720),$D$3:F$106,3,FALSE)</f>
        <v>Supplementary Supplies</v>
      </c>
      <c r="C720" s="751" t="s">
        <v>246</v>
      </c>
      <c r="D720" s="751" t="s">
        <v>375</v>
      </c>
      <c r="E720" s="751" t="s">
        <v>386</v>
      </c>
      <c r="F720" s="751" t="s">
        <v>371</v>
      </c>
      <c r="G720" s="752" t="s">
        <v>1681</v>
      </c>
      <c r="H720" s="753">
        <v>54580</v>
      </c>
      <c r="I720" s="754">
        <v>7862.09</v>
      </c>
      <c r="J720" s="754">
        <v>1099.28</v>
      </c>
      <c r="K720" s="754">
        <v>0</v>
      </c>
      <c r="L720" s="754">
        <v>4356.34</v>
      </c>
      <c r="M720" s="754">
        <f t="shared" si="47"/>
        <v>5455.62</v>
      </c>
      <c r="N720" s="756">
        <v>7862.09</v>
      </c>
      <c r="O720" s="720">
        <f t="shared" si="48"/>
        <v>0</v>
      </c>
    </row>
    <row r="721" spans="1:15" outlineLevel="2" x14ac:dyDescent="0.25">
      <c r="A721" s="207" t="str">
        <f>VLOOKUP(RIGHT(E721,3)+0,SchLocTable!$A$2:$B$47,2,FALSE)</f>
        <v>Bryant</v>
      </c>
      <c r="B721" s="207" t="str">
        <f>VLOOKUP(VALUE(D721),$D$3:F$106,3,FALSE)</f>
        <v>Supplementary Supplies</v>
      </c>
      <c r="C721" s="751" t="s">
        <v>246</v>
      </c>
      <c r="D721" s="751" t="s">
        <v>375</v>
      </c>
      <c r="E721" s="751" t="s">
        <v>386</v>
      </c>
      <c r="F721" s="751" t="s">
        <v>372</v>
      </c>
      <c r="G721" s="752" t="s">
        <v>1681</v>
      </c>
      <c r="H721" s="753">
        <v>54675</v>
      </c>
      <c r="I721" s="754">
        <v>291</v>
      </c>
      <c r="J721" s="754">
        <v>0</v>
      </c>
      <c r="K721" s="754">
        <v>0</v>
      </c>
      <c r="L721" s="754">
        <v>0</v>
      </c>
      <c r="M721" s="754">
        <f t="shared" si="47"/>
        <v>0</v>
      </c>
      <c r="N721" s="756">
        <v>291</v>
      </c>
      <c r="O721" s="720">
        <f t="shared" si="48"/>
        <v>0</v>
      </c>
    </row>
    <row r="722" spans="1:15" outlineLevel="2" x14ac:dyDescent="0.25">
      <c r="A722" s="207" t="str">
        <f>VLOOKUP(RIGHT(E722,3)+0,SchLocTable!$A$2:$B$47,2,FALSE)</f>
        <v>Bryant</v>
      </c>
      <c r="B722" s="207" t="str">
        <f>VLOOKUP(VALUE(D722),$D$3:F$106,3,FALSE)</f>
        <v>Supplementary Supplies</v>
      </c>
      <c r="C722" s="751" t="s">
        <v>246</v>
      </c>
      <c r="D722" s="751" t="s">
        <v>375</v>
      </c>
      <c r="E722" s="751" t="s">
        <v>386</v>
      </c>
      <c r="F722" s="751" t="s">
        <v>381</v>
      </c>
      <c r="G722" s="752" t="s">
        <v>1681</v>
      </c>
      <c r="H722" s="753">
        <v>54725</v>
      </c>
      <c r="I722" s="754">
        <v>446.91</v>
      </c>
      <c r="J722" s="754">
        <v>0</v>
      </c>
      <c r="K722" s="754">
        <v>0</v>
      </c>
      <c r="L722" s="754">
        <v>0</v>
      </c>
      <c r="M722" s="754">
        <f t="shared" si="47"/>
        <v>0</v>
      </c>
      <c r="N722" s="756">
        <v>446.91</v>
      </c>
      <c r="O722" s="720">
        <f t="shared" si="48"/>
        <v>0</v>
      </c>
    </row>
    <row r="723" spans="1:15" outlineLevel="2" x14ac:dyDescent="0.25">
      <c r="A723" s="207" t="str">
        <f>VLOOKUP(RIGHT(E723,3)+0,SchLocTable!$A$2:$B$47,2,FALSE)</f>
        <v>Bryant</v>
      </c>
      <c r="B723" s="207" t="str">
        <f>VLOOKUP(VALUE(D723),$D$3:F$106,3,FALSE)</f>
        <v>Supplementary Supplies</v>
      </c>
      <c r="C723" s="755" t="s">
        <v>246</v>
      </c>
      <c r="D723" s="751" t="s">
        <v>375</v>
      </c>
      <c r="E723" s="751" t="s">
        <v>386</v>
      </c>
      <c r="F723" s="751" t="s">
        <v>1992</v>
      </c>
      <c r="G723" s="752" t="s">
        <v>1681</v>
      </c>
      <c r="H723" s="753">
        <v>54760</v>
      </c>
      <c r="I723" s="754">
        <v>0</v>
      </c>
      <c r="J723" s="754">
        <v>0</v>
      </c>
      <c r="K723" s="754">
        <v>0</v>
      </c>
      <c r="L723" s="754">
        <v>0</v>
      </c>
      <c r="M723" s="754">
        <f t="shared" si="47"/>
        <v>0</v>
      </c>
      <c r="N723" s="756">
        <v>0</v>
      </c>
      <c r="O723" s="720">
        <f t="shared" si="48"/>
        <v>0</v>
      </c>
    </row>
    <row r="724" spans="1:15" outlineLevel="2" x14ac:dyDescent="0.25">
      <c r="A724" s="207" t="str">
        <f>VLOOKUP(RIGHT(E724,3)+0,SchLocTable!$A$2:$B$47,2,FALSE)</f>
        <v>Columbus</v>
      </c>
      <c r="B724" s="207" t="str">
        <f>VLOOKUP(VALUE(D724),$D$3:F$106,3,FALSE)</f>
        <v>Supplementary Supplies</v>
      </c>
      <c r="C724" s="751" t="s">
        <v>246</v>
      </c>
      <c r="D724" s="751" t="s">
        <v>375</v>
      </c>
      <c r="E724" s="751" t="s">
        <v>387</v>
      </c>
      <c r="F724" s="751" t="s">
        <v>371</v>
      </c>
      <c r="G724" s="752" t="s">
        <v>1681</v>
      </c>
      <c r="H724" s="753">
        <v>54580</v>
      </c>
      <c r="I724" s="754">
        <v>12573.09</v>
      </c>
      <c r="J724" s="754">
        <v>1971.27</v>
      </c>
      <c r="K724" s="754">
        <v>0</v>
      </c>
      <c r="L724" s="754">
        <v>6800.01</v>
      </c>
      <c r="M724" s="754">
        <f t="shared" si="47"/>
        <v>8771.2800000000007</v>
      </c>
      <c r="N724" s="756">
        <v>12573.09</v>
      </c>
      <c r="O724" s="720">
        <f t="shared" si="48"/>
        <v>0</v>
      </c>
    </row>
    <row r="725" spans="1:15" outlineLevel="2" x14ac:dyDescent="0.25">
      <c r="A725" s="207" t="str">
        <f>VLOOKUP(RIGHT(E725,3)+0,SchLocTable!$A$2:$B$47,2,FALSE)</f>
        <v>Columbus</v>
      </c>
      <c r="B725" s="207" t="str">
        <f>VLOOKUP(VALUE(D725),$D$3:F$106,3,FALSE)</f>
        <v>Supplementary Supplies</v>
      </c>
      <c r="C725" s="751" t="s">
        <v>246</v>
      </c>
      <c r="D725" s="751" t="s">
        <v>375</v>
      </c>
      <c r="E725" s="751" t="s">
        <v>387</v>
      </c>
      <c r="F725" s="751" t="s">
        <v>381</v>
      </c>
      <c r="G725" s="752" t="s">
        <v>1681</v>
      </c>
      <c r="H725" s="753">
        <v>54725</v>
      </c>
      <c r="I725" s="754">
        <v>796.91</v>
      </c>
      <c r="J725" s="754">
        <v>0</v>
      </c>
      <c r="K725" s="754">
        <v>0</v>
      </c>
      <c r="L725" s="754">
        <v>0</v>
      </c>
      <c r="M725" s="754">
        <f t="shared" si="47"/>
        <v>0</v>
      </c>
      <c r="N725" s="756">
        <v>796.91</v>
      </c>
      <c r="O725" s="720">
        <f t="shared" si="48"/>
        <v>0</v>
      </c>
    </row>
    <row r="726" spans="1:15" outlineLevel="2" x14ac:dyDescent="0.25">
      <c r="A726" s="207" t="str">
        <f>VLOOKUP(RIGHT(E726,3)+0,SchLocTable!$A$2:$B$47,2,FALSE)</f>
        <v>Columbus</v>
      </c>
      <c r="B726" s="207" t="str">
        <f>VLOOKUP(VALUE(D726),$D$3:F$106,3,FALSE)</f>
        <v>Supplementary Supplies</v>
      </c>
      <c r="C726" s="751" t="s">
        <v>246</v>
      </c>
      <c r="D726" s="751" t="s">
        <v>375</v>
      </c>
      <c r="E726" s="751" t="s">
        <v>387</v>
      </c>
      <c r="F726" s="751" t="s">
        <v>382</v>
      </c>
      <c r="G726" s="752" t="s">
        <v>1681</v>
      </c>
      <c r="H726" s="753">
        <v>56180</v>
      </c>
      <c r="I726" s="754">
        <v>755</v>
      </c>
      <c r="J726" s="754">
        <v>0</v>
      </c>
      <c r="K726" s="754">
        <v>0</v>
      </c>
      <c r="L726" s="754">
        <v>0</v>
      </c>
      <c r="M726" s="754">
        <f t="shared" si="47"/>
        <v>0</v>
      </c>
      <c r="N726" s="756">
        <v>755</v>
      </c>
      <c r="O726" s="720">
        <f t="shared" si="48"/>
        <v>0</v>
      </c>
    </row>
    <row r="727" spans="1:15" outlineLevel="2" x14ac:dyDescent="0.25">
      <c r="A727" s="207" t="str">
        <f>VLOOKUP(RIGHT(E727,3)+0,SchLocTable!$A$2:$B$47,2,FALSE)</f>
        <v>Edison</v>
      </c>
      <c r="B727" s="207" t="str">
        <f>VLOOKUP(VALUE(D727),$D$3:F$106,3,FALSE)</f>
        <v>Supplementary Supplies</v>
      </c>
      <c r="C727" s="751" t="s">
        <v>246</v>
      </c>
      <c r="D727" s="751" t="s">
        <v>375</v>
      </c>
      <c r="E727" s="751" t="s">
        <v>388</v>
      </c>
      <c r="F727" s="751" t="s">
        <v>371</v>
      </c>
      <c r="G727" s="752" t="s">
        <v>1681</v>
      </c>
      <c r="H727" s="753">
        <v>54580</v>
      </c>
      <c r="I727" s="754">
        <v>4470.71</v>
      </c>
      <c r="J727" s="754">
        <v>266.68</v>
      </c>
      <c r="K727" s="754">
        <v>0</v>
      </c>
      <c r="L727" s="754">
        <v>4204.03</v>
      </c>
      <c r="M727" s="754">
        <f t="shared" si="47"/>
        <v>4470.71</v>
      </c>
      <c r="N727" s="756">
        <v>4470.71</v>
      </c>
      <c r="O727" s="720">
        <f t="shared" si="48"/>
        <v>0</v>
      </c>
    </row>
    <row r="728" spans="1:15" outlineLevel="2" x14ac:dyDescent="0.25">
      <c r="A728" s="207" t="str">
        <f>VLOOKUP(RIGHT(E728,3)+0,SchLocTable!$A$2:$B$47,2,FALSE)</f>
        <v>Edison</v>
      </c>
      <c r="B728" s="207" t="str">
        <f>VLOOKUP(VALUE(D728),$D$3:F$106,3,FALSE)</f>
        <v>Supplementary Supplies</v>
      </c>
      <c r="C728" s="751" t="s">
        <v>246</v>
      </c>
      <c r="D728" s="751" t="s">
        <v>375</v>
      </c>
      <c r="E728" s="751" t="s">
        <v>388</v>
      </c>
      <c r="F728" s="751" t="s">
        <v>381</v>
      </c>
      <c r="G728" s="752" t="s">
        <v>1681</v>
      </c>
      <c r="H728" s="753">
        <v>54725</v>
      </c>
      <c r="I728" s="754">
        <v>250</v>
      </c>
      <c r="J728" s="754">
        <v>0</v>
      </c>
      <c r="K728" s="754">
        <v>0</v>
      </c>
      <c r="L728" s="754">
        <v>0</v>
      </c>
      <c r="M728" s="754">
        <f t="shared" si="47"/>
        <v>0</v>
      </c>
      <c r="N728" s="756">
        <v>250</v>
      </c>
      <c r="O728" s="720">
        <f t="shared" si="48"/>
        <v>0</v>
      </c>
    </row>
    <row r="729" spans="1:15" outlineLevel="2" x14ac:dyDescent="0.25">
      <c r="A729" s="207" t="str">
        <f>VLOOKUP(RIGHT(E729,3)+0,SchLocTable!$A$2:$B$47,2,FALSE)</f>
        <v>Edison</v>
      </c>
      <c r="B729" s="207" t="str">
        <f>VLOOKUP(VALUE(D729),$D$3:F$106,3,FALSE)</f>
        <v>Supplementary Supplies</v>
      </c>
      <c r="C729" s="751" t="s">
        <v>246</v>
      </c>
      <c r="D729" s="751" t="s">
        <v>375</v>
      </c>
      <c r="E729" s="751" t="s">
        <v>388</v>
      </c>
      <c r="F729" s="751" t="s">
        <v>382</v>
      </c>
      <c r="G729" s="752" t="s">
        <v>1681</v>
      </c>
      <c r="H729" s="753">
        <v>56180</v>
      </c>
      <c r="I729" s="754">
        <v>754.29</v>
      </c>
      <c r="J729" s="754">
        <v>0</v>
      </c>
      <c r="K729" s="754">
        <v>0</v>
      </c>
      <c r="L729" s="754">
        <v>619.6</v>
      </c>
      <c r="M729" s="754">
        <f t="shared" si="47"/>
        <v>619.6</v>
      </c>
      <c r="N729" s="756">
        <v>754.29</v>
      </c>
      <c r="O729" s="720">
        <f t="shared" si="48"/>
        <v>0</v>
      </c>
    </row>
    <row r="730" spans="1:15" outlineLevel="2" x14ac:dyDescent="0.25">
      <c r="A730" s="207" t="str">
        <f>VLOOKUP(RIGHT(E730,3)+0,SchLocTable!$A$2:$B$47,2,FALSE)</f>
        <v>Physical Science HS</v>
      </c>
      <c r="B730" s="207" t="str">
        <f>VLOOKUP(VALUE(D730),$D$3:F$106,3,FALSE)</f>
        <v>Supplementary Supplies</v>
      </c>
      <c r="C730" s="751" t="s">
        <v>246</v>
      </c>
      <c r="D730" s="751" t="s">
        <v>375</v>
      </c>
      <c r="E730" s="751" t="s">
        <v>389</v>
      </c>
      <c r="F730" s="751" t="s">
        <v>396</v>
      </c>
      <c r="G730" s="752" t="s">
        <v>1681</v>
      </c>
      <c r="H730" s="753">
        <v>53605</v>
      </c>
      <c r="I730" s="754">
        <v>860</v>
      </c>
      <c r="J730" s="754">
        <v>0</v>
      </c>
      <c r="K730" s="754">
        <v>0</v>
      </c>
      <c r="L730" s="754">
        <v>0</v>
      </c>
      <c r="M730" s="754">
        <f t="shared" si="47"/>
        <v>0</v>
      </c>
      <c r="N730" s="756">
        <v>860</v>
      </c>
      <c r="O730" s="720">
        <f t="shared" si="48"/>
        <v>0</v>
      </c>
    </row>
    <row r="731" spans="1:15" outlineLevel="2" x14ac:dyDescent="0.25">
      <c r="A731" s="207" t="str">
        <f>VLOOKUP(RIGHT(E731,3)+0,SchLocTable!$A$2:$B$47,2,FALSE)</f>
        <v>Physical Science HS</v>
      </c>
      <c r="B731" s="207" t="str">
        <f>VLOOKUP(VALUE(D731),$D$3:F$106,3,FALSE)</f>
        <v>Supplementary Supplies</v>
      </c>
      <c r="C731" s="751" t="s">
        <v>246</v>
      </c>
      <c r="D731" s="751" t="s">
        <v>375</v>
      </c>
      <c r="E731" s="751" t="s">
        <v>389</v>
      </c>
      <c r="F731" s="751" t="s">
        <v>371</v>
      </c>
      <c r="G731" s="752" t="s">
        <v>1681</v>
      </c>
      <c r="H731" s="753">
        <v>54580</v>
      </c>
      <c r="I731" s="754">
        <v>9523.09</v>
      </c>
      <c r="J731" s="754">
        <v>1134.25</v>
      </c>
      <c r="K731" s="754">
        <v>0</v>
      </c>
      <c r="L731" s="754">
        <v>4404.7700000000004</v>
      </c>
      <c r="M731" s="754">
        <f t="shared" si="47"/>
        <v>5539.02</v>
      </c>
      <c r="N731" s="756">
        <v>9523.09</v>
      </c>
      <c r="O731" s="720">
        <f t="shared" si="48"/>
        <v>0</v>
      </c>
    </row>
    <row r="732" spans="1:15" outlineLevel="2" x14ac:dyDescent="0.25">
      <c r="A732" s="207" t="str">
        <f>VLOOKUP(RIGHT(E732,3)+0,SchLocTable!$A$2:$B$47,2,FALSE)</f>
        <v>Physical Science HS</v>
      </c>
      <c r="B732" s="207" t="str">
        <f>VLOOKUP(VALUE(D732),$D$3:F$106,3,FALSE)</f>
        <v>Supplementary Supplies</v>
      </c>
      <c r="C732" s="755" t="s">
        <v>246</v>
      </c>
      <c r="D732" s="751" t="s">
        <v>375</v>
      </c>
      <c r="E732" s="751" t="s">
        <v>389</v>
      </c>
      <c r="F732" s="751" t="s">
        <v>381</v>
      </c>
      <c r="G732" s="752" t="s">
        <v>1681</v>
      </c>
      <c r="H732" s="753">
        <v>54725</v>
      </c>
      <c r="I732" s="754">
        <v>721.91</v>
      </c>
      <c r="J732" s="754">
        <v>0</v>
      </c>
      <c r="K732" s="754">
        <v>0</v>
      </c>
      <c r="L732" s="754">
        <v>33.19</v>
      </c>
      <c r="M732" s="754">
        <f t="shared" si="47"/>
        <v>33.19</v>
      </c>
      <c r="N732" s="756">
        <v>721.91</v>
      </c>
      <c r="O732" s="720">
        <f t="shared" si="48"/>
        <v>0</v>
      </c>
    </row>
    <row r="733" spans="1:15" outlineLevel="2" x14ac:dyDescent="0.25">
      <c r="A733" s="207" t="str">
        <f>VLOOKUP(RIGHT(E733,3)+0,SchLocTable!$A$2:$B$47,2,FALSE)</f>
        <v>Physical Science HS</v>
      </c>
      <c r="B733" s="207" t="str">
        <f>VLOOKUP(VALUE(D733),$D$3:F$106,3,FALSE)</f>
        <v>Supplementary Supplies</v>
      </c>
      <c r="C733" s="751" t="s">
        <v>246</v>
      </c>
      <c r="D733" s="751" t="s">
        <v>375</v>
      </c>
      <c r="E733" s="751" t="s">
        <v>389</v>
      </c>
      <c r="F733" s="751" t="s">
        <v>382</v>
      </c>
      <c r="G733" s="752" t="s">
        <v>1681</v>
      </c>
      <c r="H733" s="753">
        <v>56180</v>
      </c>
      <c r="I733" s="754">
        <v>1395</v>
      </c>
      <c r="J733" s="754">
        <v>0</v>
      </c>
      <c r="K733" s="754">
        <v>0</v>
      </c>
      <c r="L733" s="754">
        <v>668.5</v>
      </c>
      <c r="M733" s="754">
        <f t="shared" si="47"/>
        <v>668.5</v>
      </c>
      <c r="N733" s="756">
        <v>1395</v>
      </c>
      <c r="O733" s="720">
        <f t="shared" si="48"/>
        <v>0</v>
      </c>
    </row>
    <row r="734" spans="1:15" outlineLevel="2" x14ac:dyDescent="0.25">
      <c r="A734" s="207" t="str">
        <f>VLOOKUP(RIGHT(E734,3)+0,SchLocTable!$A$2:$B$47,2,FALSE)</f>
        <v>Marin</v>
      </c>
      <c r="B734" s="207" t="str">
        <f>VLOOKUP(VALUE(D734),$D$3:F$106,3,FALSE)</f>
        <v>Supplementary Supplies</v>
      </c>
      <c r="C734" s="755" t="s">
        <v>246</v>
      </c>
      <c r="D734" s="751" t="s">
        <v>375</v>
      </c>
      <c r="E734" s="751" t="s">
        <v>390</v>
      </c>
      <c r="F734" s="751" t="s">
        <v>371</v>
      </c>
      <c r="G734" s="752" t="s">
        <v>1681</v>
      </c>
      <c r="H734" s="753">
        <v>54580</v>
      </c>
      <c r="I734" s="754">
        <v>15325.59</v>
      </c>
      <c r="J734" s="754">
        <v>0</v>
      </c>
      <c r="K734" s="754">
        <v>0</v>
      </c>
      <c r="L734" s="754">
        <v>2374.0700000000002</v>
      </c>
      <c r="M734" s="754">
        <f t="shared" si="47"/>
        <v>2374.0700000000002</v>
      </c>
      <c r="N734" s="756">
        <v>15325.59</v>
      </c>
      <c r="O734" s="720">
        <f t="shared" si="48"/>
        <v>0</v>
      </c>
    </row>
    <row r="735" spans="1:15" outlineLevel="2" x14ac:dyDescent="0.25">
      <c r="A735" s="207" t="str">
        <f>VLOOKUP(RIGHT(E735,3)+0,SchLocTable!$A$2:$B$47,2,FALSE)</f>
        <v>Marin</v>
      </c>
      <c r="B735" s="207" t="str">
        <f>VLOOKUP(VALUE(D735),$D$3:F$106,3,FALSE)</f>
        <v>Supplementary Supplies</v>
      </c>
      <c r="C735" s="751" t="s">
        <v>246</v>
      </c>
      <c r="D735" s="751" t="s">
        <v>375</v>
      </c>
      <c r="E735" s="751" t="s">
        <v>390</v>
      </c>
      <c r="F735" s="751" t="s">
        <v>381</v>
      </c>
      <c r="G735" s="752" t="s">
        <v>1681</v>
      </c>
      <c r="H735" s="753">
        <v>54725</v>
      </c>
      <c r="I735" s="754">
        <v>1146.9100000000001</v>
      </c>
      <c r="J735" s="754">
        <v>0</v>
      </c>
      <c r="K735" s="754">
        <v>0</v>
      </c>
      <c r="L735" s="754">
        <v>0</v>
      </c>
      <c r="M735" s="754">
        <f t="shared" si="47"/>
        <v>0</v>
      </c>
      <c r="N735" s="756">
        <v>1146.9100000000001</v>
      </c>
      <c r="O735" s="720">
        <f t="shared" si="48"/>
        <v>0</v>
      </c>
    </row>
    <row r="736" spans="1:15" outlineLevel="2" x14ac:dyDescent="0.25">
      <c r="A736" s="207" t="str">
        <f>VLOOKUP(RIGHT(E736,3)+0,SchLocTable!$A$2:$B$47,2,FALSE)</f>
        <v>Marin</v>
      </c>
      <c r="B736" s="207" t="str">
        <f>VLOOKUP(VALUE(D736),$D$3:F$106,3,FALSE)</f>
        <v>Supplementary Supplies</v>
      </c>
      <c r="C736" s="751" t="s">
        <v>246</v>
      </c>
      <c r="D736" s="751" t="s">
        <v>375</v>
      </c>
      <c r="E736" s="751" t="s">
        <v>390</v>
      </c>
      <c r="F736" s="751" t="s">
        <v>382</v>
      </c>
      <c r="G736" s="752" t="s">
        <v>1681</v>
      </c>
      <c r="H736" s="753">
        <v>56180</v>
      </c>
      <c r="I736" s="754">
        <v>1727.5</v>
      </c>
      <c r="J736" s="754">
        <v>0</v>
      </c>
      <c r="K736" s="754">
        <v>0</v>
      </c>
      <c r="L736" s="754">
        <v>600</v>
      </c>
      <c r="M736" s="754">
        <f t="shared" si="47"/>
        <v>600</v>
      </c>
      <c r="N736" s="756">
        <v>1727.5</v>
      </c>
      <c r="O736" s="720">
        <f t="shared" si="48"/>
        <v>0</v>
      </c>
    </row>
    <row r="737" spans="1:15" outlineLevel="1" x14ac:dyDescent="0.25">
      <c r="A737" s="207" t="str">
        <f>VLOOKUP(RIGHT(E737,3)+0,SchLocTable!$A$2:$B$47,2,FALSE)</f>
        <v>Hall</v>
      </c>
      <c r="B737" s="207" t="str">
        <f>VLOOKUP(VALUE(D737),$D$3:F$106,3,FALSE)</f>
        <v>Supplementary Supplies</v>
      </c>
      <c r="C737" s="751" t="s">
        <v>246</v>
      </c>
      <c r="D737" s="751" t="s">
        <v>375</v>
      </c>
      <c r="E737" s="751" t="s">
        <v>391</v>
      </c>
      <c r="F737" s="751" t="s">
        <v>371</v>
      </c>
      <c r="G737" s="752" t="s">
        <v>1681</v>
      </c>
      <c r="H737" s="753">
        <v>54580</v>
      </c>
      <c r="I737" s="754">
        <v>4451.71</v>
      </c>
      <c r="J737" s="754">
        <v>0</v>
      </c>
      <c r="K737" s="754">
        <v>0</v>
      </c>
      <c r="L737" s="754">
        <v>259.89999999999998</v>
      </c>
      <c r="M737" s="754">
        <f t="shared" si="47"/>
        <v>259.89999999999998</v>
      </c>
      <c r="N737" s="756">
        <v>4451.71</v>
      </c>
      <c r="O737" s="720">
        <f t="shared" si="48"/>
        <v>0</v>
      </c>
    </row>
    <row r="738" spans="1:15" outlineLevel="2" x14ac:dyDescent="0.25">
      <c r="A738" s="207" t="str">
        <f>VLOOKUP(RIGHT(E738,3)+0,SchLocTable!$A$2:$B$47,2,FALSE)</f>
        <v>Hall</v>
      </c>
      <c r="B738" s="207" t="str">
        <f>VLOOKUP(VALUE(D738),$D$3:F$106,3,FALSE)</f>
        <v>Supplementary Supplies</v>
      </c>
      <c r="C738" s="751" t="s">
        <v>246</v>
      </c>
      <c r="D738" s="751" t="s">
        <v>375</v>
      </c>
      <c r="E738" s="751" t="s">
        <v>391</v>
      </c>
      <c r="F738" s="751" t="s">
        <v>381</v>
      </c>
      <c r="G738" s="752" t="s">
        <v>1681</v>
      </c>
      <c r="H738" s="753">
        <v>54725</v>
      </c>
      <c r="I738" s="754">
        <v>346.91</v>
      </c>
      <c r="J738" s="754">
        <v>0</v>
      </c>
      <c r="K738" s="754">
        <v>0</v>
      </c>
      <c r="L738" s="754">
        <v>0</v>
      </c>
      <c r="M738" s="754">
        <f t="shared" si="47"/>
        <v>0</v>
      </c>
      <c r="N738" s="756">
        <v>346.91</v>
      </c>
      <c r="O738" s="720">
        <f t="shared" si="48"/>
        <v>0</v>
      </c>
    </row>
    <row r="739" spans="1:15" outlineLevel="2" x14ac:dyDescent="0.25">
      <c r="A739" s="207" t="str">
        <f>VLOOKUP(RIGHT(E739,3)+0,SchLocTable!$A$2:$B$47,2,FALSE)</f>
        <v>Hall</v>
      </c>
      <c r="B739" s="207" t="str">
        <f>VLOOKUP(VALUE(D739),$D$3:F$106,3,FALSE)</f>
        <v>Supplementary Supplies</v>
      </c>
      <c r="C739" s="751" t="s">
        <v>246</v>
      </c>
      <c r="D739" s="751" t="s">
        <v>375</v>
      </c>
      <c r="E739" s="751" t="s">
        <v>391</v>
      </c>
      <c r="F739" s="751" t="s">
        <v>382</v>
      </c>
      <c r="G739" s="752" t="s">
        <v>1681</v>
      </c>
      <c r="H739" s="753">
        <v>56180</v>
      </c>
      <c r="I739" s="754">
        <v>26.38</v>
      </c>
      <c r="J739" s="754">
        <v>0</v>
      </c>
      <c r="K739" s="754">
        <v>0</v>
      </c>
      <c r="L739" s="754">
        <v>0</v>
      </c>
      <c r="M739" s="754">
        <f t="shared" si="47"/>
        <v>0</v>
      </c>
      <c r="N739" s="756">
        <v>26.38</v>
      </c>
      <c r="O739" s="720">
        <f t="shared" si="48"/>
        <v>0</v>
      </c>
    </row>
    <row r="740" spans="1:15" outlineLevel="2" x14ac:dyDescent="0.25">
      <c r="A740" s="207" t="str">
        <f>VLOOKUP(RIGHT(E740,3)+0,SchLocTable!$A$2:$B$47,2,FALSE)</f>
        <v>Hallen</v>
      </c>
      <c r="B740" s="207" t="str">
        <f>VLOOKUP(VALUE(D740),$D$3:F$106,3,FALSE)</f>
        <v>Supplementary Supplies</v>
      </c>
      <c r="C740" s="751" t="s">
        <v>246</v>
      </c>
      <c r="D740" s="751" t="s">
        <v>375</v>
      </c>
      <c r="E740" s="751" t="s">
        <v>392</v>
      </c>
      <c r="F740" s="751" t="s">
        <v>371</v>
      </c>
      <c r="G740" s="752" t="s">
        <v>1681</v>
      </c>
      <c r="H740" s="753">
        <v>54580</v>
      </c>
      <c r="I740" s="754">
        <v>6078.09</v>
      </c>
      <c r="J740" s="754">
        <v>0</v>
      </c>
      <c r="K740" s="754">
        <v>0</v>
      </c>
      <c r="L740" s="754">
        <v>1044</v>
      </c>
      <c r="M740" s="754">
        <f t="shared" si="47"/>
        <v>1044</v>
      </c>
      <c r="N740" s="756">
        <v>6078.09</v>
      </c>
      <c r="O740" s="720">
        <f t="shared" si="48"/>
        <v>0</v>
      </c>
    </row>
    <row r="741" spans="1:15" outlineLevel="2" x14ac:dyDescent="0.25">
      <c r="A741" s="207" t="str">
        <f>VLOOKUP(RIGHT(E741,3)+0,SchLocTable!$A$2:$B$47,2,FALSE)</f>
        <v>Hallen</v>
      </c>
      <c r="B741" s="207" t="str">
        <f>VLOOKUP(VALUE(D741),$D$3:F$106,3,FALSE)</f>
        <v>Supplementary Supplies</v>
      </c>
      <c r="C741" s="751" t="s">
        <v>246</v>
      </c>
      <c r="D741" s="751" t="s">
        <v>375</v>
      </c>
      <c r="E741" s="751" t="s">
        <v>392</v>
      </c>
      <c r="F741" s="751" t="s">
        <v>381</v>
      </c>
      <c r="G741" s="752" t="s">
        <v>1681</v>
      </c>
      <c r="H741" s="753">
        <v>54725</v>
      </c>
      <c r="I741" s="754">
        <v>1096.9100000000001</v>
      </c>
      <c r="J741" s="754">
        <v>0</v>
      </c>
      <c r="K741" s="754">
        <v>0</v>
      </c>
      <c r="L741" s="754">
        <v>0</v>
      </c>
      <c r="M741" s="754">
        <f t="shared" si="47"/>
        <v>0</v>
      </c>
      <c r="N741" s="756">
        <v>1096.9100000000001</v>
      </c>
      <c r="O741" s="720">
        <f t="shared" si="48"/>
        <v>0</v>
      </c>
    </row>
    <row r="742" spans="1:15" outlineLevel="2" x14ac:dyDescent="0.25">
      <c r="A742" s="207" t="str">
        <f>VLOOKUP(RIGHT(E742,3)+0,SchLocTable!$A$2:$B$47,2,FALSE)</f>
        <v>Hooker</v>
      </c>
      <c r="B742" s="207" t="str">
        <f>VLOOKUP(VALUE(D742),$D$3:F$106,3,FALSE)</f>
        <v>Supplementary Supplies</v>
      </c>
      <c r="C742" s="751" t="s">
        <v>246</v>
      </c>
      <c r="D742" s="751" t="s">
        <v>375</v>
      </c>
      <c r="E742" s="751" t="s">
        <v>393</v>
      </c>
      <c r="F742" s="751" t="s">
        <v>402</v>
      </c>
      <c r="G742" s="752" t="s">
        <v>1681</v>
      </c>
      <c r="H742" s="753">
        <v>51400</v>
      </c>
      <c r="I742" s="754">
        <v>0</v>
      </c>
      <c r="J742" s="754">
        <v>0</v>
      </c>
      <c r="K742" s="754">
        <v>0</v>
      </c>
      <c r="L742" s="754">
        <v>0</v>
      </c>
      <c r="M742" s="754">
        <f t="shared" si="47"/>
        <v>0</v>
      </c>
      <c r="N742" s="756">
        <v>0</v>
      </c>
      <c r="O742" s="720">
        <f t="shared" si="48"/>
        <v>0</v>
      </c>
    </row>
    <row r="743" spans="1:15" outlineLevel="2" x14ac:dyDescent="0.25">
      <c r="A743" s="207" t="str">
        <f>VLOOKUP(RIGHT(E743,3)+0,SchLocTable!$A$2:$B$47,2,FALSE)</f>
        <v>Hooker</v>
      </c>
      <c r="B743" s="207" t="str">
        <f>VLOOKUP(VALUE(D743),$D$3:F$106,3,FALSE)</f>
        <v>Supplementary Supplies</v>
      </c>
      <c r="C743" s="751" t="s">
        <v>246</v>
      </c>
      <c r="D743" s="751" t="s">
        <v>375</v>
      </c>
      <c r="E743" s="751" t="s">
        <v>393</v>
      </c>
      <c r="F743" s="751" t="s">
        <v>254</v>
      </c>
      <c r="G743" s="752" t="s">
        <v>1681</v>
      </c>
      <c r="H743" s="753">
        <v>52360</v>
      </c>
      <c r="I743" s="754">
        <v>0</v>
      </c>
      <c r="J743" s="754">
        <v>0</v>
      </c>
      <c r="K743" s="754">
        <v>0</v>
      </c>
      <c r="L743" s="754">
        <v>0</v>
      </c>
      <c r="M743" s="754">
        <f t="shared" si="47"/>
        <v>0</v>
      </c>
      <c r="N743" s="756">
        <v>0</v>
      </c>
      <c r="O743" s="720">
        <f t="shared" si="48"/>
        <v>0</v>
      </c>
    </row>
    <row r="744" spans="1:15" outlineLevel="2" x14ac:dyDescent="0.25">
      <c r="A744" s="207" t="str">
        <f>VLOOKUP(RIGHT(E744,3)+0,SchLocTable!$A$2:$B$47,2,FALSE)</f>
        <v>Hooker</v>
      </c>
      <c r="B744" s="207" t="str">
        <f>VLOOKUP(VALUE(D744),$D$3:F$106,3,FALSE)</f>
        <v>Supplementary Supplies</v>
      </c>
      <c r="C744" s="751" t="s">
        <v>246</v>
      </c>
      <c r="D744" s="751" t="s">
        <v>375</v>
      </c>
      <c r="E744" s="751" t="s">
        <v>393</v>
      </c>
      <c r="F744" s="751" t="s">
        <v>371</v>
      </c>
      <c r="G744" s="752" t="s">
        <v>1681</v>
      </c>
      <c r="H744" s="753">
        <v>54580</v>
      </c>
      <c r="I744" s="754">
        <v>6353.09</v>
      </c>
      <c r="J744" s="754">
        <v>0</v>
      </c>
      <c r="K744" s="754">
        <v>0</v>
      </c>
      <c r="L744" s="754">
        <v>0</v>
      </c>
      <c r="M744" s="754">
        <f t="shared" si="47"/>
        <v>0</v>
      </c>
      <c r="N744" s="756">
        <v>6353.09</v>
      </c>
      <c r="O744" s="720">
        <f t="shared" si="48"/>
        <v>0</v>
      </c>
    </row>
    <row r="745" spans="1:15" outlineLevel="2" x14ac:dyDescent="0.25">
      <c r="A745" s="207" t="str">
        <f>VLOOKUP(RIGHT(E745,3)+0,SchLocTable!$A$2:$B$47,2,FALSE)</f>
        <v>Hooker</v>
      </c>
      <c r="B745" s="207" t="str">
        <f>VLOOKUP(VALUE(D745),$D$3:F$106,3,FALSE)</f>
        <v>Supplementary Supplies</v>
      </c>
      <c r="C745" s="751" t="s">
        <v>246</v>
      </c>
      <c r="D745" s="751" t="s">
        <v>375</v>
      </c>
      <c r="E745" s="751" t="s">
        <v>393</v>
      </c>
      <c r="F745" s="751" t="s">
        <v>381</v>
      </c>
      <c r="G745" s="752" t="s">
        <v>1681</v>
      </c>
      <c r="H745" s="753">
        <v>54725</v>
      </c>
      <c r="I745" s="754">
        <v>806.91</v>
      </c>
      <c r="J745" s="754">
        <v>0</v>
      </c>
      <c r="K745" s="754">
        <v>0</v>
      </c>
      <c r="L745" s="754">
        <v>0</v>
      </c>
      <c r="M745" s="754">
        <f t="shared" si="47"/>
        <v>0</v>
      </c>
      <c r="N745" s="756">
        <v>806.91</v>
      </c>
      <c r="O745" s="720">
        <f t="shared" si="48"/>
        <v>0</v>
      </c>
    </row>
    <row r="746" spans="1:15" outlineLevel="2" x14ac:dyDescent="0.25">
      <c r="A746" s="207" t="str">
        <f>VLOOKUP(RIGHT(E746,3)+0,SchLocTable!$A$2:$B$47,2,FALSE)</f>
        <v>Hooker</v>
      </c>
      <c r="B746" s="207" t="str">
        <f>VLOOKUP(VALUE(D746),$D$3:F$106,3,FALSE)</f>
        <v>Supplementary Supplies</v>
      </c>
      <c r="C746" s="751" t="s">
        <v>246</v>
      </c>
      <c r="D746" s="751" t="s">
        <v>375</v>
      </c>
      <c r="E746" s="751" t="s">
        <v>393</v>
      </c>
      <c r="F746" s="751" t="s">
        <v>382</v>
      </c>
      <c r="G746" s="752" t="s">
        <v>1681</v>
      </c>
      <c r="H746" s="753">
        <v>56180</v>
      </c>
      <c r="I746" s="754">
        <v>65</v>
      </c>
      <c r="J746" s="754">
        <v>0</v>
      </c>
      <c r="K746" s="754">
        <v>0</v>
      </c>
      <c r="L746" s="754">
        <v>0</v>
      </c>
      <c r="M746" s="754">
        <f t="shared" si="47"/>
        <v>0</v>
      </c>
      <c r="N746" s="756">
        <v>65</v>
      </c>
      <c r="O746" s="720">
        <f t="shared" si="48"/>
        <v>0</v>
      </c>
    </row>
    <row r="747" spans="1:15" outlineLevel="2" x14ac:dyDescent="0.25">
      <c r="A747" s="207" t="str">
        <f>VLOOKUP(RIGHT(E747,3)+0,SchLocTable!$A$2:$B$47,2,FALSE)</f>
        <v>Batalla</v>
      </c>
      <c r="B747" s="207" t="str">
        <f>VLOOKUP(VALUE(D747),$D$3:F$106,3,FALSE)</f>
        <v>Supplementary Supplies</v>
      </c>
      <c r="C747" s="751" t="s">
        <v>246</v>
      </c>
      <c r="D747" s="751" t="s">
        <v>375</v>
      </c>
      <c r="E747" s="751" t="s">
        <v>394</v>
      </c>
      <c r="F747" s="751" t="s">
        <v>402</v>
      </c>
      <c r="G747" s="752" t="s">
        <v>1681</v>
      </c>
      <c r="H747" s="753">
        <v>51400</v>
      </c>
      <c r="I747" s="754">
        <v>0</v>
      </c>
      <c r="J747" s="754">
        <v>0</v>
      </c>
      <c r="K747" s="754">
        <v>0</v>
      </c>
      <c r="L747" s="754">
        <v>0</v>
      </c>
      <c r="M747" s="754">
        <f t="shared" si="47"/>
        <v>0</v>
      </c>
      <c r="N747" s="756">
        <v>0</v>
      </c>
      <c r="O747" s="720">
        <f t="shared" si="48"/>
        <v>0</v>
      </c>
    </row>
    <row r="748" spans="1:15" outlineLevel="2" x14ac:dyDescent="0.25">
      <c r="A748" s="207" t="str">
        <f>VLOOKUP(RIGHT(E748,3)+0,SchLocTable!$A$2:$B$47,2,FALSE)</f>
        <v>Batalla</v>
      </c>
      <c r="B748" s="207" t="str">
        <f>VLOOKUP(VALUE(D748),$D$3:F$106,3,FALSE)</f>
        <v>Supplementary Supplies</v>
      </c>
      <c r="C748" s="751" t="s">
        <v>246</v>
      </c>
      <c r="D748" s="751" t="s">
        <v>375</v>
      </c>
      <c r="E748" s="751" t="s">
        <v>394</v>
      </c>
      <c r="F748" s="751" t="s">
        <v>371</v>
      </c>
      <c r="G748" s="752" t="s">
        <v>1681</v>
      </c>
      <c r="H748" s="753">
        <v>54580</v>
      </c>
      <c r="I748" s="754">
        <v>21434.3</v>
      </c>
      <c r="J748" s="754">
        <v>4004.54</v>
      </c>
      <c r="K748" s="754">
        <v>0</v>
      </c>
      <c r="L748" s="754">
        <v>3615.12</v>
      </c>
      <c r="M748" s="754">
        <f t="shared" si="47"/>
        <v>7619.66</v>
      </c>
      <c r="N748" s="756">
        <v>21434.3</v>
      </c>
      <c r="O748" s="720">
        <f t="shared" si="48"/>
        <v>0</v>
      </c>
    </row>
    <row r="749" spans="1:15" outlineLevel="2" x14ac:dyDescent="0.25">
      <c r="A749" s="207" t="str">
        <f>VLOOKUP(RIGHT(E749,3)+0,SchLocTable!$A$2:$B$47,2,FALSE)</f>
        <v>Batalla</v>
      </c>
      <c r="B749" s="207" t="str">
        <f>VLOOKUP(VALUE(D749),$D$3:F$106,3,FALSE)</f>
        <v>Supplementary Supplies</v>
      </c>
      <c r="C749" s="751" t="s">
        <v>246</v>
      </c>
      <c r="D749" s="751" t="s">
        <v>375</v>
      </c>
      <c r="E749" s="751" t="s">
        <v>394</v>
      </c>
      <c r="F749" s="751" t="s">
        <v>381</v>
      </c>
      <c r="G749" s="752" t="s">
        <v>1681</v>
      </c>
      <c r="H749" s="753">
        <v>54725</v>
      </c>
      <c r="I749" s="754">
        <v>996.91</v>
      </c>
      <c r="J749" s="754">
        <v>0</v>
      </c>
      <c r="K749" s="754">
        <v>0</v>
      </c>
      <c r="L749" s="754">
        <v>0</v>
      </c>
      <c r="M749" s="754">
        <f t="shared" si="47"/>
        <v>0</v>
      </c>
      <c r="N749" s="756">
        <v>996.91</v>
      </c>
      <c r="O749" s="720">
        <f t="shared" si="48"/>
        <v>0</v>
      </c>
    </row>
    <row r="750" spans="1:15" outlineLevel="2" x14ac:dyDescent="0.25">
      <c r="A750" s="207" t="str">
        <f>VLOOKUP(RIGHT(E750,3)+0,SchLocTable!$A$2:$B$47,2,FALSE)</f>
        <v>Batalla</v>
      </c>
      <c r="B750" s="207" t="str">
        <f>VLOOKUP(VALUE(D750),$D$3:F$106,3,FALSE)</f>
        <v>Supplementary Supplies</v>
      </c>
      <c r="C750" s="751" t="s">
        <v>246</v>
      </c>
      <c r="D750" s="751" t="s">
        <v>375</v>
      </c>
      <c r="E750" s="751" t="s">
        <v>394</v>
      </c>
      <c r="F750" s="751" t="s">
        <v>1993</v>
      </c>
      <c r="G750" s="752" t="s">
        <v>1681</v>
      </c>
      <c r="H750" s="753">
        <v>55075</v>
      </c>
      <c r="I750" s="754">
        <v>1394.79</v>
      </c>
      <c r="J750" s="754">
        <v>0</v>
      </c>
      <c r="K750" s="754">
        <v>0</v>
      </c>
      <c r="L750" s="754">
        <v>0</v>
      </c>
      <c r="M750" s="754">
        <f t="shared" si="47"/>
        <v>0</v>
      </c>
      <c r="N750" s="756">
        <v>1394.79</v>
      </c>
      <c r="O750" s="720">
        <f t="shared" si="48"/>
        <v>0</v>
      </c>
    </row>
    <row r="751" spans="1:15" outlineLevel="2" x14ac:dyDescent="0.25">
      <c r="A751" s="207" t="str">
        <f>VLOOKUP(RIGHT(E751,3)+0,SchLocTable!$A$2:$B$47,2,FALSE)</f>
        <v>Batalla</v>
      </c>
      <c r="B751" s="207" t="str">
        <f>VLOOKUP(VALUE(D751),$D$3:F$106,3,FALSE)</f>
        <v>Supplementary Supplies</v>
      </c>
      <c r="C751" s="751" t="s">
        <v>246</v>
      </c>
      <c r="D751" s="751" t="s">
        <v>375</v>
      </c>
      <c r="E751" s="751" t="s">
        <v>394</v>
      </c>
      <c r="F751" s="751" t="s">
        <v>382</v>
      </c>
      <c r="G751" s="752" t="s">
        <v>1681</v>
      </c>
      <c r="H751" s="753">
        <v>56180</v>
      </c>
      <c r="I751" s="754">
        <v>669</v>
      </c>
      <c r="J751" s="754">
        <v>0</v>
      </c>
      <c r="K751" s="754">
        <v>0</v>
      </c>
      <c r="L751" s="754">
        <v>669</v>
      </c>
      <c r="M751" s="754">
        <f t="shared" si="47"/>
        <v>669</v>
      </c>
      <c r="N751" s="756">
        <v>669</v>
      </c>
      <c r="O751" s="720">
        <f t="shared" si="48"/>
        <v>0</v>
      </c>
    </row>
    <row r="752" spans="1:15" outlineLevel="2" x14ac:dyDescent="0.25">
      <c r="A752" s="207" t="str">
        <f>VLOOKUP(RIGHT(E752,3)+0,SchLocTable!$A$2:$B$47,2,FALSE)</f>
        <v>Batalla</v>
      </c>
      <c r="B752" s="207" t="str">
        <f>VLOOKUP(VALUE(D752),$D$3:F$106,3,FALSE)</f>
        <v>Supplementary Supplies</v>
      </c>
      <c r="C752" s="751" t="s">
        <v>246</v>
      </c>
      <c r="D752" s="751" t="s">
        <v>375</v>
      </c>
      <c r="E752" s="751" t="s">
        <v>394</v>
      </c>
      <c r="F752" s="751" t="s">
        <v>635</v>
      </c>
      <c r="G752" s="752" t="s">
        <v>1681</v>
      </c>
      <c r="H752" s="753">
        <v>56240</v>
      </c>
      <c r="I752" s="754">
        <v>675</v>
      </c>
      <c r="J752" s="754">
        <v>0</v>
      </c>
      <c r="K752" s="754">
        <v>0</v>
      </c>
      <c r="L752" s="754">
        <v>0</v>
      </c>
      <c r="M752" s="754">
        <f t="shared" si="47"/>
        <v>0</v>
      </c>
      <c r="N752" s="756">
        <v>675</v>
      </c>
      <c r="O752" s="720">
        <f t="shared" si="48"/>
        <v>0</v>
      </c>
    </row>
    <row r="753" spans="1:15" outlineLevel="2" x14ac:dyDescent="0.25">
      <c r="A753" s="207" t="str">
        <f>VLOOKUP(RIGHT(E753,3)+0,SchLocTable!$A$2:$B$47,2,FALSE)</f>
        <v>Info Tech HS</v>
      </c>
      <c r="B753" s="207" t="str">
        <f>VLOOKUP(VALUE(D753),$D$3:F$106,3,FALSE)</f>
        <v>Supplementary Supplies</v>
      </c>
      <c r="C753" s="751" t="s">
        <v>246</v>
      </c>
      <c r="D753" s="751" t="s">
        <v>375</v>
      </c>
      <c r="E753" s="751" t="s">
        <v>395</v>
      </c>
      <c r="F753" s="751" t="s">
        <v>402</v>
      </c>
      <c r="G753" s="752" t="s">
        <v>1681</v>
      </c>
      <c r="H753" s="753">
        <v>51400</v>
      </c>
      <c r="I753" s="754">
        <v>0</v>
      </c>
      <c r="J753" s="754">
        <v>0</v>
      </c>
      <c r="K753" s="754">
        <v>0</v>
      </c>
      <c r="L753" s="754">
        <v>0</v>
      </c>
      <c r="M753" s="754">
        <f t="shared" si="47"/>
        <v>0</v>
      </c>
      <c r="N753" s="756">
        <v>0</v>
      </c>
      <c r="O753" s="720">
        <f t="shared" si="48"/>
        <v>0</v>
      </c>
    </row>
    <row r="754" spans="1:15" outlineLevel="2" x14ac:dyDescent="0.25">
      <c r="A754" s="207" t="str">
        <f>VLOOKUP(RIGHT(E754,3)+0,SchLocTable!$A$2:$B$47,2,FALSE)</f>
        <v>Info Tech HS</v>
      </c>
      <c r="B754" s="207" t="str">
        <f>VLOOKUP(VALUE(D754),$D$3:F$106,3,FALSE)</f>
        <v>Supplementary Supplies</v>
      </c>
      <c r="C754" s="751" t="s">
        <v>246</v>
      </c>
      <c r="D754" s="751" t="s">
        <v>375</v>
      </c>
      <c r="E754" s="751" t="s">
        <v>395</v>
      </c>
      <c r="F754" s="751" t="s">
        <v>254</v>
      </c>
      <c r="G754" s="752" t="s">
        <v>1681</v>
      </c>
      <c r="H754" s="753">
        <v>52360</v>
      </c>
      <c r="I754" s="754">
        <v>0</v>
      </c>
      <c r="J754" s="754">
        <v>0</v>
      </c>
      <c r="K754" s="754">
        <v>0</v>
      </c>
      <c r="L754" s="754">
        <v>0</v>
      </c>
      <c r="M754" s="754">
        <f t="shared" si="47"/>
        <v>0</v>
      </c>
      <c r="N754" s="756">
        <v>0</v>
      </c>
      <c r="O754" s="720">
        <f t="shared" si="48"/>
        <v>0</v>
      </c>
    </row>
    <row r="755" spans="1:15" outlineLevel="2" x14ac:dyDescent="0.25">
      <c r="A755" s="207" t="str">
        <f>VLOOKUP(RIGHT(E755,3)+0,SchLocTable!$A$2:$B$47,2,FALSE)</f>
        <v>Info Tech HS</v>
      </c>
      <c r="B755" s="207" t="str">
        <f>VLOOKUP(VALUE(D755),$D$3:F$106,3,FALSE)</f>
        <v>Supplementary Supplies</v>
      </c>
      <c r="C755" s="751" t="s">
        <v>246</v>
      </c>
      <c r="D755" s="751" t="s">
        <v>375</v>
      </c>
      <c r="E755" s="751" t="s">
        <v>395</v>
      </c>
      <c r="F755" s="751" t="s">
        <v>396</v>
      </c>
      <c r="G755" s="752" t="s">
        <v>1681</v>
      </c>
      <c r="H755" s="753">
        <v>53605</v>
      </c>
      <c r="I755" s="754">
        <v>1345</v>
      </c>
      <c r="J755" s="754">
        <v>0</v>
      </c>
      <c r="K755" s="754">
        <v>0</v>
      </c>
      <c r="L755" s="754">
        <v>475</v>
      </c>
      <c r="M755" s="754">
        <f t="shared" si="47"/>
        <v>475</v>
      </c>
      <c r="N755" s="756">
        <v>1345</v>
      </c>
      <c r="O755" s="720">
        <f t="shared" si="48"/>
        <v>0</v>
      </c>
    </row>
    <row r="756" spans="1:15" outlineLevel="2" x14ac:dyDescent="0.25">
      <c r="A756" s="207" t="str">
        <f>VLOOKUP(RIGHT(E756,3)+0,SchLocTable!$A$2:$B$47,2,FALSE)</f>
        <v>Info Tech HS</v>
      </c>
      <c r="B756" s="207" t="str">
        <f>VLOOKUP(VALUE(D756),$D$3:F$106,3,FALSE)</f>
        <v>Supplementary Supplies</v>
      </c>
      <c r="C756" s="751" t="s">
        <v>246</v>
      </c>
      <c r="D756" s="751" t="s">
        <v>375</v>
      </c>
      <c r="E756" s="751" t="s">
        <v>395</v>
      </c>
      <c r="F756" s="751" t="s">
        <v>371</v>
      </c>
      <c r="G756" s="752" t="s">
        <v>1681</v>
      </c>
      <c r="H756" s="753">
        <v>54580</v>
      </c>
      <c r="I756" s="754">
        <v>10094.030000000001</v>
      </c>
      <c r="J756" s="754">
        <v>431.98</v>
      </c>
      <c r="K756" s="754">
        <v>0</v>
      </c>
      <c r="L756" s="754">
        <v>1167.18</v>
      </c>
      <c r="M756" s="754">
        <f t="shared" si="47"/>
        <v>1599.16</v>
      </c>
      <c r="N756" s="756">
        <v>10094.030000000001</v>
      </c>
      <c r="O756" s="720">
        <f t="shared" si="48"/>
        <v>0</v>
      </c>
    </row>
    <row r="757" spans="1:15" outlineLevel="2" x14ac:dyDescent="0.25">
      <c r="A757" s="207" t="str">
        <f>VLOOKUP(RIGHT(E757,3)+0,SchLocTable!$A$2:$B$47,2,FALSE)</f>
        <v>Info Tech HS</v>
      </c>
      <c r="B757" s="207" t="str">
        <f>VLOOKUP(VALUE(D757),$D$3:F$106,3,FALSE)</f>
        <v>Supplementary Supplies</v>
      </c>
      <c r="C757" s="751" t="s">
        <v>246</v>
      </c>
      <c r="D757" s="751" t="s">
        <v>375</v>
      </c>
      <c r="E757" s="751" t="s">
        <v>395</v>
      </c>
      <c r="F757" s="751" t="s">
        <v>381</v>
      </c>
      <c r="G757" s="752" t="s">
        <v>1681</v>
      </c>
      <c r="H757" s="753">
        <v>54725</v>
      </c>
      <c r="I757" s="754">
        <v>361.65</v>
      </c>
      <c r="J757" s="754">
        <v>0</v>
      </c>
      <c r="K757" s="754">
        <v>0</v>
      </c>
      <c r="L757" s="754">
        <v>0</v>
      </c>
      <c r="M757" s="754">
        <f t="shared" si="47"/>
        <v>0</v>
      </c>
      <c r="N757" s="756">
        <v>361.65</v>
      </c>
      <c r="O757" s="720">
        <f t="shared" si="48"/>
        <v>0</v>
      </c>
    </row>
    <row r="758" spans="1:15" outlineLevel="2" x14ac:dyDescent="0.25">
      <c r="A758" s="207" t="str">
        <f>VLOOKUP(RIGHT(E758,3)+0,SchLocTable!$A$2:$B$47,2,FALSE)</f>
        <v>Info Tech HS</v>
      </c>
      <c r="B758" s="207" t="str">
        <f>VLOOKUP(VALUE(D758),$D$3:F$106,3,FALSE)</f>
        <v>Supplementary Supplies</v>
      </c>
      <c r="C758" s="751" t="s">
        <v>246</v>
      </c>
      <c r="D758" s="751" t="s">
        <v>375</v>
      </c>
      <c r="E758" s="751" t="s">
        <v>395</v>
      </c>
      <c r="F758" s="751" t="s">
        <v>382</v>
      </c>
      <c r="G758" s="752" t="s">
        <v>1681</v>
      </c>
      <c r="H758" s="753">
        <v>56180</v>
      </c>
      <c r="I758" s="754">
        <v>699.32</v>
      </c>
      <c r="J758" s="754">
        <v>0</v>
      </c>
      <c r="K758" s="754">
        <v>0</v>
      </c>
      <c r="L758" s="754">
        <v>668.5</v>
      </c>
      <c r="M758" s="754">
        <f t="shared" si="47"/>
        <v>668.5</v>
      </c>
      <c r="N758" s="756">
        <v>699.32</v>
      </c>
      <c r="O758" s="720">
        <f t="shared" si="48"/>
        <v>0</v>
      </c>
    </row>
    <row r="759" spans="1:15" outlineLevel="2" x14ac:dyDescent="0.25">
      <c r="A759" s="207" t="str">
        <f>VLOOKUP(RIGHT(E759,3)+0,SchLocTable!$A$2:$B$47,2,FALSE)</f>
        <v>Info Tech HS</v>
      </c>
      <c r="B759" s="207" t="str">
        <f>VLOOKUP(VALUE(D759),$D$3:F$106,3,FALSE)</f>
        <v>Supplementary Supplies</v>
      </c>
      <c r="C759" s="751" t="s">
        <v>246</v>
      </c>
      <c r="D759" s="751" t="s">
        <v>375</v>
      </c>
      <c r="E759" s="751" t="s">
        <v>395</v>
      </c>
      <c r="F759" s="751" t="s">
        <v>635</v>
      </c>
      <c r="G759" s="752" t="s">
        <v>1681</v>
      </c>
      <c r="H759" s="753">
        <v>56240</v>
      </c>
      <c r="I759" s="754">
        <v>0</v>
      </c>
      <c r="J759" s="754">
        <v>0</v>
      </c>
      <c r="K759" s="754">
        <v>0</v>
      </c>
      <c r="L759" s="754">
        <v>0</v>
      </c>
      <c r="M759" s="754">
        <f t="shared" si="47"/>
        <v>0</v>
      </c>
      <c r="N759" s="756">
        <v>0</v>
      </c>
      <c r="O759" s="720">
        <f t="shared" si="48"/>
        <v>0</v>
      </c>
    </row>
    <row r="760" spans="1:15" outlineLevel="2" x14ac:dyDescent="0.25">
      <c r="A760" s="207" t="str">
        <f>VLOOKUP(RIGHT(E760,3)+0,SchLocTable!$A$2:$B$47,2,FALSE)</f>
        <v>BMA HS</v>
      </c>
      <c r="B760" s="207" t="str">
        <f>VLOOKUP(VALUE(D760),$D$3:F$106,3,FALSE)</f>
        <v>Supplementary Supplies</v>
      </c>
      <c r="C760" s="751" t="s">
        <v>246</v>
      </c>
      <c r="D760" s="751" t="s">
        <v>375</v>
      </c>
      <c r="E760" s="751" t="s">
        <v>398</v>
      </c>
      <c r="F760" s="751" t="s">
        <v>380</v>
      </c>
      <c r="G760" s="752" t="s">
        <v>1681</v>
      </c>
      <c r="H760" s="753">
        <v>51122</v>
      </c>
      <c r="I760" s="754">
        <v>0</v>
      </c>
      <c r="J760" s="754">
        <v>0</v>
      </c>
      <c r="K760" s="754">
        <v>0</v>
      </c>
      <c r="L760" s="754">
        <v>0</v>
      </c>
      <c r="M760" s="754">
        <f t="shared" si="47"/>
        <v>0</v>
      </c>
      <c r="N760" s="756">
        <v>0</v>
      </c>
      <c r="O760" s="720">
        <f t="shared" si="48"/>
        <v>0</v>
      </c>
    </row>
    <row r="761" spans="1:15" outlineLevel="2" x14ac:dyDescent="0.25">
      <c r="A761" s="207" t="str">
        <f>VLOOKUP(RIGHT(E761,3)+0,SchLocTable!$A$2:$B$47,2,FALSE)</f>
        <v>BMA HS</v>
      </c>
      <c r="B761" s="207" t="str">
        <f>VLOOKUP(VALUE(D761),$D$3:F$106,3,FALSE)</f>
        <v>Supplementary Supplies</v>
      </c>
      <c r="C761" s="751" t="s">
        <v>246</v>
      </c>
      <c r="D761" s="751" t="s">
        <v>375</v>
      </c>
      <c r="E761" s="751" t="s">
        <v>398</v>
      </c>
      <c r="F761" s="751" t="s">
        <v>254</v>
      </c>
      <c r="G761" s="752" t="s">
        <v>1681</v>
      </c>
      <c r="H761" s="753">
        <v>52360</v>
      </c>
      <c r="I761" s="754">
        <v>0</v>
      </c>
      <c r="J761" s="754">
        <v>0</v>
      </c>
      <c r="K761" s="754">
        <v>0</v>
      </c>
      <c r="L761" s="754">
        <v>0</v>
      </c>
      <c r="M761" s="754">
        <f t="shared" si="47"/>
        <v>0</v>
      </c>
      <c r="N761" s="756">
        <v>0</v>
      </c>
      <c r="O761" s="720">
        <f t="shared" si="48"/>
        <v>0</v>
      </c>
    </row>
    <row r="762" spans="1:15" outlineLevel="2" x14ac:dyDescent="0.25">
      <c r="A762" s="207" t="str">
        <f>VLOOKUP(RIGHT(E762,3)+0,SchLocTable!$A$2:$B$47,2,FALSE)</f>
        <v>BMA HS</v>
      </c>
      <c r="B762" s="207" t="str">
        <f>VLOOKUP(VALUE(D762),$D$3:F$106,3,FALSE)</f>
        <v>Supplementary Supplies</v>
      </c>
      <c r="C762" s="751" t="s">
        <v>246</v>
      </c>
      <c r="D762" s="751" t="s">
        <v>375</v>
      </c>
      <c r="E762" s="751" t="s">
        <v>398</v>
      </c>
      <c r="F762" s="751" t="s">
        <v>331</v>
      </c>
      <c r="G762" s="752" t="s">
        <v>1681</v>
      </c>
      <c r="H762" s="753">
        <v>52504</v>
      </c>
      <c r="I762" s="754">
        <v>0</v>
      </c>
      <c r="J762" s="754">
        <v>0</v>
      </c>
      <c r="K762" s="754">
        <v>0</v>
      </c>
      <c r="L762" s="754">
        <v>0</v>
      </c>
      <c r="M762" s="754">
        <f t="shared" si="47"/>
        <v>0</v>
      </c>
      <c r="N762" s="756">
        <v>0</v>
      </c>
      <c r="O762" s="720">
        <f t="shared" si="48"/>
        <v>0</v>
      </c>
    </row>
    <row r="763" spans="1:15" outlineLevel="2" x14ac:dyDescent="0.25">
      <c r="A763" s="207" t="str">
        <f>VLOOKUP(RIGHT(E763,3)+0,SchLocTable!$A$2:$B$47,2,FALSE)</f>
        <v>BMA HS</v>
      </c>
      <c r="B763" s="207" t="str">
        <f>VLOOKUP(VALUE(D763),$D$3:F$106,3,FALSE)</f>
        <v>Supplementary Supplies</v>
      </c>
      <c r="C763" s="751" t="s">
        <v>246</v>
      </c>
      <c r="D763" s="751" t="s">
        <v>375</v>
      </c>
      <c r="E763" s="751" t="s">
        <v>398</v>
      </c>
      <c r="F763" s="751" t="s">
        <v>371</v>
      </c>
      <c r="G763" s="752" t="s">
        <v>1681</v>
      </c>
      <c r="H763" s="753">
        <v>54580</v>
      </c>
      <c r="I763" s="754">
        <v>6824.3</v>
      </c>
      <c r="J763" s="754">
        <v>708.81</v>
      </c>
      <c r="K763" s="754">
        <v>0</v>
      </c>
      <c r="L763" s="754">
        <v>2492.91</v>
      </c>
      <c r="M763" s="754">
        <f t="shared" si="47"/>
        <v>3201.72</v>
      </c>
      <c r="N763" s="756">
        <v>6824.3</v>
      </c>
      <c r="O763" s="720">
        <f t="shared" si="48"/>
        <v>0</v>
      </c>
    </row>
    <row r="764" spans="1:15" outlineLevel="2" x14ac:dyDescent="0.25">
      <c r="A764" s="207" t="str">
        <f>VLOOKUP(RIGHT(E764,3)+0,SchLocTable!$A$2:$B$47,2,FALSE)</f>
        <v>BMA HS</v>
      </c>
      <c r="B764" s="207" t="str">
        <f>VLOOKUP(VALUE(D764),$D$3:F$106,3,FALSE)</f>
        <v>Supplementary Supplies</v>
      </c>
      <c r="C764" s="751" t="s">
        <v>246</v>
      </c>
      <c r="D764" s="751" t="s">
        <v>375</v>
      </c>
      <c r="E764" s="751" t="s">
        <v>398</v>
      </c>
      <c r="F764" s="751" t="s">
        <v>381</v>
      </c>
      <c r="G764" s="752" t="s">
        <v>1681</v>
      </c>
      <c r="H764" s="753">
        <v>54725</v>
      </c>
      <c r="I764" s="754">
        <v>585.70000000000005</v>
      </c>
      <c r="J764" s="754">
        <v>0</v>
      </c>
      <c r="K764" s="754">
        <v>0</v>
      </c>
      <c r="L764" s="754">
        <v>0</v>
      </c>
      <c r="M764" s="754">
        <f t="shared" si="47"/>
        <v>0</v>
      </c>
      <c r="N764" s="756">
        <v>585.70000000000005</v>
      </c>
      <c r="O764" s="720">
        <f t="shared" si="48"/>
        <v>0</v>
      </c>
    </row>
    <row r="765" spans="1:15" outlineLevel="2" x14ac:dyDescent="0.25">
      <c r="A765" s="207" t="str">
        <f>VLOOKUP(RIGHT(E765,3)+0,SchLocTable!$A$2:$B$47,2,FALSE)</f>
        <v>BMA HS</v>
      </c>
      <c r="B765" s="207" t="str">
        <f>VLOOKUP(VALUE(D765),$D$3:F$106,3,FALSE)</f>
        <v>Supplementary Supplies</v>
      </c>
      <c r="C765" s="751" t="s">
        <v>246</v>
      </c>
      <c r="D765" s="751" t="s">
        <v>375</v>
      </c>
      <c r="E765" s="751" t="s">
        <v>398</v>
      </c>
      <c r="F765" s="751" t="s">
        <v>382</v>
      </c>
      <c r="G765" s="752" t="s">
        <v>1681</v>
      </c>
      <c r="H765" s="753">
        <v>56180</v>
      </c>
      <c r="I765" s="754">
        <v>465</v>
      </c>
      <c r="J765" s="754">
        <v>0</v>
      </c>
      <c r="K765" s="754">
        <v>0</v>
      </c>
      <c r="L765" s="754">
        <v>169</v>
      </c>
      <c r="M765" s="754">
        <f t="shared" si="47"/>
        <v>169</v>
      </c>
      <c r="N765" s="756">
        <v>465</v>
      </c>
      <c r="O765" s="720">
        <f t="shared" si="48"/>
        <v>0</v>
      </c>
    </row>
    <row r="766" spans="1:15" outlineLevel="2" x14ac:dyDescent="0.25">
      <c r="A766" s="207" t="str">
        <f>VLOOKUP(RIGHT(E766,3)+0,SchLocTable!$A$2:$B$47,2,FALSE)</f>
        <v>Park City Magnet</v>
      </c>
      <c r="B766" s="207" t="str">
        <f>VLOOKUP(VALUE(D766),$D$3:F$106,3,FALSE)</f>
        <v>Supplementary Supplies</v>
      </c>
      <c r="C766" s="751" t="s">
        <v>246</v>
      </c>
      <c r="D766" s="751" t="s">
        <v>375</v>
      </c>
      <c r="E766" s="751" t="s">
        <v>399</v>
      </c>
      <c r="F766" s="751" t="s">
        <v>402</v>
      </c>
      <c r="G766" s="752" t="s">
        <v>1681</v>
      </c>
      <c r="H766" s="753">
        <v>51400</v>
      </c>
      <c r="I766" s="754">
        <v>0</v>
      </c>
      <c r="J766" s="754">
        <v>0</v>
      </c>
      <c r="K766" s="754">
        <v>0</v>
      </c>
      <c r="L766" s="754">
        <v>0</v>
      </c>
      <c r="M766" s="754">
        <f t="shared" si="47"/>
        <v>0</v>
      </c>
      <c r="N766" s="756">
        <v>0</v>
      </c>
      <c r="O766" s="720">
        <f t="shared" si="48"/>
        <v>0</v>
      </c>
    </row>
    <row r="767" spans="1:15" outlineLevel="2" x14ac:dyDescent="0.25">
      <c r="A767" s="207" t="str">
        <f>VLOOKUP(RIGHT(E767,3)+0,SchLocTable!$A$2:$B$47,2,FALSE)</f>
        <v>Park City Magnet</v>
      </c>
      <c r="B767" s="207" t="str">
        <f>VLOOKUP(VALUE(D767),$D$3:F$106,3,FALSE)</f>
        <v>Supplementary Supplies</v>
      </c>
      <c r="C767" s="751" t="s">
        <v>246</v>
      </c>
      <c r="D767" s="751" t="s">
        <v>375</v>
      </c>
      <c r="E767" s="751" t="s">
        <v>399</v>
      </c>
      <c r="F767" s="751" t="s">
        <v>254</v>
      </c>
      <c r="G767" s="752" t="s">
        <v>1681</v>
      </c>
      <c r="H767" s="753">
        <v>52360</v>
      </c>
      <c r="I767" s="754">
        <v>0</v>
      </c>
      <c r="J767" s="754">
        <v>0</v>
      </c>
      <c r="K767" s="754">
        <v>0</v>
      </c>
      <c r="L767" s="754">
        <v>0</v>
      </c>
      <c r="M767" s="754">
        <f t="shared" ref="M767:M830" si="49">SUM(J767:L767)</f>
        <v>0</v>
      </c>
      <c r="N767" s="756">
        <v>0</v>
      </c>
      <c r="O767" s="720">
        <f t="shared" ref="O767:O830" si="50">I767-N767</f>
        <v>0</v>
      </c>
    </row>
    <row r="768" spans="1:15" outlineLevel="2" x14ac:dyDescent="0.25">
      <c r="A768" s="207" t="str">
        <f>VLOOKUP(RIGHT(E768,3)+0,SchLocTable!$A$2:$B$47,2,FALSE)</f>
        <v>Park City Magnet</v>
      </c>
      <c r="B768" s="207" t="str">
        <f>VLOOKUP(VALUE(D768),$D$3:F$106,3,FALSE)</f>
        <v>Supplementary Supplies</v>
      </c>
      <c r="C768" s="751" t="s">
        <v>246</v>
      </c>
      <c r="D768" s="751" t="s">
        <v>375</v>
      </c>
      <c r="E768" s="751" t="s">
        <v>399</v>
      </c>
      <c r="F768" s="751" t="s">
        <v>907</v>
      </c>
      <c r="G768" s="752" t="s">
        <v>1681</v>
      </c>
      <c r="H768" s="753">
        <v>54550</v>
      </c>
      <c r="I768" s="754">
        <v>649.99</v>
      </c>
      <c r="J768" s="754">
        <v>649.99</v>
      </c>
      <c r="K768" s="754">
        <v>0</v>
      </c>
      <c r="L768" s="754">
        <v>0</v>
      </c>
      <c r="M768" s="754">
        <f t="shared" si="49"/>
        <v>649.99</v>
      </c>
      <c r="N768" s="756">
        <v>649.99</v>
      </c>
      <c r="O768" s="720">
        <f t="shared" si="50"/>
        <v>0</v>
      </c>
    </row>
    <row r="769" spans="1:15" outlineLevel="2" x14ac:dyDescent="0.25">
      <c r="A769" s="207" t="str">
        <f>VLOOKUP(RIGHT(E769,3)+0,SchLocTable!$A$2:$B$47,2,FALSE)</f>
        <v>Park City Magnet</v>
      </c>
      <c r="B769" s="207" t="str">
        <f>VLOOKUP(VALUE(D769),$D$3:F$106,3,FALSE)</f>
        <v>Supplementary Supplies</v>
      </c>
      <c r="C769" s="751" t="s">
        <v>246</v>
      </c>
      <c r="D769" s="751" t="s">
        <v>375</v>
      </c>
      <c r="E769" s="751" t="s">
        <v>399</v>
      </c>
      <c r="F769" s="751" t="s">
        <v>371</v>
      </c>
      <c r="G769" s="752" t="s">
        <v>1681</v>
      </c>
      <c r="H769" s="753">
        <v>54580</v>
      </c>
      <c r="I769" s="754">
        <v>10946.93</v>
      </c>
      <c r="J769" s="754">
        <v>0</v>
      </c>
      <c r="K769" s="754">
        <v>0</v>
      </c>
      <c r="L769" s="754">
        <v>5617.48</v>
      </c>
      <c r="M769" s="754">
        <f t="shared" si="49"/>
        <v>5617.48</v>
      </c>
      <c r="N769" s="756">
        <v>10946.93</v>
      </c>
      <c r="O769" s="720">
        <f t="shared" si="50"/>
        <v>0</v>
      </c>
    </row>
    <row r="770" spans="1:15" outlineLevel="2" x14ac:dyDescent="0.25">
      <c r="A770" s="207" t="str">
        <f>VLOOKUP(RIGHT(E770,3)+0,SchLocTable!$A$2:$B$47,2,FALSE)</f>
        <v>Park City Magnet</v>
      </c>
      <c r="B770" s="207" t="str">
        <f>VLOOKUP(VALUE(D770),$D$3:F$106,3,FALSE)</f>
        <v>Supplementary Supplies</v>
      </c>
      <c r="C770" s="751" t="s">
        <v>246</v>
      </c>
      <c r="D770" s="751" t="s">
        <v>375</v>
      </c>
      <c r="E770" s="751" t="s">
        <v>399</v>
      </c>
      <c r="F770" s="751" t="s">
        <v>381</v>
      </c>
      <c r="G770" s="752" t="s">
        <v>1681</v>
      </c>
      <c r="H770" s="753">
        <v>54725</v>
      </c>
      <c r="I770" s="754">
        <v>803.08</v>
      </c>
      <c r="J770" s="754">
        <v>0</v>
      </c>
      <c r="K770" s="754">
        <v>0</v>
      </c>
      <c r="L770" s="754">
        <v>0</v>
      </c>
      <c r="M770" s="754">
        <f t="shared" si="49"/>
        <v>0</v>
      </c>
      <c r="N770" s="756">
        <v>803.08</v>
      </c>
      <c r="O770" s="720">
        <f t="shared" si="50"/>
        <v>0</v>
      </c>
    </row>
    <row r="771" spans="1:15" outlineLevel="2" x14ac:dyDescent="0.25">
      <c r="A771" s="207" t="str">
        <f>VLOOKUP(RIGHT(E771,3)+0,SchLocTable!$A$2:$B$47,2,FALSE)</f>
        <v>Park City Magnet</v>
      </c>
      <c r="B771" s="207" t="str">
        <f>VLOOKUP(VALUE(D771),$D$3:F$106,3,FALSE)</f>
        <v>Supplementary Supplies</v>
      </c>
      <c r="C771" s="751" t="s">
        <v>246</v>
      </c>
      <c r="D771" s="751" t="s">
        <v>375</v>
      </c>
      <c r="E771" s="751" t="s">
        <v>399</v>
      </c>
      <c r="F771" s="751" t="s">
        <v>382</v>
      </c>
      <c r="G771" s="752" t="s">
        <v>1681</v>
      </c>
      <c r="H771" s="753">
        <v>56180</v>
      </c>
      <c r="I771" s="754">
        <v>0</v>
      </c>
      <c r="J771" s="754">
        <v>0</v>
      </c>
      <c r="K771" s="754">
        <v>0</v>
      </c>
      <c r="L771" s="754">
        <v>0</v>
      </c>
      <c r="M771" s="754">
        <f t="shared" si="49"/>
        <v>0</v>
      </c>
      <c r="N771" s="756">
        <v>0</v>
      </c>
      <c r="O771" s="720">
        <f t="shared" si="50"/>
        <v>0</v>
      </c>
    </row>
    <row r="772" spans="1:15" outlineLevel="2" x14ac:dyDescent="0.25">
      <c r="A772" s="207" t="str">
        <f>VLOOKUP(RIGHT(E772,3)+0,SchLocTable!$A$2:$B$47,2,FALSE)</f>
        <v>Zoo Science HS</v>
      </c>
      <c r="B772" s="207" t="str">
        <f>VLOOKUP(VALUE(D772),$D$3:F$106,3,FALSE)</f>
        <v>Supplementary Supplies</v>
      </c>
      <c r="C772" s="755" t="s">
        <v>246</v>
      </c>
      <c r="D772" s="751" t="s">
        <v>375</v>
      </c>
      <c r="E772" s="751" t="s">
        <v>400</v>
      </c>
      <c r="F772" s="751" t="s">
        <v>396</v>
      </c>
      <c r="G772" s="752" t="s">
        <v>1681</v>
      </c>
      <c r="H772" s="753">
        <v>53605</v>
      </c>
      <c r="I772" s="754">
        <v>860</v>
      </c>
      <c r="J772" s="754">
        <v>0</v>
      </c>
      <c r="K772" s="754">
        <v>0</v>
      </c>
      <c r="L772" s="754">
        <v>475</v>
      </c>
      <c r="M772" s="754">
        <f t="shared" si="49"/>
        <v>475</v>
      </c>
      <c r="N772" s="756">
        <v>860</v>
      </c>
      <c r="O772" s="720">
        <f t="shared" si="50"/>
        <v>0</v>
      </c>
    </row>
    <row r="773" spans="1:15" outlineLevel="2" x14ac:dyDescent="0.25">
      <c r="A773" s="207" t="str">
        <f>VLOOKUP(RIGHT(E773,3)+0,SchLocTable!$A$2:$B$47,2,FALSE)</f>
        <v>Zoo Science HS</v>
      </c>
      <c r="B773" s="207" t="str">
        <f>VLOOKUP(VALUE(D773),$D$3:F$106,3,FALSE)</f>
        <v>Supplementary Supplies</v>
      </c>
      <c r="C773" s="751" t="s">
        <v>246</v>
      </c>
      <c r="D773" s="751" t="s">
        <v>375</v>
      </c>
      <c r="E773" s="751" t="s">
        <v>400</v>
      </c>
      <c r="F773" s="751" t="s">
        <v>371</v>
      </c>
      <c r="G773" s="752" t="s">
        <v>1681</v>
      </c>
      <c r="H773" s="753">
        <v>54580</v>
      </c>
      <c r="I773" s="754">
        <v>10286.629999999999</v>
      </c>
      <c r="J773" s="754">
        <v>1941.61</v>
      </c>
      <c r="K773" s="754">
        <v>0</v>
      </c>
      <c r="L773" s="754">
        <v>2037.06</v>
      </c>
      <c r="M773" s="754">
        <f t="shared" si="49"/>
        <v>3978.67</v>
      </c>
      <c r="N773" s="756">
        <v>10286.629999999999</v>
      </c>
      <c r="O773" s="720">
        <f t="shared" si="50"/>
        <v>0</v>
      </c>
    </row>
    <row r="774" spans="1:15" outlineLevel="2" x14ac:dyDescent="0.25">
      <c r="A774" s="207" t="str">
        <f>VLOOKUP(RIGHT(E774,3)+0,SchLocTable!$A$2:$B$47,2,FALSE)</f>
        <v>Zoo Science HS</v>
      </c>
      <c r="B774" s="207" t="str">
        <f>VLOOKUP(VALUE(D774),$D$3:F$106,3,FALSE)</f>
        <v>Supplementary Supplies</v>
      </c>
      <c r="C774" s="751" t="s">
        <v>246</v>
      </c>
      <c r="D774" s="751" t="s">
        <v>375</v>
      </c>
      <c r="E774" s="751" t="s">
        <v>400</v>
      </c>
      <c r="F774" s="751" t="s">
        <v>381</v>
      </c>
      <c r="G774" s="752" t="s">
        <v>1681</v>
      </c>
      <c r="H774" s="753">
        <v>54725</v>
      </c>
      <c r="I774" s="754">
        <v>421.91</v>
      </c>
      <c r="J774" s="754">
        <v>0</v>
      </c>
      <c r="K774" s="754">
        <v>0</v>
      </c>
      <c r="L774" s="754">
        <v>0</v>
      </c>
      <c r="M774" s="754">
        <f t="shared" si="49"/>
        <v>0</v>
      </c>
      <c r="N774" s="756">
        <v>421.91</v>
      </c>
      <c r="O774" s="720">
        <f t="shared" si="50"/>
        <v>0</v>
      </c>
    </row>
    <row r="775" spans="1:15" outlineLevel="2" x14ac:dyDescent="0.25">
      <c r="A775" s="207" t="str">
        <f>VLOOKUP(RIGHT(E775,3)+0,SchLocTable!$A$2:$B$47,2,FALSE)</f>
        <v>Zoo Science HS</v>
      </c>
      <c r="B775" s="207" t="str">
        <f>VLOOKUP(VALUE(D775),$D$3:F$106,3,FALSE)</f>
        <v>Supplementary Supplies</v>
      </c>
      <c r="C775" s="751" t="s">
        <v>246</v>
      </c>
      <c r="D775" s="751" t="s">
        <v>375</v>
      </c>
      <c r="E775" s="751" t="s">
        <v>400</v>
      </c>
      <c r="F775" s="751" t="s">
        <v>382</v>
      </c>
      <c r="G775" s="752" t="s">
        <v>1681</v>
      </c>
      <c r="H775" s="753">
        <v>56180</v>
      </c>
      <c r="I775" s="754">
        <v>931.46</v>
      </c>
      <c r="J775" s="754">
        <v>103</v>
      </c>
      <c r="K775" s="754">
        <v>0</v>
      </c>
      <c r="L775" s="754">
        <v>668</v>
      </c>
      <c r="M775" s="754">
        <f t="shared" si="49"/>
        <v>771</v>
      </c>
      <c r="N775" s="756">
        <v>931.46</v>
      </c>
      <c r="O775" s="720">
        <f t="shared" si="50"/>
        <v>0</v>
      </c>
    </row>
    <row r="776" spans="1:15" outlineLevel="2" x14ac:dyDescent="0.25">
      <c r="A776" s="207" t="str">
        <f>VLOOKUP(RIGHT(E776,3)+0,SchLocTable!$A$2:$B$47,2,FALSE)</f>
        <v>Madison</v>
      </c>
      <c r="B776" s="207" t="str">
        <f>VLOOKUP(VALUE(D776),$D$3:F$106,3,FALSE)</f>
        <v>Supplementary Supplies</v>
      </c>
      <c r="C776" s="751" t="s">
        <v>246</v>
      </c>
      <c r="D776" s="751" t="s">
        <v>375</v>
      </c>
      <c r="E776" s="751" t="s">
        <v>401</v>
      </c>
      <c r="F776" s="751" t="s">
        <v>402</v>
      </c>
      <c r="G776" s="752" t="s">
        <v>1681</v>
      </c>
      <c r="H776" s="753">
        <v>51400</v>
      </c>
      <c r="I776" s="754">
        <v>0</v>
      </c>
      <c r="J776" s="754">
        <v>0</v>
      </c>
      <c r="K776" s="754">
        <v>0</v>
      </c>
      <c r="L776" s="754">
        <v>0</v>
      </c>
      <c r="M776" s="754">
        <f t="shared" si="49"/>
        <v>0</v>
      </c>
      <c r="N776" s="756">
        <v>0</v>
      </c>
      <c r="O776" s="720">
        <f t="shared" si="50"/>
        <v>0</v>
      </c>
    </row>
    <row r="777" spans="1:15" outlineLevel="2" x14ac:dyDescent="0.25">
      <c r="A777" s="207" t="str">
        <f>VLOOKUP(RIGHT(E777,3)+0,SchLocTable!$A$2:$B$47,2,FALSE)</f>
        <v>Madison</v>
      </c>
      <c r="B777" s="207" t="str">
        <f>VLOOKUP(VALUE(D777),$D$3:F$106,3,FALSE)</f>
        <v>Supplementary Supplies</v>
      </c>
      <c r="C777" s="751" t="s">
        <v>246</v>
      </c>
      <c r="D777" s="751" t="s">
        <v>375</v>
      </c>
      <c r="E777" s="751" t="s">
        <v>401</v>
      </c>
      <c r="F777" s="751" t="s">
        <v>371</v>
      </c>
      <c r="G777" s="752" t="s">
        <v>1681</v>
      </c>
      <c r="H777" s="753">
        <v>54580</v>
      </c>
      <c r="I777" s="754">
        <v>10178.09</v>
      </c>
      <c r="J777" s="754">
        <v>824.95</v>
      </c>
      <c r="K777" s="754">
        <v>0</v>
      </c>
      <c r="L777" s="754">
        <v>2269.3000000000002</v>
      </c>
      <c r="M777" s="754">
        <f t="shared" si="49"/>
        <v>3094.25</v>
      </c>
      <c r="N777" s="756">
        <v>10178.09</v>
      </c>
      <c r="O777" s="720">
        <f t="shared" si="50"/>
        <v>0</v>
      </c>
    </row>
    <row r="778" spans="1:15" outlineLevel="2" x14ac:dyDescent="0.25">
      <c r="A778" s="207" t="str">
        <f>VLOOKUP(RIGHT(E778,3)+0,SchLocTable!$A$2:$B$47,2,FALSE)</f>
        <v>Madison</v>
      </c>
      <c r="B778" s="207" t="str">
        <f>VLOOKUP(VALUE(D778),$D$3:F$106,3,FALSE)</f>
        <v>Supplementary Supplies</v>
      </c>
      <c r="C778" s="751" t="s">
        <v>246</v>
      </c>
      <c r="D778" s="751" t="s">
        <v>375</v>
      </c>
      <c r="E778" s="751" t="s">
        <v>401</v>
      </c>
      <c r="F778" s="751" t="s">
        <v>381</v>
      </c>
      <c r="G778" s="752" t="s">
        <v>1681</v>
      </c>
      <c r="H778" s="753">
        <v>54725</v>
      </c>
      <c r="I778" s="754">
        <v>646.91</v>
      </c>
      <c r="J778" s="754">
        <v>0</v>
      </c>
      <c r="K778" s="754">
        <v>0</v>
      </c>
      <c r="L778" s="754">
        <v>0</v>
      </c>
      <c r="M778" s="754">
        <f t="shared" si="49"/>
        <v>0</v>
      </c>
      <c r="N778" s="756">
        <v>646.91</v>
      </c>
      <c r="O778" s="720">
        <f t="shared" si="50"/>
        <v>0</v>
      </c>
    </row>
    <row r="779" spans="1:15" outlineLevel="2" x14ac:dyDescent="0.25">
      <c r="A779" s="207" t="str">
        <f>VLOOKUP(RIGHT(E779,3)+0,SchLocTable!$A$2:$B$47,2,FALSE)</f>
        <v>Madison</v>
      </c>
      <c r="B779" s="207" t="str">
        <f>VLOOKUP(VALUE(D779),$D$3:F$106,3,FALSE)</f>
        <v>Supplementary Supplies</v>
      </c>
      <c r="C779" s="751" t="s">
        <v>246</v>
      </c>
      <c r="D779" s="751" t="s">
        <v>375</v>
      </c>
      <c r="E779" s="751" t="s">
        <v>401</v>
      </c>
      <c r="F779" s="751" t="s">
        <v>382</v>
      </c>
      <c r="G779" s="752" t="s">
        <v>1681</v>
      </c>
      <c r="H779" s="753">
        <v>56180</v>
      </c>
      <c r="I779" s="754">
        <v>350</v>
      </c>
      <c r="J779" s="754">
        <v>0</v>
      </c>
      <c r="K779" s="754">
        <v>0</v>
      </c>
      <c r="L779" s="754">
        <v>0</v>
      </c>
      <c r="M779" s="754">
        <f t="shared" si="49"/>
        <v>0</v>
      </c>
      <c r="N779" s="756">
        <v>350</v>
      </c>
      <c r="O779" s="720">
        <f t="shared" si="50"/>
        <v>0</v>
      </c>
    </row>
    <row r="780" spans="1:15" outlineLevel="2" x14ac:dyDescent="0.25">
      <c r="A780" s="207" t="str">
        <f>VLOOKUP(RIGHT(E780,3)+0,SchLocTable!$A$2:$B$47,2,FALSE)</f>
        <v>Classical Studies Academy</v>
      </c>
      <c r="B780" s="207" t="str">
        <f>VLOOKUP(VALUE(D780),$D$3:F$106,3,FALSE)</f>
        <v>Supplementary Supplies</v>
      </c>
      <c r="C780" s="751" t="s">
        <v>246</v>
      </c>
      <c r="D780" s="751" t="s">
        <v>375</v>
      </c>
      <c r="E780" s="751" t="s">
        <v>403</v>
      </c>
      <c r="F780" s="751" t="s">
        <v>371</v>
      </c>
      <c r="G780" s="752" t="s">
        <v>1681</v>
      </c>
      <c r="H780" s="753">
        <v>54580</v>
      </c>
      <c r="I780" s="754">
        <v>9028.09</v>
      </c>
      <c r="J780" s="754">
        <v>1528.74</v>
      </c>
      <c r="K780" s="754">
        <v>0</v>
      </c>
      <c r="L780" s="754">
        <v>6092.03</v>
      </c>
      <c r="M780" s="754">
        <f t="shared" si="49"/>
        <v>7620.7699999999995</v>
      </c>
      <c r="N780" s="756">
        <v>9028.09</v>
      </c>
      <c r="O780" s="720">
        <f t="shared" si="50"/>
        <v>0</v>
      </c>
    </row>
    <row r="781" spans="1:15" outlineLevel="2" x14ac:dyDescent="0.25">
      <c r="A781" s="207" t="str">
        <f>VLOOKUP(RIGHT(E781,3)+0,SchLocTable!$A$2:$B$47,2,FALSE)</f>
        <v>Classical Studies Academy</v>
      </c>
      <c r="B781" s="207" t="str">
        <f>VLOOKUP(VALUE(D781),$D$3:F$106,3,FALSE)</f>
        <v>Supplementary Supplies</v>
      </c>
      <c r="C781" s="755" t="s">
        <v>246</v>
      </c>
      <c r="D781" s="751" t="s">
        <v>375</v>
      </c>
      <c r="E781" s="751" t="s">
        <v>403</v>
      </c>
      <c r="F781" s="751" t="s">
        <v>381</v>
      </c>
      <c r="G781" s="752" t="s">
        <v>1681</v>
      </c>
      <c r="H781" s="753">
        <v>54725</v>
      </c>
      <c r="I781" s="754">
        <v>746.91</v>
      </c>
      <c r="J781" s="754">
        <v>0</v>
      </c>
      <c r="K781" s="754">
        <v>0</v>
      </c>
      <c r="L781" s="754">
        <v>0</v>
      </c>
      <c r="M781" s="754">
        <f t="shared" si="49"/>
        <v>0</v>
      </c>
      <c r="N781" s="756">
        <v>746.91</v>
      </c>
      <c r="O781" s="720">
        <f t="shared" si="50"/>
        <v>0</v>
      </c>
    </row>
    <row r="782" spans="1:15" outlineLevel="2" x14ac:dyDescent="0.25">
      <c r="A782" s="207" t="str">
        <f>VLOOKUP(RIGHT(E782,3)+0,SchLocTable!$A$2:$B$47,2,FALSE)</f>
        <v>Tisdale</v>
      </c>
      <c r="B782" s="207" t="str">
        <f>VLOOKUP(VALUE(D782),$D$3:F$106,3,FALSE)</f>
        <v>Supplementary Supplies</v>
      </c>
      <c r="C782" s="751" t="s">
        <v>246</v>
      </c>
      <c r="D782" s="751" t="s">
        <v>375</v>
      </c>
      <c r="E782" s="751" t="s">
        <v>404</v>
      </c>
      <c r="F782" s="751" t="s">
        <v>371</v>
      </c>
      <c r="G782" s="752" t="s">
        <v>1681</v>
      </c>
      <c r="H782" s="753">
        <v>54580</v>
      </c>
      <c r="I782" s="754">
        <v>11823.09</v>
      </c>
      <c r="J782" s="754">
        <v>4294.6400000000003</v>
      </c>
      <c r="K782" s="754">
        <v>0</v>
      </c>
      <c r="L782" s="754">
        <v>3816.8</v>
      </c>
      <c r="M782" s="754">
        <f t="shared" si="49"/>
        <v>8111.4400000000005</v>
      </c>
      <c r="N782" s="756">
        <v>11823.09</v>
      </c>
      <c r="O782" s="720">
        <f t="shared" si="50"/>
        <v>0</v>
      </c>
    </row>
    <row r="783" spans="1:15" outlineLevel="2" x14ac:dyDescent="0.25">
      <c r="A783" s="207" t="str">
        <f>VLOOKUP(RIGHT(E783,3)+0,SchLocTable!$A$2:$B$47,2,FALSE)</f>
        <v>Tisdale</v>
      </c>
      <c r="B783" s="207" t="str">
        <f>VLOOKUP(VALUE(D783),$D$3:F$106,3,FALSE)</f>
        <v>Supplementary Supplies</v>
      </c>
      <c r="C783" s="751" t="s">
        <v>246</v>
      </c>
      <c r="D783" s="751" t="s">
        <v>375</v>
      </c>
      <c r="E783" s="751" t="s">
        <v>404</v>
      </c>
      <c r="F783" s="751" t="s">
        <v>381</v>
      </c>
      <c r="G783" s="752" t="s">
        <v>1681</v>
      </c>
      <c r="H783" s="753">
        <v>54725</v>
      </c>
      <c r="I783" s="754">
        <v>746.91</v>
      </c>
      <c r="J783" s="754">
        <v>0</v>
      </c>
      <c r="K783" s="754">
        <v>0</v>
      </c>
      <c r="L783" s="754">
        <v>0</v>
      </c>
      <c r="M783" s="754">
        <f t="shared" si="49"/>
        <v>0</v>
      </c>
      <c r="N783" s="756">
        <v>746.91</v>
      </c>
      <c r="O783" s="720">
        <f t="shared" si="50"/>
        <v>0</v>
      </c>
    </row>
    <row r="784" spans="1:15" outlineLevel="2" x14ac:dyDescent="0.25">
      <c r="A784" s="207" t="str">
        <f>VLOOKUP(RIGHT(E784,3)+0,SchLocTable!$A$2:$B$47,2,FALSE)</f>
        <v>Tisdale</v>
      </c>
      <c r="B784" s="207" t="str">
        <f>VLOOKUP(VALUE(D784),$D$3:F$106,3,FALSE)</f>
        <v>Supplementary Supplies</v>
      </c>
      <c r="C784" s="751" t="s">
        <v>246</v>
      </c>
      <c r="D784" s="751" t="s">
        <v>375</v>
      </c>
      <c r="E784" s="751" t="s">
        <v>404</v>
      </c>
      <c r="F784" s="751" t="s">
        <v>382</v>
      </c>
      <c r="G784" s="752" t="s">
        <v>1681</v>
      </c>
      <c r="H784" s="753">
        <v>56180</v>
      </c>
      <c r="I784" s="754">
        <v>2680</v>
      </c>
      <c r="J784" s="754">
        <v>0</v>
      </c>
      <c r="K784" s="754">
        <v>0</v>
      </c>
      <c r="L784" s="754">
        <v>0</v>
      </c>
      <c r="M784" s="754">
        <f t="shared" si="49"/>
        <v>0</v>
      </c>
      <c r="N784" s="756">
        <v>2680</v>
      </c>
      <c r="O784" s="720">
        <f t="shared" si="50"/>
        <v>0</v>
      </c>
    </row>
    <row r="785" spans="1:15" outlineLevel="2" x14ac:dyDescent="0.25">
      <c r="A785" s="207" t="str">
        <f>VLOOKUP(RIGHT(E785,3)+0,SchLocTable!$A$2:$B$47,2,FALSE)</f>
        <v>Read</v>
      </c>
      <c r="B785" s="207" t="str">
        <f>VLOOKUP(VALUE(D785),$D$3:F$106,3,FALSE)</f>
        <v>Supplementary Supplies</v>
      </c>
      <c r="C785" s="751" t="s">
        <v>246</v>
      </c>
      <c r="D785" s="751" t="s">
        <v>375</v>
      </c>
      <c r="E785" s="751" t="s">
        <v>405</v>
      </c>
      <c r="F785" s="751" t="s">
        <v>402</v>
      </c>
      <c r="G785" s="752" t="s">
        <v>1681</v>
      </c>
      <c r="H785" s="753">
        <v>51400</v>
      </c>
      <c r="I785" s="754">
        <v>0</v>
      </c>
      <c r="J785" s="754">
        <v>0</v>
      </c>
      <c r="K785" s="754">
        <v>0</v>
      </c>
      <c r="L785" s="754">
        <v>0</v>
      </c>
      <c r="M785" s="754">
        <f t="shared" si="49"/>
        <v>0</v>
      </c>
      <c r="N785" s="756">
        <v>0</v>
      </c>
      <c r="O785" s="720">
        <f t="shared" si="50"/>
        <v>0</v>
      </c>
    </row>
    <row r="786" spans="1:15" outlineLevel="2" x14ac:dyDescent="0.25">
      <c r="A786" s="207" t="str">
        <f>VLOOKUP(RIGHT(E786,3)+0,SchLocTable!$A$2:$B$47,2,FALSE)</f>
        <v>Read</v>
      </c>
      <c r="B786" s="207" t="str">
        <f>VLOOKUP(VALUE(D786),$D$3:F$106,3,FALSE)</f>
        <v>Supplementary Supplies</v>
      </c>
      <c r="C786" s="755" t="s">
        <v>246</v>
      </c>
      <c r="D786" s="751" t="s">
        <v>375</v>
      </c>
      <c r="E786" s="751" t="s">
        <v>405</v>
      </c>
      <c r="F786" s="751" t="s">
        <v>371</v>
      </c>
      <c r="G786" s="752" t="s">
        <v>1681</v>
      </c>
      <c r="H786" s="753">
        <v>54580</v>
      </c>
      <c r="I786" s="754">
        <v>16548.740000000002</v>
      </c>
      <c r="J786" s="754">
        <v>2703.28</v>
      </c>
      <c r="K786" s="754">
        <v>0</v>
      </c>
      <c r="L786" s="754">
        <v>3175.18</v>
      </c>
      <c r="M786" s="754">
        <f t="shared" si="49"/>
        <v>5878.46</v>
      </c>
      <c r="N786" s="756">
        <v>16548.740000000002</v>
      </c>
      <c r="O786" s="720">
        <f t="shared" si="50"/>
        <v>0</v>
      </c>
    </row>
    <row r="787" spans="1:15" outlineLevel="2" x14ac:dyDescent="0.25">
      <c r="A787" s="207" t="str">
        <f>VLOOKUP(RIGHT(E787,3)+0,SchLocTable!$A$2:$B$47,2,FALSE)</f>
        <v>Read</v>
      </c>
      <c r="B787" s="207" t="str">
        <f>VLOOKUP(VALUE(D787),$D$3:F$106,3,FALSE)</f>
        <v>Supplementary Supplies</v>
      </c>
      <c r="C787" s="751" t="s">
        <v>246</v>
      </c>
      <c r="D787" s="751" t="s">
        <v>375</v>
      </c>
      <c r="E787" s="751" t="s">
        <v>405</v>
      </c>
      <c r="F787" s="751" t="s">
        <v>381</v>
      </c>
      <c r="G787" s="752" t="s">
        <v>1681</v>
      </c>
      <c r="H787" s="753">
        <v>54725</v>
      </c>
      <c r="I787" s="754">
        <v>596.91</v>
      </c>
      <c r="J787" s="754">
        <v>0</v>
      </c>
      <c r="K787" s="754">
        <v>0</v>
      </c>
      <c r="L787" s="754">
        <v>0</v>
      </c>
      <c r="M787" s="754">
        <f t="shared" si="49"/>
        <v>0</v>
      </c>
      <c r="N787" s="756">
        <v>596.91</v>
      </c>
      <c r="O787" s="720">
        <f t="shared" si="50"/>
        <v>0</v>
      </c>
    </row>
    <row r="788" spans="1:15" outlineLevel="2" x14ac:dyDescent="0.25">
      <c r="A788" s="207" t="str">
        <f>VLOOKUP(RIGHT(E788,3)+0,SchLocTable!$A$2:$B$47,2,FALSE)</f>
        <v>Read</v>
      </c>
      <c r="B788" s="207" t="str">
        <f>VLOOKUP(VALUE(D788),$D$3:F$106,3,FALSE)</f>
        <v>Supplementary Supplies</v>
      </c>
      <c r="C788" s="751" t="s">
        <v>246</v>
      </c>
      <c r="D788" s="751" t="s">
        <v>375</v>
      </c>
      <c r="E788" s="751" t="s">
        <v>405</v>
      </c>
      <c r="F788" s="751" t="s">
        <v>1993</v>
      </c>
      <c r="G788" s="752" t="s">
        <v>1681</v>
      </c>
      <c r="H788" s="753">
        <v>55075</v>
      </c>
      <c r="I788" s="754">
        <v>1454.35</v>
      </c>
      <c r="J788" s="754">
        <v>0</v>
      </c>
      <c r="K788" s="754">
        <v>0</v>
      </c>
      <c r="L788" s="754">
        <v>0</v>
      </c>
      <c r="M788" s="754">
        <f t="shared" si="49"/>
        <v>0</v>
      </c>
      <c r="N788" s="756">
        <v>1454.35</v>
      </c>
      <c r="O788" s="720">
        <f t="shared" si="50"/>
        <v>0</v>
      </c>
    </row>
    <row r="789" spans="1:15" outlineLevel="2" x14ac:dyDescent="0.25">
      <c r="A789" s="207" t="str">
        <f>VLOOKUP(RIGHT(E789,3)+0,SchLocTable!$A$2:$B$47,2,FALSE)</f>
        <v>Read</v>
      </c>
      <c r="B789" s="207" t="str">
        <f>VLOOKUP(VALUE(D789),$D$3:F$106,3,FALSE)</f>
        <v>Supplementary Supplies</v>
      </c>
      <c r="C789" s="751" t="s">
        <v>246</v>
      </c>
      <c r="D789" s="751" t="s">
        <v>375</v>
      </c>
      <c r="E789" s="751" t="s">
        <v>405</v>
      </c>
      <c r="F789" s="751" t="s">
        <v>382</v>
      </c>
      <c r="G789" s="752" t="s">
        <v>1681</v>
      </c>
      <c r="H789" s="753">
        <v>56180</v>
      </c>
      <c r="I789" s="754">
        <v>1850</v>
      </c>
      <c r="J789" s="754">
        <v>0</v>
      </c>
      <c r="K789" s="754">
        <v>0</v>
      </c>
      <c r="L789" s="754">
        <v>520</v>
      </c>
      <c r="M789" s="754">
        <f t="shared" si="49"/>
        <v>520</v>
      </c>
      <c r="N789" s="756">
        <v>1850</v>
      </c>
      <c r="O789" s="720">
        <f t="shared" si="50"/>
        <v>0</v>
      </c>
    </row>
    <row r="790" spans="1:15" outlineLevel="2" x14ac:dyDescent="0.25">
      <c r="A790" s="207" t="str">
        <f>VLOOKUP(RIGHT(E790,3)+0,SchLocTable!$A$2:$B$47,2,FALSE)</f>
        <v>Read</v>
      </c>
      <c r="B790" s="207" t="str">
        <f>VLOOKUP(VALUE(D790),$D$3:F$106,3,FALSE)</f>
        <v>Supplementary Supplies</v>
      </c>
      <c r="C790" s="751" t="s">
        <v>246</v>
      </c>
      <c r="D790" s="751" t="s">
        <v>375</v>
      </c>
      <c r="E790" s="751" t="s">
        <v>405</v>
      </c>
      <c r="F790" s="751" t="s">
        <v>635</v>
      </c>
      <c r="G790" s="752" t="s">
        <v>1681</v>
      </c>
      <c r="H790" s="753">
        <v>56240</v>
      </c>
      <c r="I790" s="754">
        <v>300</v>
      </c>
      <c r="J790" s="754">
        <v>0</v>
      </c>
      <c r="K790" s="754">
        <v>0</v>
      </c>
      <c r="L790" s="754">
        <v>0</v>
      </c>
      <c r="M790" s="754">
        <f t="shared" si="49"/>
        <v>0</v>
      </c>
      <c r="N790" s="756">
        <v>300</v>
      </c>
      <c r="O790" s="720">
        <f t="shared" si="50"/>
        <v>0</v>
      </c>
    </row>
    <row r="791" spans="1:15" outlineLevel="1" x14ac:dyDescent="0.25">
      <c r="A791" s="207" t="str">
        <f>VLOOKUP(RIGHT(E791,3)+0,SchLocTable!$A$2:$B$47,2,FALSE)</f>
        <v>Roosevelt</v>
      </c>
      <c r="B791" s="207" t="str">
        <f>VLOOKUP(VALUE(D791),$D$3:F$106,3,FALSE)</f>
        <v>Supplementary Supplies</v>
      </c>
      <c r="C791" s="751" t="s">
        <v>246</v>
      </c>
      <c r="D791" s="751" t="s">
        <v>375</v>
      </c>
      <c r="E791" s="751" t="s">
        <v>406</v>
      </c>
      <c r="F791" s="751" t="s">
        <v>371</v>
      </c>
      <c r="G791" s="752" t="s">
        <v>1681</v>
      </c>
      <c r="H791" s="753">
        <v>54580</v>
      </c>
      <c r="I791" s="754">
        <v>10513.09</v>
      </c>
      <c r="J791" s="754">
        <v>243.26</v>
      </c>
      <c r="K791" s="754">
        <v>0</v>
      </c>
      <c r="L791" s="754">
        <v>2257.98</v>
      </c>
      <c r="M791" s="754">
        <f t="shared" si="49"/>
        <v>2501.2399999999998</v>
      </c>
      <c r="N791" s="756">
        <v>10513.09</v>
      </c>
      <c r="O791" s="720">
        <f t="shared" si="50"/>
        <v>0</v>
      </c>
    </row>
    <row r="792" spans="1:15" outlineLevel="2" x14ac:dyDescent="0.25">
      <c r="A792" s="207" t="str">
        <f>VLOOKUP(RIGHT(E792,3)+0,SchLocTable!$A$2:$B$47,2,FALSE)</f>
        <v>Roosevelt</v>
      </c>
      <c r="B792" s="207" t="str">
        <f>VLOOKUP(VALUE(D792),$D$3:F$106,3,FALSE)</f>
        <v>Supplementary Supplies</v>
      </c>
      <c r="C792" s="751" t="s">
        <v>246</v>
      </c>
      <c r="D792" s="751" t="s">
        <v>375</v>
      </c>
      <c r="E792" s="751" t="s">
        <v>406</v>
      </c>
      <c r="F792" s="751" t="s">
        <v>381</v>
      </c>
      <c r="G792" s="752" t="s">
        <v>1681</v>
      </c>
      <c r="H792" s="753">
        <v>54725</v>
      </c>
      <c r="I792" s="754">
        <v>646.91</v>
      </c>
      <c r="J792" s="754">
        <v>0</v>
      </c>
      <c r="K792" s="754">
        <v>0</v>
      </c>
      <c r="L792" s="754">
        <v>0</v>
      </c>
      <c r="M792" s="754">
        <f t="shared" si="49"/>
        <v>0</v>
      </c>
      <c r="N792" s="756">
        <v>646.91</v>
      </c>
      <c r="O792" s="720">
        <f t="shared" si="50"/>
        <v>0</v>
      </c>
    </row>
    <row r="793" spans="1:15" outlineLevel="2" x14ac:dyDescent="0.25">
      <c r="A793" s="207" t="str">
        <f>VLOOKUP(RIGHT(E793,3)+0,SchLocTable!$A$2:$B$47,2,FALSE)</f>
        <v>Roosevelt</v>
      </c>
      <c r="B793" s="207" t="str">
        <f>VLOOKUP(VALUE(D793),$D$3:F$106,3,FALSE)</f>
        <v>Supplementary Supplies</v>
      </c>
      <c r="C793" s="751" t="s">
        <v>246</v>
      </c>
      <c r="D793" s="751" t="s">
        <v>375</v>
      </c>
      <c r="E793" s="751" t="s">
        <v>406</v>
      </c>
      <c r="F793" s="751" t="s">
        <v>382</v>
      </c>
      <c r="G793" s="752" t="s">
        <v>1681</v>
      </c>
      <c r="H793" s="753">
        <v>56180</v>
      </c>
      <c r="I793" s="754">
        <v>890</v>
      </c>
      <c r="J793" s="754">
        <v>44.15</v>
      </c>
      <c r="K793" s="754">
        <v>0</v>
      </c>
      <c r="L793" s="754">
        <v>0</v>
      </c>
      <c r="M793" s="754">
        <f t="shared" si="49"/>
        <v>44.15</v>
      </c>
      <c r="N793" s="756">
        <v>890</v>
      </c>
      <c r="O793" s="720">
        <f t="shared" si="50"/>
        <v>0</v>
      </c>
    </row>
    <row r="794" spans="1:15" outlineLevel="2" x14ac:dyDescent="0.25">
      <c r="A794" s="207" t="str">
        <f>VLOOKUP(RIGHT(E794,3)+0,SchLocTable!$A$2:$B$47,2,FALSE)</f>
        <v>Bridgeport Learning Center</v>
      </c>
      <c r="B794" s="207" t="str">
        <f>VLOOKUP(VALUE(D794),$D$3:F$106,3,FALSE)</f>
        <v>Supplementary Supplies</v>
      </c>
      <c r="C794" s="751" t="s">
        <v>246</v>
      </c>
      <c r="D794" s="751" t="s">
        <v>375</v>
      </c>
      <c r="E794" s="751" t="s">
        <v>407</v>
      </c>
      <c r="F794" s="751" t="s">
        <v>371</v>
      </c>
      <c r="G794" s="752" t="s">
        <v>1681</v>
      </c>
      <c r="H794" s="753">
        <v>54580</v>
      </c>
      <c r="I794" s="754">
        <v>1175</v>
      </c>
      <c r="J794" s="754">
        <v>12.99</v>
      </c>
      <c r="K794" s="754">
        <v>0</v>
      </c>
      <c r="L794" s="754">
        <v>33.97</v>
      </c>
      <c r="M794" s="754">
        <f t="shared" si="49"/>
        <v>46.96</v>
      </c>
      <c r="N794" s="756">
        <v>1175</v>
      </c>
      <c r="O794" s="720">
        <f t="shared" si="50"/>
        <v>0</v>
      </c>
    </row>
    <row r="795" spans="1:15" outlineLevel="2" x14ac:dyDescent="0.25">
      <c r="A795" s="207" t="str">
        <f>VLOOKUP(RIGHT(E795,3)+0,SchLocTable!$A$2:$B$47,2,FALSE)</f>
        <v>Bridgeport Learning Center</v>
      </c>
      <c r="B795" s="207" t="str">
        <f>VLOOKUP(VALUE(D795),$D$3:F$106,3,FALSE)</f>
        <v>Supplementary Supplies</v>
      </c>
      <c r="C795" s="751" t="s">
        <v>246</v>
      </c>
      <c r="D795" s="751" t="s">
        <v>375</v>
      </c>
      <c r="E795" s="751" t="s">
        <v>407</v>
      </c>
      <c r="F795" s="751" t="s">
        <v>381</v>
      </c>
      <c r="G795" s="752" t="s">
        <v>1681</v>
      </c>
      <c r="H795" s="753">
        <v>54725</v>
      </c>
      <c r="I795" s="754">
        <v>500</v>
      </c>
      <c r="J795" s="754">
        <v>0</v>
      </c>
      <c r="K795" s="754">
        <v>0</v>
      </c>
      <c r="L795" s="754">
        <v>0</v>
      </c>
      <c r="M795" s="754">
        <f t="shared" si="49"/>
        <v>0</v>
      </c>
      <c r="N795" s="756">
        <v>500</v>
      </c>
      <c r="O795" s="720">
        <f t="shared" si="50"/>
        <v>0</v>
      </c>
    </row>
    <row r="796" spans="1:15" outlineLevel="2" x14ac:dyDescent="0.25">
      <c r="A796" s="207" t="str">
        <f>VLOOKUP(RIGHT(E796,3)+0,SchLocTable!$A$2:$B$47,2,FALSE)</f>
        <v>Waltersville</v>
      </c>
      <c r="B796" s="207" t="str">
        <f>VLOOKUP(VALUE(D796),$D$3:F$106,3,FALSE)</f>
        <v>Supplementary Supplies</v>
      </c>
      <c r="C796" s="751" t="s">
        <v>246</v>
      </c>
      <c r="D796" s="751" t="s">
        <v>375</v>
      </c>
      <c r="E796" s="751" t="s">
        <v>408</v>
      </c>
      <c r="F796" s="751" t="s">
        <v>371</v>
      </c>
      <c r="G796" s="752" t="s">
        <v>1681</v>
      </c>
      <c r="H796" s="753">
        <v>54580</v>
      </c>
      <c r="I796" s="754">
        <v>9678.09</v>
      </c>
      <c r="J796" s="754">
        <v>745</v>
      </c>
      <c r="K796" s="754">
        <v>0</v>
      </c>
      <c r="L796" s="754">
        <v>0</v>
      </c>
      <c r="M796" s="754">
        <f t="shared" si="49"/>
        <v>745</v>
      </c>
      <c r="N796" s="756">
        <v>9678.09</v>
      </c>
      <c r="O796" s="720">
        <f t="shared" si="50"/>
        <v>0</v>
      </c>
    </row>
    <row r="797" spans="1:15" outlineLevel="2" x14ac:dyDescent="0.25">
      <c r="A797" s="207" t="str">
        <f>VLOOKUP(RIGHT(E797,3)+0,SchLocTable!$A$2:$B$47,2,FALSE)</f>
        <v>Waltersville</v>
      </c>
      <c r="B797" s="207" t="str">
        <f>VLOOKUP(VALUE(D797),$D$3:F$106,3,FALSE)</f>
        <v>Supplementary Supplies</v>
      </c>
      <c r="C797" s="751" t="s">
        <v>246</v>
      </c>
      <c r="D797" s="751" t="s">
        <v>375</v>
      </c>
      <c r="E797" s="751" t="s">
        <v>408</v>
      </c>
      <c r="F797" s="751" t="s">
        <v>381</v>
      </c>
      <c r="G797" s="752" t="s">
        <v>1681</v>
      </c>
      <c r="H797" s="753">
        <v>54725</v>
      </c>
      <c r="I797" s="754">
        <v>996.91</v>
      </c>
      <c r="J797" s="754">
        <v>0</v>
      </c>
      <c r="K797" s="754">
        <v>0</v>
      </c>
      <c r="L797" s="754">
        <v>0</v>
      </c>
      <c r="M797" s="754">
        <f t="shared" si="49"/>
        <v>0</v>
      </c>
      <c r="N797" s="756">
        <v>996.91</v>
      </c>
      <c r="O797" s="720">
        <f t="shared" si="50"/>
        <v>0</v>
      </c>
    </row>
    <row r="798" spans="1:15" outlineLevel="2" x14ac:dyDescent="0.25">
      <c r="A798" s="207" t="str">
        <f>VLOOKUP(RIGHT(E798,3)+0,SchLocTable!$A$2:$B$47,2,FALSE)</f>
        <v>Waltersville</v>
      </c>
      <c r="B798" s="207" t="str">
        <f>VLOOKUP(VALUE(D798),$D$3:F$106,3,FALSE)</f>
        <v>Supplementary Supplies</v>
      </c>
      <c r="C798" s="751" t="s">
        <v>246</v>
      </c>
      <c r="D798" s="751" t="s">
        <v>375</v>
      </c>
      <c r="E798" s="751" t="s">
        <v>408</v>
      </c>
      <c r="F798" s="751" t="s">
        <v>382</v>
      </c>
      <c r="G798" s="752" t="s">
        <v>1681</v>
      </c>
      <c r="H798" s="753">
        <v>56180</v>
      </c>
      <c r="I798" s="754">
        <v>325</v>
      </c>
      <c r="J798" s="754">
        <v>0</v>
      </c>
      <c r="K798" s="754">
        <v>0</v>
      </c>
      <c r="L798" s="754">
        <v>0</v>
      </c>
      <c r="M798" s="754">
        <f t="shared" si="49"/>
        <v>0</v>
      </c>
      <c r="N798" s="756">
        <v>325</v>
      </c>
      <c r="O798" s="720">
        <f t="shared" si="50"/>
        <v>0</v>
      </c>
    </row>
    <row r="799" spans="1:15" outlineLevel="2" x14ac:dyDescent="0.25">
      <c r="A799" s="207" t="str">
        <f>VLOOKUP(RIGHT(E799,3)+0,SchLocTable!$A$2:$B$47,2,FALSE)</f>
        <v>Claytor</v>
      </c>
      <c r="B799" s="207" t="str">
        <f>VLOOKUP(VALUE(D799),$D$3:F$106,3,FALSE)</f>
        <v>Supplementary Supplies</v>
      </c>
      <c r="C799" s="755" t="s">
        <v>246</v>
      </c>
      <c r="D799" s="751" t="s">
        <v>375</v>
      </c>
      <c r="E799" s="751" t="s">
        <v>409</v>
      </c>
      <c r="F799" s="751" t="s">
        <v>371</v>
      </c>
      <c r="G799" s="752" t="s">
        <v>1681</v>
      </c>
      <c r="H799" s="753">
        <v>54580</v>
      </c>
      <c r="I799" s="754">
        <v>10328.09</v>
      </c>
      <c r="J799" s="754">
        <v>0</v>
      </c>
      <c r="K799" s="754">
        <v>0</v>
      </c>
      <c r="L799" s="754">
        <v>2434.96</v>
      </c>
      <c r="M799" s="754">
        <f t="shared" si="49"/>
        <v>2434.96</v>
      </c>
      <c r="N799" s="756">
        <v>10328.09</v>
      </c>
      <c r="O799" s="720">
        <f t="shared" si="50"/>
        <v>0</v>
      </c>
    </row>
    <row r="800" spans="1:15" outlineLevel="2" x14ac:dyDescent="0.25">
      <c r="A800" s="207" t="str">
        <f>VLOOKUP(RIGHT(E800,3)+0,SchLocTable!$A$2:$B$47,2,FALSE)</f>
        <v>Claytor</v>
      </c>
      <c r="B800" s="207" t="str">
        <f>VLOOKUP(VALUE(D800),$D$3:F$106,3,FALSE)</f>
        <v>Supplementary Supplies</v>
      </c>
      <c r="C800" s="751" t="s">
        <v>246</v>
      </c>
      <c r="D800" s="751" t="s">
        <v>375</v>
      </c>
      <c r="E800" s="751" t="s">
        <v>409</v>
      </c>
      <c r="F800" s="751" t="s">
        <v>381</v>
      </c>
      <c r="G800" s="752" t="s">
        <v>1681</v>
      </c>
      <c r="H800" s="753">
        <v>54725</v>
      </c>
      <c r="I800" s="754">
        <v>1046.9100000000001</v>
      </c>
      <c r="J800" s="754">
        <v>0</v>
      </c>
      <c r="K800" s="754">
        <v>0</v>
      </c>
      <c r="L800" s="754">
        <v>0</v>
      </c>
      <c r="M800" s="754">
        <f t="shared" si="49"/>
        <v>0</v>
      </c>
      <c r="N800" s="756">
        <v>1046.9100000000001</v>
      </c>
      <c r="O800" s="720">
        <f t="shared" si="50"/>
        <v>0</v>
      </c>
    </row>
    <row r="801" spans="1:15" outlineLevel="2" x14ac:dyDescent="0.25">
      <c r="A801" s="207" t="str">
        <f>VLOOKUP(RIGHT(E801,3)+0,SchLocTable!$A$2:$B$47,2,FALSE)</f>
        <v>Johnson</v>
      </c>
      <c r="B801" s="207" t="str">
        <f>VLOOKUP(VALUE(D801),$D$3:F$106,3,FALSE)</f>
        <v>Supplementary Supplies</v>
      </c>
      <c r="C801" s="755" t="s">
        <v>246</v>
      </c>
      <c r="D801" s="751" t="s">
        <v>375</v>
      </c>
      <c r="E801" s="751" t="s">
        <v>410</v>
      </c>
      <c r="F801" s="751" t="s">
        <v>371</v>
      </c>
      <c r="G801" s="752" t="s">
        <v>1681</v>
      </c>
      <c r="H801" s="753">
        <v>54580</v>
      </c>
      <c r="I801" s="754">
        <v>16179.09</v>
      </c>
      <c r="J801" s="754">
        <v>0</v>
      </c>
      <c r="K801" s="754">
        <v>0</v>
      </c>
      <c r="L801" s="754">
        <v>2474.36</v>
      </c>
      <c r="M801" s="754">
        <f t="shared" si="49"/>
        <v>2474.36</v>
      </c>
      <c r="N801" s="756">
        <v>16179.09</v>
      </c>
      <c r="O801" s="720">
        <f t="shared" si="50"/>
        <v>0</v>
      </c>
    </row>
    <row r="802" spans="1:15" outlineLevel="2" x14ac:dyDescent="0.25">
      <c r="A802" s="207" t="str">
        <f>VLOOKUP(RIGHT(E802,3)+0,SchLocTable!$A$2:$B$47,2,FALSE)</f>
        <v>Johnson</v>
      </c>
      <c r="B802" s="207" t="str">
        <f>VLOOKUP(VALUE(D802),$D$3:F$106,3,FALSE)</f>
        <v>Supplementary Supplies</v>
      </c>
      <c r="C802" s="751" t="s">
        <v>246</v>
      </c>
      <c r="D802" s="751" t="s">
        <v>375</v>
      </c>
      <c r="E802" s="751" t="s">
        <v>410</v>
      </c>
      <c r="F802" s="751" t="s">
        <v>381</v>
      </c>
      <c r="G802" s="752" t="s">
        <v>1681</v>
      </c>
      <c r="H802" s="753">
        <v>54725</v>
      </c>
      <c r="I802" s="754">
        <v>2546.91</v>
      </c>
      <c r="J802" s="754">
        <v>0</v>
      </c>
      <c r="K802" s="754">
        <v>0</v>
      </c>
      <c r="L802" s="754">
        <v>0</v>
      </c>
      <c r="M802" s="754">
        <f t="shared" si="49"/>
        <v>0</v>
      </c>
      <c r="N802" s="756">
        <v>2546.91</v>
      </c>
      <c r="O802" s="720">
        <f t="shared" si="50"/>
        <v>0</v>
      </c>
    </row>
    <row r="803" spans="1:15" outlineLevel="2" x14ac:dyDescent="0.25">
      <c r="A803" s="207" t="str">
        <f>VLOOKUP(RIGHT(E803,3)+0,SchLocTable!$A$2:$B$47,2,FALSE)</f>
        <v>Johnson</v>
      </c>
      <c r="B803" s="207" t="str">
        <f>VLOOKUP(VALUE(D803),$D$3:F$106,3,FALSE)</f>
        <v>Supplementary Supplies</v>
      </c>
      <c r="C803" s="751" t="s">
        <v>246</v>
      </c>
      <c r="D803" s="751" t="s">
        <v>375</v>
      </c>
      <c r="E803" s="751" t="s">
        <v>410</v>
      </c>
      <c r="F803" s="751" t="s">
        <v>382</v>
      </c>
      <c r="G803" s="752" t="s">
        <v>1681</v>
      </c>
      <c r="H803" s="753">
        <v>56180</v>
      </c>
      <c r="I803" s="754">
        <v>1299</v>
      </c>
      <c r="J803" s="754">
        <v>0</v>
      </c>
      <c r="K803" s="754">
        <v>0</v>
      </c>
      <c r="L803" s="754">
        <v>305</v>
      </c>
      <c r="M803" s="754">
        <f t="shared" si="49"/>
        <v>305</v>
      </c>
      <c r="N803" s="756">
        <v>1299</v>
      </c>
      <c r="O803" s="720">
        <f t="shared" si="50"/>
        <v>0</v>
      </c>
    </row>
    <row r="804" spans="1:15" outlineLevel="2" x14ac:dyDescent="0.25">
      <c r="A804" s="207" t="str">
        <f>VLOOKUP(RIGHT(E804,3)+0,SchLocTable!$A$2:$B$47,2,FALSE)</f>
        <v>Winthrop</v>
      </c>
      <c r="B804" s="207" t="str">
        <f>VLOOKUP(VALUE(D804),$D$3:F$106,3,FALSE)</f>
        <v>Supplementary Supplies</v>
      </c>
      <c r="C804" s="751" t="s">
        <v>246</v>
      </c>
      <c r="D804" s="751" t="s">
        <v>375</v>
      </c>
      <c r="E804" s="751" t="s">
        <v>411</v>
      </c>
      <c r="F804" s="751" t="s">
        <v>378</v>
      </c>
      <c r="G804" s="752" t="s">
        <v>1681</v>
      </c>
      <c r="H804" s="753">
        <v>51108</v>
      </c>
      <c r="I804" s="754">
        <v>0</v>
      </c>
      <c r="J804" s="754">
        <v>0</v>
      </c>
      <c r="K804" s="754">
        <v>0</v>
      </c>
      <c r="L804" s="754">
        <v>0</v>
      </c>
      <c r="M804" s="754">
        <f t="shared" si="49"/>
        <v>0</v>
      </c>
      <c r="N804" s="756">
        <v>0</v>
      </c>
      <c r="O804" s="720">
        <f t="shared" si="50"/>
        <v>0</v>
      </c>
    </row>
    <row r="805" spans="1:15" outlineLevel="2" x14ac:dyDescent="0.25">
      <c r="A805" s="207" t="str">
        <f>VLOOKUP(RIGHT(E805,3)+0,SchLocTable!$A$2:$B$47,2,FALSE)</f>
        <v>Winthrop</v>
      </c>
      <c r="B805" s="207" t="str">
        <f>VLOOKUP(VALUE(D805),$D$3:F$106,3,FALSE)</f>
        <v>Supplementary Supplies</v>
      </c>
      <c r="C805" s="751" t="s">
        <v>246</v>
      </c>
      <c r="D805" s="751" t="s">
        <v>375</v>
      </c>
      <c r="E805" s="751" t="s">
        <v>411</v>
      </c>
      <c r="F805" s="751" t="s">
        <v>380</v>
      </c>
      <c r="G805" s="752" t="s">
        <v>1681</v>
      </c>
      <c r="H805" s="753">
        <v>51122</v>
      </c>
      <c r="I805" s="754">
        <v>0</v>
      </c>
      <c r="J805" s="754">
        <v>0</v>
      </c>
      <c r="K805" s="754">
        <v>0</v>
      </c>
      <c r="L805" s="754">
        <v>0</v>
      </c>
      <c r="M805" s="754">
        <f t="shared" si="49"/>
        <v>0</v>
      </c>
      <c r="N805" s="756">
        <v>0</v>
      </c>
      <c r="O805" s="720">
        <f t="shared" si="50"/>
        <v>0</v>
      </c>
    </row>
    <row r="806" spans="1:15" outlineLevel="2" x14ac:dyDescent="0.25">
      <c r="A806" s="207" t="str">
        <f>VLOOKUP(RIGHT(E806,3)+0,SchLocTable!$A$2:$B$47,2,FALSE)</f>
        <v>Winthrop</v>
      </c>
      <c r="B806" s="207" t="str">
        <f>VLOOKUP(VALUE(D806),$D$3:F$106,3,FALSE)</f>
        <v>Supplementary Supplies</v>
      </c>
      <c r="C806" s="751" t="s">
        <v>246</v>
      </c>
      <c r="D806" s="751" t="s">
        <v>375</v>
      </c>
      <c r="E806" s="751" t="s">
        <v>411</v>
      </c>
      <c r="F806" s="751" t="s">
        <v>254</v>
      </c>
      <c r="G806" s="752" t="s">
        <v>1681</v>
      </c>
      <c r="H806" s="753">
        <v>52360</v>
      </c>
      <c r="I806" s="754">
        <v>0</v>
      </c>
      <c r="J806" s="754">
        <v>0</v>
      </c>
      <c r="K806" s="754">
        <v>0</v>
      </c>
      <c r="L806" s="754">
        <v>0</v>
      </c>
      <c r="M806" s="754">
        <f t="shared" si="49"/>
        <v>0</v>
      </c>
      <c r="N806" s="756">
        <v>0</v>
      </c>
      <c r="O806" s="720">
        <f t="shared" si="50"/>
        <v>0</v>
      </c>
    </row>
    <row r="807" spans="1:15" outlineLevel="2" x14ac:dyDescent="0.25">
      <c r="A807" s="207" t="str">
        <f>VLOOKUP(RIGHT(E807,3)+0,SchLocTable!$A$2:$B$47,2,FALSE)</f>
        <v>Winthrop</v>
      </c>
      <c r="B807" s="207" t="str">
        <f>VLOOKUP(VALUE(D807),$D$3:F$106,3,FALSE)</f>
        <v>Supplementary Supplies</v>
      </c>
      <c r="C807" s="751" t="s">
        <v>246</v>
      </c>
      <c r="D807" s="751" t="s">
        <v>375</v>
      </c>
      <c r="E807" s="751" t="s">
        <v>411</v>
      </c>
      <c r="F807" s="751" t="s">
        <v>331</v>
      </c>
      <c r="G807" s="752" t="s">
        <v>1681</v>
      </c>
      <c r="H807" s="753">
        <v>52504</v>
      </c>
      <c r="I807" s="754">
        <v>0</v>
      </c>
      <c r="J807" s="754">
        <v>0</v>
      </c>
      <c r="K807" s="754">
        <v>0</v>
      </c>
      <c r="L807" s="754">
        <v>0</v>
      </c>
      <c r="M807" s="754">
        <f t="shared" si="49"/>
        <v>0</v>
      </c>
      <c r="N807" s="756">
        <v>0</v>
      </c>
      <c r="O807" s="720">
        <f t="shared" si="50"/>
        <v>0</v>
      </c>
    </row>
    <row r="808" spans="1:15" outlineLevel="2" x14ac:dyDescent="0.25">
      <c r="A808" s="207" t="str">
        <f>VLOOKUP(RIGHT(E808,3)+0,SchLocTable!$A$2:$B$47,2,FALSE)</f>
        <v>Winthrop</v>
      </c>
      <c r="B808" s="207" t="str">
        <f>VLOOKUP(VALUE(D808),$D$3:F$106,3,FALSE)</f>
        <v>Supplementary Supplies</v>
      </c>
      <c r="C808" s="751" t="s">
        <v>246</v>
      </c>
      <c r="D808" s="751" t="s">
        <v>375</v>
      </c>
      <c r="E808" s="751" t="s">
        <v>411</v>
      </c>
      <c r="F808" s="751" t="s">
        <v>371</v>
      </c>
      <c r="G808" s="752" t="s">
        <v>1681</v>
      </c>
      <c r="H808" s="753">
        <v>54580</v>
      </c>
      <c r="I808" s="754">
        <v>13707.69</v>
      </c>
      <c r="J808" s="754">
        <v>2049.6999999999998</v>
      </c>
      <c r="K808" s="754">
        <v>496.79</v>
      </c>
      <c r="L808" s="754">
        <v>7044.9</v>
      </c>
      <c r="M808" s="754">
        <f t="shared" si="49"/>
        <v>9591.39</v>
      </c>
      <c r="N808" s="756">
        <v>13707.69</v>
      </c>
      <c r="O808" s="720">
        <f t="shared" si="50"/>
        <v>0</v>
      </c>
    </row>
    <row r="809" spans="1:15" outlineLevel="2" x14ac:dyDescent="0.25">
      <c r="A809" s="207" t="str">
        <f>VLOOKUP(RIGHT(E809,3)+0,SchLocTable!$A$2:$B$47,2,FALSE)</f>
        <v>Winthrop</v>
      </c>
      <c r="B809" s="207" t="str">
        <f>VLOOKUP(VALUE(D809),$D$3:F$106,3,FALSE)</f>
        <v>Supplementary Supplies</v>
      </c>
      <c r="C809" s="751" t="s">
        <v>246</v>
      </c>
      <c r="D809" s="751" t="s">
        <v>375</v>
      </c>
      <c r="E809" s="751" t="s">
        <v>411</v>
      </c>
      <c r="F809" s="751" t="s">
        <v>381</v>
      </c>
      <c r="G809" s="752" t="s">
        <v>1681</v>
      </c>
      <c r="H809" s="753">
        <v>54725</v>
      </c>
      <c r="I809" s="754">
        <v>746.91</v>
      </c>
      <c r="J809" s="754">
        <v>0</v>
      </c>
      <c r="K809" s="754">
        <v>0</v>
      </c>
      <c r="L809" s="754">
        <v>0</v>
      </c>
      <c r="M809" s="754">
        <f t="shared" si="49"/>
        <v>0</v>
      </c>
      <c r="N809" s="756">
        <v>746.91</v>
      </c>
      <c r="O809" s="720">
        <f t="shared" si="50"/>
        <v>0</v>
      </c>
    </row>
    <row r="810" spans="1:15" outlineLevel="2" x14ac:dyDescent="0.25">
      <c r="A810" s="207" t="str">
        <f>VLOOKUP(RIGHT(E810,3)+0,SchLocTable!$A$2:$B$47,2,FALSE)</f>
        <v>Winthrop</v>
      </c>
      <c r="B810" s="207" t="str">
        <f>VLOOKUP(VALUE(D810),$D$3:F$106,3,FALSE)</f>
        <v>Supplementary Supplies</v>
      </c>
      <c r="C810" s="751" t="s">
        <v>246</v>
      </c>
      <c r="D810" s="751" t="s">
        <v>375</v>
      </c>
      <c r="E810" s="751" t="s">
        <v>411</v>
      </c>
      <c r="F810" s="751" t="s">
        <v>382</v>
      </c>
      <c r="G810" s="752" t="s">
        <v>1681</v>
      </c>
      <c r="H810" s="753">
        <v>56180</v>
      </c>
      <c r="I810" s="754">
        <v>970.4</v>
      </c>
      <c r="J810" s="754">
        <v>0</v>
      </c>
      <c r="K810" s="754">
        <v>0</v>
      </c>
      <c r="L810" s="754">
        <v>0</v>
      </c>
      <c r="M810" s="754">
        <f t="shared" si="49"/>
        <v>0</v>
      </c>
      <c r="N810" s="756">
        <v>970.4</v>
      </c>
      <c r="O810" s="720">
        <f t="shared" si="50"/>
        <v>0</v>
      </c>
    </row>
    <row r="811" spans="1:15" outlineLevel="2" x14ac:dyDescent="0.25">
      <c r="A811" s="207" t="str">
        <f>VLOOKUP(RIGHT(E811,3)+0,SchLocTable!$A$2:$B$47,2,FALSE)</f>
        <v>Discovery</v>
      </c>
      <c r="B811" s="207" t="str">
        <f>VLOOKUP(VALUE(D811),$D$3:F$106,3,FALSE)</f>
        <v>Supplementary Supplies</v>
      </c>
      <c r="C811" s="751" t="s">
        <v>246</v>
      </c>
      <c r="D811" s="751" t="s">
        <v>375</v>
      </c>
      <c r="E811" s="751" t="s">
        <v>412</v>
      </c>
      <c r="F811" s="751" t="s">
        <v>380</v>
      </c>
      <c r="G811" s="752" t="s">
        <v>1681</v>
      </c>
      <c r="H811" s="753">
        <v>51122</v>
      </c>
      <c r="I811" s="754">
        <v>197.33</v>
      </c>
      <c r="J811" s="754">
        <v>0</v>
      </c>
      <c r="K811" s="754">
        <v>0</v>
      </c>
      <c r="L811" s="754">
        <v>197.33</v>
      </c>
      <c r="M811" s="754">
        <f t="shared" si="49"/>
        <v>197.33</v>
      </c>
      <c r="N811" s="756">
        <v>197.33</v>
      </c>
      <c r="O811" s="720">
        <f t="shared" si="50"/>
        <v>0</v>
      </c>
    </row>
    <row r="812" spans="1:15" outlineLevel="1" x14ac:dyDescent="0.25">
      <c r="A812" s="207" t="str">
        <f>VLOOKUP(RIGHT(E812,3)+0,SchLocTable!$A$2:$B$47,2,FALSE)</f>
        <v>Discovery</v>
      </c>
      <c r="B812" s="207" t="str">
        <f>VLOOKUP(VALUE(D812),$D$3:F$106,3,FALSE)</f>
        <v>Supplementary Supplies</v>
      </c>
      <c r="C812" s="751" t="s">
        <v>246</v>
      </c>
      <c r="D812" s="751" t="s">
        <v>375</v>
      </c>
      <c r="E812" s="751" t="s">
        <v>412</v>
      </c>
      <c r="F812" s="751" t="s">
        <v>254</v>
      </c>
      <c r="G812" s="752" t="s">
        <v>1681</v>
      </c>
      <c r="H812" s="753">
        <v>52360</v>
      </c>
      <c r="I812" s="754">
        <v>2.86</v>
      </c>
      <c r="J812" s="754">
        <v>0</v>
      </c>
      <c r="K812" s="754">
        <v>0</v>
      </c>
      <c r="L812" s="754">
        <v>2.86</v>
      </c>
      <c r="M812" s="754">
        <f t="shared" si="49"/>
        <v>2.86</v>
      </c>
      <c r="N812" s="756">
        <v>2.86</v>
      </c>
      <c r="O812" s="720">
        <f t="shared" si="50"/>
        <v>0</v>
      </c>
    </row>
    <row r="813" spans="1:15" outlineLevel="2" x14ac:dyDescent="0.25">
      <c r="A813" s="207" t="str">
        <f>VLOOKUP(RIGHT(E813,3)+0,SchLocTable!$A$2:$B$47,2,FALSE)</f>
        <v>Discovery</v>
      </c>
      <c r="B813" s="207" t="str">
        <f>VLOOKUP(VALUE(D813),$D$3:F$106,3,FALSE)</f>
        <v>Supplementary Supplies</v>
      </c>
      <c r="C813" s="751" t="s">
        <v>246</v>
      </c>
      <c r="D813" s="751" t="s">
        <v>375</v>
      </c>
      <c r="E813" s="751" t="s">
        <v>412</v>
      </c>
      <c r="F813" s="751" t="s">
        <v>331</v>
      </c>
      <c r="G813" s="752" t="s">
        <v>1681</v>
      </c>
      <c r="H813" s="753">
        <v>52504</v>
      </c>
      <c r="I813" s="754">
        <v>40.630000000000003</v>
      </c>
      <c r="J813" s="754">
        <v>0</v>
      </c>
      <c r="K813" s="754">
        <v>0</v>
      </c>
      <c r="L813" s="754">
        <v>40.630000000000003</v>
      </c>
      <c r="M813" s="754">
        <f t="shared" si="49"/>
        <v>40.630000000000003</v>
      </c>
      <c r="N813" s="756">
        <v>40.630000000000003</v>
      </c>
      <c r="O813" s="720">
        <f t="shared" si="50"/>
        <v>0</v>
      </c>
    </row>
    <row r="814" spans="1:15" outlineLevel="2" x14ac:dyDescent="0.25">
      <c r="A814" s="207" t="str">
        <f>VLOOKUP(RIGHT(E814,3)+0,SchLocTable!$A$2:$B$47,2,FALSE)</f>
        <v>Discovery</v>
      </c>
      <c r="B814" s="207" t="str">
        <f>VLOOKUP(VALUE(D814),$D$3:F$106,3,FALSE)</f>
        <v>Supplementary Supplies</v>
      </c>
      <c r="C814" s="751" t="s">
        <v>246</v>
      </c>
      <c r="D814" s="751" t="s">
        <v>375</v>
      </c>
      <c r="E814" s="751" t="s">
        <v>412</v>
      </c>
      <c r="F814" s="751" t="s">
        <v>371</v>
      </c>
      <c r="G814" s="752" t="s">
        <v>1681</v>
      </c>
      <c r="H814" s="753">
        <v>54580</v>
      </c>
      <c r="I814" s="754">
        <v>11703.09</v>
      </c>
      <c r="J814" s="754">
        <v>630.1</v>
      </c>
      <c r="K814" s="754">
        <v>0</v>
      </c>
      <c r="L814" s="754">
        <v>2453.4</v>
      </c>
      <c r="M814" s="754">
        <f t="shared" si="49"/>
        <v>3083.5</v>
      </c>
      <c r="N814" s="756">
        <v>11703.09</v>
      </c>
      <c r="O814" s="720">
        <f t="shared" si="50"/>
        <v>0</v>
      </c>
    </row>
    <row r="815" spans="1:15" outlineLevel="2" x14ac:dyDescent="0.25">
      <c r="A815" s="207" t="str">
        <f>VLOOKUP(RIGHT(E815,3)+0,SchLocTable!$A$2:$B$47,2,FALSE)</f>
        <v>Discovery</v>
      </c>
      <c r="B815" s="207" t="str">
        <f>VLOOKUP(VALUE(D815),$D$3:F$106,3,FALSE)</f>
        <v>Supplementary Supplies</v>
      </c>
      <c r="C815" s="755" t="s">
        <v>246</v>
      </c>
      <c r="D815" s="751" t="s">
        <v>375</v>
      </c>
      <c r="E815" s="751" t="s">
        <v>412</v>
      </c>
      <c r="F815" s="751" t="s">
        <v>381</v>
      </c>
      <c r="G815" s="752" t="s">
        <v>1681</v>
      </c>
      <c r="H815" s="753">
        <v>54725</v>
      </c>
      <c r="I815" s="754">
        <v>396.91</v>
      </c>
      <c r="J815" s="754">
        <v>0</v>
      </c>
      <c r="K815" s="754">
        <v>0</v>
      </c>
      <c r="L815" s="754">
        <v>0</v>
      </c>
      <c r="M815" s="754">
        <f t="shared" si="49"/>
        <v>0</v>
      </c>
      <c r="N815" s="756">
        <v>396.91</v>
      </c>
      <c r="O815" s="720">
        <f t="shared" si="50"/>
        <v>0</v>
      </c>
    </row>
    <row r="816" spans="1:15" outlineLevel="2" x14ac:dyDescent="0.25">
      <c r="A816" s="207" t="str">
        <f>VLOOKUP(RIGHT(E816,3)+0,SchLocTable!$A$2:$B$47,2,FALSE)</f>
        <v>Cross</v>
      </c>
      <c r="B816" s="207" t="str">
        <f>VLOOKUP(VALUE(D816),$D$3:F$106,3,FALSE)</f>
        <v>Supplementary Supplies</v>
      </c>
      <c r="C816" s="751" t="s">
        <v>246</v>
      </c>
      <c r="D816" s="751" t="s">
        <v>375</v>
      </c>
      <c r="E816" s="751" t="s">
        <v>413</v>
      </c>
      <c r="F816" s="751" t="s">
        <v>371</v>
      </c>
      <c r="G816" s="752" t="s">
        <v>1681</v>
      </c>
      <c r="H816" s="753">
        <v>54580</v>
      </c>
      <c r="I816" s="754">
        <v>5946.15</v>
      </c>
      <c r="J816" s="754">
        <v>812.96</v>
      </c>
      <c r="K816" s="754">
        <v>0</v>
      </c>
      <c r="L816" s="754">
        <v>4116.08</v>
      </c>
      <c r="M816" s="754">
        <f t="shared" si="49"/>
        <v>4929.04</v>
      </c>
      <c r="N816" s="756">
        <v>5946.15</v>
      </c>
      <c r="O816" s="720">
        <f t="shared" si="50"/>
        <v>0</v>
      </c>
    </row>
    <row r="817" spans="1:15" outlineLevel="2" x14ac:dyDescent="0.25">
      <c r="A817" s="207" t="str">
        <f>VLOOKUP(RIGHT(E817,3)+0,SchLocTable!$A$2:$B$47,2,FALSE)</f>
        <v>Cross</v>
      </c>
      <c r="B817" s="207" t="str">
        <f>VLOOKUP(VALUE(D817),$D$3:F$106,3,FALSE)</f>
        <v>Supplementary Supplies</v>
      </c>
      <c r="C817" s="755" t="s">
        <v>246</v>
      </c>
      <c r="D817" s="751" t="s">
        <v>375</v>
      </c>
      <c r="E817" s="751" t="s">
        <v>413</v>
      </c>
      <c r="F817" s="751" t="s">
        <v>381</v>
      </c>
      <c r="G817" s="752" t="s">
        <v>1681</v>
      </c>
      <c r="H817" s="753">
        <v>54725</v>
      </c>
      <c r="I817" s="754">
        <v>646.91</v>
      </c>
      <c r="J817" s="754">
        <v>0</v>
      </c>
      <c r="K817" s="754">
        <v>0</v>
      </c>
      <c r="L817" s="754">
        <v>0</v>
      </c>
      <c r="M817" s="754">
        <f t="shared" si="49"/>
        <v>0</v>
      </c>
      <c r="N817" s="756">
        <v>646.91</v>
      </c>
      <c r="O817" s="720">
        <f t="shared" si="50"/>
        <v>0</v>
      </c>
    </row>
    <row r="818" spans="1:15" outlineLevel="2" x14ac:dyDescent="0.25">
      <c r="A818" s="207" t="str">
        <f>VLOOKUP(RIGHT(E818,3)+0,SchLocTable!$A$2:$B$47,2,FALSE)</f>
        <v>Cross</v>
      </c>
      <c r="B818" s="207" t="str">
        <f>VLOOKUP(VALUE(D818),$D$3:F$106,3,FALSE)</f>
        <v>Supplementary Supplies</v>
      </c>
      <c r="C818" s="751" t="s">
        <v>246</v>
      </c>
      <c r="D818" s="751" t="s">
        <v>375</v>
      </c>
      <c r="E818" s="751" t="s">
        <v>413</v>
      </c>
      <c r="F818" s="751" t="s">
        <v>382</v>
      </c>
      <c r="G818" s="752" t="s">
        <v>1681</v>
      </c>
      <c r="H818" s="753">
        <v>56180</v>
      </c>
      <c r="I818" s="754">
        <v>2131.94</v>
      </c>
      <c r="J818" s="754">
        <v>0</v>
      </c>
      <c r="K818" s="754">
        <v>0</v>
      </c>
      <c r="L818" s="754">
        <v>2131.94</v>
      </c>
      <c r="M818" s="754">
        <f t="shared" si="49"/>
        <v>2131.94</v>
      </c>
      <c r="N818" s="756">
        <v>2131.94</v>
      </c>
      <c r="O818" s="720">
        <f t="shared" si="50"/>
        <v>0</v>
      </c>
    </row>
    <row r="819" spans="1:15" outlineLevel="2" x14ac:dyDescent="0.25">
      <c r="A819" s="207" t="str">
        <f>VLOOKUP(RIGHT(E819,3)+0,SchLocTable!$A$2:$B$47,2,FALSE)</f>
        <v>Blackham</v>
      </c>
      <c r="B819" s="207" t="str">
        <f>VLOOKUP(VALUE(D819),$D$3:F$106,3,FALSE)</f>
        <v>Supplementary Supplies</v>
      </c>
      <c r="C819" s="751" t="s">
        <v>246</v>
      </c>
      <c r="D819" s="751" t="s">
        <v>375</v>
      </c>
      <c r="E819" s="751" t="s">
        <v>414</v>
      </c>
      <c r="F819" s="751" t="s">
        <v>371</v>
      </c>
      <c r="G819" s="752" t="s">
        <v>1681</v>
      </c>
      <c r="H819" s="753">
        <v>54580</v>
      </c>
      <c r="I819" s="754">
        <v>23017.58</v>
      </c>
      <c r="J819" s="754">
        <v>139.72</v>
      </c>
      <c r="K819" s="754">
        <v>0</v>
      </c>
      <c r="L819" s="754">
        <v>4744.32</v>
      </c>
      <c r="M819" s="754">
        <f t="shared" si="49"/>
        <v>4884.04</v>
      </c>
      <c r="N819" s="756">
        <v>23017.58</v>
      </c>
      <c r="O819" s="720">
        <f t="shared" si="50"/>
        <v>0</v>
      </c>
    </row>
    <row r="820" spans="1:15" outlineLevel="2" x14ac:dyDescent="0.25">
      <c r="A820" s="207" t="str">
        <f>VLOOKUP(RIGHT(E820,3)+0,SchLocTable!$A$2:$B$47,2,FALSE)</f>
        <v>Blackham</v>
      </c>
      <c r="B820" s="207" t="str">
        <f>VLOOKUP(VALUE(D820),$D$3:F$106,3,FALSE)</f>
        <v>Supplementary Supplies</v>
      </c>
      <c r="C820" s="751" t="s">
        <v>246</v>
      </c>
      <c r="D820" s="751" t="s">
        <v>375</v>
      </c>
      <c r="E820" s="751" t="s">
        <v>414</v>
      </c>
      <c r="F820" s="751" t="s">
        <v>381</v>
      </c>
      <c r="G820" s="752" t="s">
        <v>1681</v>
      </c>
      <c r="H820" s="753">
        <v>54725</v>
      </c>
      <c r="I820" s="754">
        <v>946.91</v>
      </c>
      <c r="J820" s="754">
        <v>0</v>
      </c>
      <c r="K820" s="754">
        <v>0</v>
      </c>
      <c r="L820" s="754">
        <v>0</v>
      </c>
      <c r="M820" s="754">
        <f t="shared" si="49"/>
        <v>0</v>
      </c>
      <c r="N820" s="756">
        <v>946.91</v>
      </c>
      <c r="O820" s="720">
        <f t="shared" si="50"/>
        <v>0</v>
      </c>
    </row>
    <row r="821" spans="1:15" outlineLevel="2" x14ac:dyDescent="0.25">
      <c r="A821" s="207" t="str">
        <f>VLOOKUP(RIGHT(E821,3)+0,SchLocTable!$A$2:$B$47,2,FALSE)</f>
        <v>Blackham</v>
      </c>
      <c r="B821" s="207" t="str">
        <f>VLOOKUP(VALUE(D821),$D$3:F$106,3,FALSE)</f>
        <v>Supplementary Supplies</v>
      </c>
      <c r="C821" s="751" t="s">
        <v>246</v>
      </c>
      <c r="D821" s="751" t="s">
        <v>375</v>
      </c>
      <c r="E821" s="751" t="s">
        <v>414</v>
      </c>
      <c r="F821" s="751" t="s">
        <v>382</v>
      </c>
      <c r="G821" s="752" t="s">
        <v>1681</v>
      </c>
      <c r="H821" s="753">
        <v>56180</v>
      </c>
      <c r="I821" s="754">
        <v>1960.51</v>
      </c>
      <c r="J821" s="754">
        <v>0</v>
      </c>
      <c r="K821" s="754">
        <v>0</v>
      </c>
      <c r="L821" s="754">
        <v>0</v>
      </c>
      <c r="M821" s="754">
        <f t="shared" si="49"/>
        <v>0</v>
      </c>
      <c r="N821" s="756">
        <v>1960.51</v>
      </c>
      <c r="O821" s="720">
        <f t="shared" si="50"/>
        <v>0</v>
      </c>
    </row>
    <row r="822" spans="1:15" outlineLevel="2" x14ac:dyDescent="0.25">
      <c r="A822" s="207" t="str">
        <f>VLOOKUP(RIGHT(E822,3)+0,SchLocTable!$A$2:$B$47,2,FALSE)</f>
        <v>Dunbar</v>
      </c>
      <c r="B822" s="207" t="str">
        <f>VLOOKUP(VALUE(D822),$D$3:F$106,3,FALSE)</f>
        <v>Supplementary Supplies</v>
      </c>
      <c r="C822" s="751" t="s">
        <v>246</v>
      </c>
      <c r="D822" s="751" t="s">
        <v>375</v>
      </c>
      <c r="E822" s="751" t="s">
        <v>415</v>
      </c>
      <c r="F822" s="751" t="s">
        <v>371</v>
      </c>
      <c r="G822" s="752" t="s">
        <v>1681</v>
      </c>
      <c r="H822" s="753">
        <v>54580</v>
      </c>
      <c r="I822" s="754">
        <v>7438.11</v>
      </c>
      <c r="J822" s="754">
        <v>856.95</v>
      </c>
      <c r="K822" s="754">
        <v>0</v>
      </c>
      <c r="L822" s="754">
        <v>2558.1999999999998</v>
      </c>
      <c r="M822" s="754">
        <f t="shared" si="49"/>
        <v>3415.1499999999996</v>
      </c>
      <c r="N822" s="756">
        <v>7438.11</v>
      </c>
      <c r="O822" s="720">
        <f t="shared" si="50"/>
        <v>0</v>
      </c>
    </row>
    <row r="823" spans="1:15" outlineLevel="2" x14ac:dyDescent="0.25">
      <c r="A823" s="207" t="str">
        <f>VLOOKUP(RIGHT(E823,3)+0,SchLocTable!$A$2:$B$47,2,FALSE)</f>
        <v>Dunbar</v>
      </c>
      <c r="B823" s="207" t="str">
        <f>VLOOKUP(VALUE(D823),$D$3:F$106,3,FALSE)</f>
        <v>Supplementary Supplies</v>
      </c>
      <c r="C823" s="751" t="s">
        <v>246</v>
      </c>
      <c r="D823" s="751" t="s">
        <v>375</v>
      </c>
      <c r="E823" s="751" t="s">
        <v>415</v>
      </c>
      <c r="F823" s="751" t="s">
        <v>381</v>
      </c>
      <c r="G823" s="752" t="s">
        <v>1681</v>
      </c>
      <c r="H823" s="753">
        <v>54725</v>
      </c>
      <c r="I823" s="754">
        <v>1336.89</v>
      </c>
      <c r="J823" s="754">
        <v>0</v>
      </c>
      <c r="K823" s="754">
        <v>0</v>
      </c>
      <c r="L823" s="754">
        <v>0</v>
      </c>
      <c r="M823" s="754">
        <f t="shared" si="49"/>
        <v>0</v>
      </c>
      <c r="N823" s="756">
        <v>1336.89</v>
      </c>
      <c r="O823" s="720">
        <f t="shared" si="50"/>
        <v>0</v>
      </c>
    </row>
    <row r="824" spans="1:15" outlineLevel="2" x14ac:dyDescent="0.25">
      <c r="A824" s="207" t="str">
        <f>VLOOKUP(RIGHT(E824,3)+0,SchLocTable!$A$2:$B$47,2,FALSE)</f>
        <v>Dunbar</v>
      </c>
      <c r="B824" s="207" t="str">
        <f>VLOOKUP(VALUE(D824),$D$3:F$106,3,FALSE)</f>
        <v>Supplementary Supplies</v>
      </c>
      <c r="C824" s="755" t="s">
        <v>246</v>
      </c>
      <c r="D824" s="751" t="s">
        <v>375</v>
      </c>
      <c r="E824" s="751" t="s">
        <v>415</v>
      </c>
      <c r="F824" s="751" t="s">
        <v>382</v>
      </c>
      <c r="G824" s="752" t="s">
        <v>1681</v>
      </c>
      <c r="H824" s="753">
        <v>56180</v>
      </c>
      <c r="I824" s="754">
        <v>1000</v>
      </c>
      <c r="J824" s="754">
        <v>0</v>
      </c>
      <c r="K824" s="754">
        <v>0</v>
      </c>
      <c r="L824" s="754">
        <v>590</v>
      </c>
      <c r="M824" s="754">
        <f t="shared" si="49"/>
        <v>590</v>
      </c>
      <c r="N824" s="756">
        <v>1000</v>
      </c>
      <c r="O824" s="720">
        <f t="shared" si="50"/>
        <v>0</v>
      </c>
    </row>
    <row r="825" spans="1:15" outlineLevel="2" x14ac:dyDescent="0.25">
      <c r="A825" s="207" t="str">
        <f>VLOOKUP(RIGHT(E825,3)+0,SchLocTable!$A$2:$B$47,2,FALSE)</f>
        <v>Curiale</v>
      </c>
      <c r="B825" s="207" t="str">
        <f>VLOOKUP(VALUE(D825),$D$3:F$106,3,FALSE)</f>
        <v>Supplementary Supplies</v>
      </c>
      <c r="C825" s="751" t="s">
        <v>246</v>
      </c>
      <c r="D825" s="751" t="s">
        <v>375</v>
      </c>
      <c r="E825" s="751" t="s">
        <v>416</v>
      </c>
      <c r="F825" s="751" t="s">
        <v>380</v>
      </c>
      <c r="G825" s="752" t="s">
        <v>1681</v>
      </c>
      <c r="H825" s="753">
        <v>51122</v>
      </c>
      <c r="I825" s="754">
        <v>0</v>
      </c>
      <c r="J825" s="754">
        <v>0</v>
      </c>
      <c r="K825" s="754">
        <v>0</v>
      </c>
      <c r="L825" s="754">
        <v>0</v>
      </c>
      <c r="M825" s="754">
        <f t="shared" si="49"/>
        <v>0</v>
      </c>
      <c r="N825" s="756">
        <v>0</v>
      </c>
      <c r="O825" s="720">
        <f t="shared" si="50"/>
        <v>0</v>
      </c>
    </row>
    <row r="826" spans="1:15" outlineLevel="2" x14ac:dyDescent="0.25">
      <c r="A826" s="207" t="str">
        <f>VLOOKUP(RIGHT(E826,3)+0,SchLocTable!$A$2:$B$47,2,FALSE)</f>
        <v>Curiale</v>
      </c>
      <c r="B826" s="207" t="str">
        <f>VLOOKUP(VALUE(D826),$D$3:F$106,3,FALSE)</f>
        <v>Supplementary Supplies</v>
      </c>
      <c r="C826" s="751" t="s">
        <v>246</v>
      </c>
      <c r="D826" s="751" t="s">
        <v>375</v>
      </c>
      <c r="E826" s="751" t="s">
        <v>416</v>
      </c>
      <c r="F826" s="751" t="s">
        <v>254</v>
      </c>
      <c r="G826" s="752" t="s">
        <v>1681</v>
      </c>
      <c r="H826" s="753">
        <v>52360</v>
      </c>
      <c r="I826" s="754">
        <v>0</v>
      </c>
      <c r="J826" s="754">
        <v>0</v>
      </c>
      <c r="K826" s="754">
        <v>0</v>
      </c>
      <c r="L826" s="754">
        <v>0</v>
      </c>
      <c r="M826" s="754">
        <f t="shared" si="49"/>
        <v>0</v>
      </c>
      <c r="N826" s="756">
        <v>0</v>
      </c>
      <c r="O826" s="720">
        <f t="shared" si="50"/>
        <v>0</v>
      </c>
    </row>
    <row r="827" spans="1:15" outlineLevel="2" x14ac:dyDescent="0.25">
      <c r="A827" s="207" t="str">
        <f>VLOOKUP(RIGHT(E827,3)+0,SchLocTable!$A$2:$B$47,2,FALSE)</f>
        <v>Curiale</v>
      </c>
      <c r="B827" s="207" t="str">
        <f>VLOOKUP(VALUE(D827),$D$3:F$106,3,FALSE)</f>
        <v>Supplementary Supplies</v>
      </c>
      <c r="C827" s="751" t="s">
        <v>246</v>
      </c>
      <c r="D827" s="751" t="s">
        <v>375</v>
      </c>
      <c r="E827" s="751" t="s">
        <v>416</v>
      </c>
      <c r="F827" s="751" t="s">
        <v>331</v>
      </c>
      <c r="G827" s="752" t="s">
        <v>1681</v>
      </c>
      <c r="H827" s="753">
        <v>52504</v>
      </c>
      <c r="I827" s="754">
        <v>0</v>
      </c>
      <c r="J827" s="754">
        <v>0</v>
      </c>
      <c r="K827" s="754">
        <v>0</v>
      </c>
      <c r="L827" s="754">
        <v>0</v>
      </c>
      <c r="M827" s="754">
        <f t="shared" si="49"/>
        <v>0</v>
      </c>
      <c r="N827" s="756">
        <v>0</v>
      </c>
      <c r="O827" s="720">
        <f t="shared" si="50"/>
        <v>0</v>
      </c>
    </row>
    <row r="828" spans="1:15" outlineLevel="2" x14ac:dyDescent="0.25">
      <c r="A828" s="207" t="str">
        <f>VLOOKUP(RIGHT(E828,3)+0,SchLocTable!$A$2:$B$47,2,FALSE)</f>
        <v>Curiale</v>
      </c>
      <c r="B828" s="207" t="str">
        <f>VLOOKUP(VALUE(D828),$D$3:F$106,3,FALSE)</f>
        <v>Supplementary Supplies</v>
      </c>
      <c r="C828" s="751" t="s">
        <v>246</v>
      </c>
      <c r="D828" s="751" t="s">
        <v>375</v>
      </c>
      <c r="E828" s="751" t="s">
        <v>416</v>
      </c>
      <c r="F828" s="751" t="s">
        <v>371</v>
      </c>
      <c r="G828" s="752" t="s">
        <v>1681</v>
      </c>
      <c r="H828" s="753">
        <v>54580</v>
      </c>
      <c r="I828" s="754">
        <v>12204.28</v>
      </c>
      <c r="J828" s="754">
        <v>2543.67</v>
      </c>
      <c r="K828" s="754">
        <v>0</v>
      </c>
      <c r="L828" s="754">
        <v>6016.14</v>
      </c>
      <c r="M828" s="754">
        <f t="shared" si="49"/>
        <v>8559.8100000000013</v>
      </c>
      <c r="N828" s="756">
        <v>12204.28</v>
      </c>
      <c r="O828" s="720">
        <f t="shared" si="50"/>
        <v>0</v>
      </c>
    </row>
    <row r="829" spans="1:15" outlineLevel="2" x14ac:dyDescent="0.25">
      <c r="A829" s="207" t="str">
        <f>VLOOKUP(RIGHT(E829,3)+0,SchLocTable!$A$2:$B$47,2,FALSE)</f>
        <v>Curiale</v>
      </c>
      <c r="B829" s="207" t="str">
        <f>VLOOKUP(VALUE(D829),$D$3:F$106,3,FALSE)</f>
        <v>Supplementary Supplies</v>
      </c>
      <c r="C829" s="751" t="s">
        <v>246</v>
      </c>
      <c r="D829" s="751" t="s">
        <v>375</v>
      </c>
      <c r="E829" s="751" t="s">
        <v>416</v>
      </c>
      <c r="F829" s="751" t="s">
        <v>381</v>
      </c>
      <c r="G829" s="752" t="s">
        <v>1681</v>
      </c>
      <c r="H829" s="753">
        <v>54725</v>
      </c>
      <c r="I829" s="754">
        <v>724.41</v>
      </c>
      <c r="J829" s="754">
        <v>0</v>
      </c>
      <c r="K829" s="754">
        <v>0</v>
      </c>
      <c r="L829" s="754">
        <v>0</v>
      </c>
      <c r="M829" s="754">
        <f t="shared" si="49"/>
        <v>0</v>
      </c>
      <c r="N829" s="756">
        <v>724.41</v>
      </c>
      <c r="O829" s="720">
        <f t="shared" si="50"/>
        <v>0</v>
      </c>
    </row>
    <row r="830" spans="1:15" outlineLevel="2" x14ac:dyDescent="0.25">
      <c r="A830" s="207" t="str">
        <f>VLOOKUP(RIGHT(E830,3)+0,SchLocTable!$A$2:$B$47,2,FALSE)</f>
        <v>Skane</v>
      </c>
      <c r="B830" s="207" t="str">
        <f>VLOOKUP(VALUE(D830),$D$3:F$106,3,FALSE)</f>
        <v>Supplementary Supplies</v>
      </c>
      <c r="C830" s="751" t="s">
        <v>246</v>
      </c>
      <c r="D830" s="751" t="s">
        <v>375</v>
      </c>
      <c r="E830" s="751" t="s">
        <v>417</v>
      </c>
      <c r="F830" s="751" t="s">
        <v>402</v>
      </c>
      <c r="G830" s="752" t="s">
        <v>1681</v>
      </c>
      <c r="H830" s="753">
        <v>51400</v>
      </c>
      <c r="I830" s="754">
        <v>0</v>
      </c>
      <c r="J830" s="754">
        <v>0</v>
      </c>
      <c r="K830" s="754">
        <v>0</v>
      </c>
      <c r="L830" s="754">
        <v>0</v>
      </c>
      <c r="M830" s="754">
        <f t="shared" si="49"/>
        <v>0</v>
      </c>
      <c r="N830" s="756">
        <v>0</v>
      </c>
      <c r="O830" s="720">
        <f t="shared" si="50"/>
        <v>0</v>
      </c>
    </row>
    <row r="831" spans="1:15" outlineLevel="2" x14ac:dyDescent="0.25">
      <c r="A831" s="207" t="str">
        <f>VLOOKUP(RIGHT(E831,3)+0,SchLocTable!$A$2:$B$47,2,FALSE)</f>
        <v>Skane</v>
      </c>
      <c r="B831" s="207" t="str">
        <f>VLOOKUP(VALUE(D831),$D$3:F$106,3,FALSE)</f>
        <v>Supplementary Supplies</v>
      </c>
      <c r="C831" s="751" t="s">
        <v>246</v>
      </c>
      <c r="D831" s="751" t="s">
        <v>375</v>
      </c>
      <c r="E831" s="751" t="s">
        <v>417</v>
      </c>
      <c r="F831" s="751" t="s">
        <v>254</v>
      </c>
      <c r="G831" s="752" t="s">
        <v>1681</v>
      </c>
      <c r="H831" s="753">
        <v>52360</v>
      </c>
      <c r="I831" s="754">
        <v>0</v>
      </c>
      <c r="J831" s="754">
        <v>0</v>
      </c>
      <c r="K831" s="754">
        <v>0</v>
      </c>
      <c r="L831" s="754">
        <v>0</v>
      </c>
      <c r="M831" s="754">
        <f t="shared" ref="M831:M894" si="51">SUM(J831:L831)</f>
        <v>0</v>
      </c>
      <c r="N831" s="756">
        <v>0</v>
      </c>
      <c r="O831" s="720">
        <f t="shared" ref="O831:O894" si="52">I831-N831</f>
        <v>0</v>
      </c>
    </row>
    <row r="832" spans="1:15" outlineLevel="2" x14ac:dyDescent="0.25">
      <c r="A832" s="207" t="str">
        <f>VLOOKUP(RIGHT(E832,3)+0,SchLocTable!$A$2:$B$47,2,FALSE)</f>
        <v>Skane</v>
      </c>
      <c r="B832" s="207" t="str">
        <f>VLOOKUP(VALUE(D832),$D$3:F$106,3,FALSE)</f>
        <v>Supplementary Supplies</v>
      </c>
      <c r="C832" s="751" t="s">
        <v>246</v>
      </c>
      <c r="D832" s="751" t="s">
        <v>375</v>
      </c>
      <c r="E832" s="751" t="s">
        <v>417</v>
      </c>
      <c r="F832" s="751" t="s">
        <v>418</v>
      </c>
      <c r="G832" s="752" t="s">
        <v>1681</v>
      </c>
      <c r="H832" s="753">
        <v>53610</v>
      </c>
      <c r="I832" s="754">
        <v>2500</v>
      </c>
      <c r="J832" s="754">
        <v>0</v>
      </c>
      <c r="K832" s="754">
        <v>0</v>
      </c>
      <c r="L832" s="754">
        <v>0</v>
      </c>
      <c r="M832" s="754">
        <f t="shared" si="51"/>
        <v>0</v>
      </c>
      <c r="N832" s="756">
        <v>2500</v>
      </c>
      <c r="O832" s="720">
        <f t="shared" si="52"/>
        <v>0</v>
      </c>
    </row>
    <row r="833" spans="1:15" outlineLevel="2" x14ac:dyDescent="0.25">
      <c r="A833" s="207" t="str">
        <f>VLOOKUP(RIGHT(E833,3)+0,SchLocTable!$A$2:$B$47,2,FALSE)</f>
        <v>Skane</v>
      </c>
      <c r="B833" s="207" t="str">
        <f>VLOOKUP(VALUE(D833),$D$3:F$106,3,FALSE)</f>
        <v>Supplementary Supplies</v>
      </c>
      <c r="C833" s="751" t="s">
        <v>246</v>
      </c>
      <c r="D833" s="751" t="s">
        <v>375</v>
      </c>
      <c r="E833" s="751" t="s">
        <v>417</v>
      </c>
      <c r="F833" s="751" t="s">
        <v>371</v>
      </c>
      <c r="G833" s="752" t="s">
        <v>1681</v>
      </c>
      <c r="H833" s="753">
        <v>54580</v>
      </c>
      <c r="I833" s="754">
        <v>17186.66</v>
      </c>
      <c r="J833" s="754">
        <v>0</v>
      </c>
      <c r="K833" s="754">
        <v>0</v>
      </c>
      <c r="L833" s="754">
        <v>1402.19</v>
      </c>
      <c r="M833" s="754">
        <f t="shared" si="51"/>
        <v>1402.19</v>
      </c>
      <c r="N833" s="756">
        <v>17186.66</v>
      </c>
      <c r="O833" s="720">
        <f t="shared" si="52"/>
        <v>0</v>
      </c>
    </row>
    <row r="834" spans="1:15" outlineLevel="2" x14ac:dyDescent="0.25">
      <c r="A834" s="207" t="str">
        <f>VLOOKUP(RIGHT(E834,3)+0,SchLocTable!$A$2:$B$47,2,FALSE)</f>
        <v>Skane</v>
      </c>
      <c r="B834" s="207" t="str">
        <f>VLOOKUP(VALUE(D834),$D$3:F$106,3,FALSE)</f>
        <v>Supplementary Supplies</v>
      </c>
      <c r="C834" s="751" t="s">
        <v>246</v>
      </c>
      <c r="D834" s="751" t="s">
        <v>375</v>
      </c>
      <c r="E834" s="751" t="s">
        <v>417</v>
      </c>
      <c r="F834" s="751" t="s">
        <v>381</v>
      </c>
      <c r="G834" s="752" t="s">
        <v>1681</v>
      </c>
      <c r="H834" s="753">
        <v>54725</v>
      </c>
      <c r="I834" s="754">
        <v>1096.9100000000001</v>
      </c>
      <c r="J834" s="754">
        <v>0</v>
      </c>
      <c r="K834" s="754">
        <v>0</v>
      </c>
      <c r="L834" s="754">
        <v>0</v>
      </c>
      <c r="M834" s="754">
        <f t="shared" si="51"/>
        <v>0</v>
      </c>
      <c r="N834" s="756">
        <v>1096.9100000000001</v>
      </c>
      <c r="O834" s="720">
        <f t="shared" si="52"/>
        <v>0</v>
      </c>
    </row>
    <row r="835" spans="1:15" outlineLevel="2" x14ac:dyDescent="0.25">
      <c r="A835" s="207" t="str">
        <f>VLOOKUP(RIGHT(E835,3)+0,SchLocTable!$A$2:$B$47,2,FALSE)</f>
        <v>Skane</v>
      </c>
      <c r="B835" s="207" t="str">
        <f>VLOOKUP(VALUE(D835),$D$3:F$106,3,FALSE)</f>
        <v>Supplementary Supplies</v>
      </c>
      <c r="C835" s="751" t="s">
        <v>246</v>
      </c>
      <c r="D835" s="751" t="s">
        <v>375</v>
      </c>
      <c r="E835" s="751" t="s">
        <v>417</v>
      </c>
      <c r="F835" s="751" t="s">
        <v>382</v>
      </c>
      <c r="G835" s="752" t="s">
        <v>1681</v>
      </c>
      <c r="H835" s="753">
        <v>56180</v>
      </c>
      <c r="I835" s="754">
        <v>1617</v>
      </c>
      <c r="J835" s="754">
        <v>0</v>
      </c>
      <c r="K835" s="754">
        <v>0</v>
      </c>
      <c r="L835" s="754">
        <v>0</v>
      </c>
      <c r="M835" s="754">
        <f t="shared" si="51"/>
        <v>0</v>
      </c>
      <c r="N835" s="756">
        <v>1617</v>
      </c>
      <c r="O835" s="720">
        <f t="shared" si="52"/>
        <v>0</v>
      </c>
    </row>
    <row r="836" spans="1:15" outlineLevel="2" x14ac:dyDescent="0.25">
      <c r="A836" s="207" t="str">
        <f>VLOOKUP(RIGHT(E836,3)+0,SchLocTable!$A$2:$B$47,2,FALSE)</f>
        <v>High Horizons Magnet</v>
      </c>
      <c r="B836" s="207" t="str">
        <f>VLOOKUP(VALUE(D836),$D$3:F$106,3,FALSE)</f>
        <v>Supplementary Supplies</v>
      </c>
      <c r="C836" s="751" t="s">
        <v>246</v>
      </c>
      <c r="D836" s="751" t="s">
        <v>375</v>
      </c>
      <c r="E836" s="751" t="s">
        <v>419</v>
      </c>
      <c r="F836" s="751" t="s">
        <v>371</v>
      </c>
      <c r="G836" s="752" t="s">
        <v>1681</v>
      </c>
      <c r="H836" s="753">
        <v>54580</v>
      </c>
      <c r="I836" s="754">
        <v>9603.09</v>
      </c>
      <c r="J836" s="754">
        <v>240.11</v>
      </c>
      <c r="K836" s="754">
        <v>0</v>
      </c>
      <c r="L836" s="754">
        <v>3836.1</v>
      </c>
      <c r="M836" s="754">
        <f t="shared" si="51"/>
        <v>4076.21</v>
      </c>
      <c r="N836" s="756">
        <v>9603.09</v>
      </c>
      <c r="O836" s="720">
        <f t="shared" si="52"/>
        <v>0</v>
      </c>
    </row>
    <row r="837" spans="1:15" outlineLevel="2" x14ac:dyDescent="0.25">
      <c r="A837" s="207" t="str">
        <f>VLOOKUP(RIGHT(E837,3)+0,SchLocTable!$A$2:$B$47,2,FALSE)</f>
        <v>High Horizons Magnet</v>
      </c>
      <c r="B837" s="207" t="str">
        <f>VLOOKUP(VALUE(D837),$D$3:F$106,3,FALSE)</f>
        <v>Supplementary Supplies</v>
      </c>
      <c r="C837" s="755" t="s">
        <v>246</v>
      </c>
      <c r="D837" s="751" t="s">
        <v>375</v>
      </c>
      <c r="E837" s="751" t="s">
        <v>419</v>
      </c>
      <c r="F837" s="751" t="s">
        <v>381</v>
      </c>
      <c r="G837" s="752" t="s">
        <v>1681</v>
      </c>
      <c r="H837" s="753">
        <v>54725</v>
      </c>
      <c r="I837" s="754">
        <v>796.91</v>
      </c>
      <c r="J837" s="754">
        <v>0</v>
      </c>
      <c r="K837" s="754">
        <v>0</v>
      </c>
      <c r="L837" s="754">
        <v>33.19</v>
      </c>
      <c r="M837" s="754">
        <f t="shared" si="51"/>
        <v>33.19</v>
      </c>
      <c r="N837" s="756">
        <v>796.91</v>
      </c>
      <c r="O837" s="720">
        <f t="shared" si="52"/>
        <v>0</v>
      </c>
    </row>
    <row r="838" spans="1:15" outlineLevel="2" x14ac:dyDescent="0.25">
      <c r="A838" s="207" t="str">
        <f>VLOOKUP(RIGHT(E838,3)+0,SchLocTable!$A$2:$B$47,2,FALSE)</f>
        <v>High Horizons Magnet</v>
      </c>
      <c r="B838" s="207" t="str">
        <f>VLOOKUP(VALUE(D838),$D$3:F$106,3,FALSE)</f>
        <v>Supplementary Supplies</v>
      </c>
      <c r="C838" s="751" t="s">
        <v>246</v>
      </c>
      <c r="D838" s="751" t="s">
        <v>375</v>
      </c>
      <c r="E838" s="751" t="s">
        <v>419</v>
      </c>
      <c r="F838" s="751" t="s">
        <v>382</v>
      </c>
      <c r="G838" s="752" t="s">
        <v>1681</v>
      </c>
      <c r="H838" s="753">
        <v>56180</v>
      </c>
      <c r="I838" s="754">
        <v>900</v>
      </c>
      <c r="J838" s="754">
        <v>0</v>
      </c>
      <c r="K838" s="754">
        <v>0</v>
      </c>
      <c r="L838" s="754">
        <v>0</v>
      </c>
      <c r="M838" s="754">
        <f t="shared" si="51"/>
        <v>0</v>
      </c>
      <c r="N838" s="756">
        <v>900</v>
      </c>
      <c r="O838" s="720">
        <f t="shared" si="52"/>
        <v>0</v>
      </c>
    </row>
    <row r="839" spans="1:15" outlineLevel="2" x14ac:dyDescent="0.25">
      <c r="A839" s="207" t="str">
        <f>VLOOKUP(RIGHT(E839,3)+0,SchLocTable!$A$2:$B$47,2,FALSE)</f>
        <v>Multicultural Magnet</v>
      </c>
      <c r="B839" s="207" t="str">
        <f>VLOOKUP(VALUE(D839),$D$3:F$106,3,FALSE)</f>
        <v>Supplementary Supplies</v>
      </c>
      <c r="C839" s="751" t="s">
        <v>246</v>
      </c>
      <c r="D839" s="751" t="s">
        <v>375</v>
      </c>
      <c r="E839" s="751" t="s">
        <v>420</v>
      </c>
      <c r="F839" s="751" t="s">
        <v>371</v>
      </c>
      <c r="G839" s="752" t="s">
        <v>1681</v>
      </c>
      <c r="H839" s="753">
        <v>54580</v>
      </c>
      <c r="I839" s="754">
        <v>9278.09</v>
      </c>
      <c r="J839" s="754">
        <v>0</v>
      </c>
      <c r="K839" s="754">
        <v>0</v>
      </c>
      <c r="L839" s="754">
        <v>5066.71</v>
      </c>
      <c r="M839" s="754">
        <f t="shared" si="51"/>
        <v>5066.71</v>
      </c>
      <c r="N839" s="756">
        <v>9278.09</v>
      </c>
      <c r="O839" s="720">
        <f t="shared" si="52"/>
        <v>0</v>
      </c>
    </row>
    <row r="840" spans="1:15" outlineLevel="2" x14ac:dyDescent="0.25">
      <c r="A840" s="207" t="str">
        <f>VLOOKUP(RIGHT(E840,3)+0,SchLocTable!$A$2:$B$47,2,FALSE)</f>
        <v>Multicultural Magnet</v>
      </c>
      <c r="B840" s="207" t="str">
        <f>VLOOKUP(VALUE(D840),$D$3:F$106,3,FALSE)</f>
        <v>Supplementary Supplies</v>
      </c>
      <c r="C840" s="751" t="s">
        <v>246</v>
      </c>
      <c r="D840" s="751" t="s">
        <v>375</v>
      </c>
      <c r="E840" s="751" t="s">
        <v>420</v>
      </c>
      <c r="F840" s="751" t="s">
        <v>381</v>
      </c>
      <c r="G840" s="752" t="s">
        <v>1681</v>
      </c>
      <c r="H840" s="753">
        <v>54725</v>
      </c>
      <c r="I840" s="754">
        <v>346.91</v>
      </c>
      <c r="J840" s="754">
        <v>0</v>
      </c>
      <c r="K840" s="754">
        <v>0</v>
      </c>
      <c r="L840" s="754">
        <v>0</v>
      </c>
      <c r="M840" s="754">
        <f t="shared" si="51"/>
        <v>0</v>
      </c>
      <c r="N840" s="756">
        <v>346.91</v>
      </c>
      <c r="O840" s="720">
        <f t="shared" si="52"/>
        <v>0</v>
      </c>
    </row>
    <row r="841" spans="1:15" outlineLevel="2" x14ac:dyDescent="0.25">
      <c r="A841" s="207" t="str">
        <f>VLOOKUP(RIGHT(E841,3)+0,SchLocTable!$A$2:$B$47,2,FALSE)</f>
        <v>Multicultural Magnet</v>
      </c>
      <c r="B841" s="207" t="str">
        <f>VLOOKUP(VALUE(D841),$D$3:F$106,3,FALSE)</f>
        <v>Supplementary Supplies</v>
      </c>
      <c r="C841" s="751" t="s">
        <v>246</v>
      </c>
      <c r="D841" s="751" t="s">
        <v>375</v>
      </c>
      <c r="E841" s="751" t="s">
        <v>420</v>
      </c>
      <c r="F841" s="751" t="s">
        <v>382</v>
      </c>
      <c r="G841" s="752" t="s">
        <v>1681</v>
      </c>
      <c r="H841" s="753">
        <v>56180</v>
      </c>
      <c r="I841" s="754">
        <v>1000</v>
      </c>
      <c r="J841" s="754">
        <v>0</v>
      </c>
      <c r="K841" s="754">
        <v>0</v>
      </c>
      <c r="L841" s="754">
        <v>0</v>
      </c>
      <c r="M841" s="754">
        <f t="shared" si="51"/>
        <v>0</v>
      </c>
      <c r="N841" s="756">
        <v>1000</v>
      </c>
      <c r="O841" s="720">
        <f t="shared" si="52"/>
        <v>0</v>
      </c>
    </row>
    <row r="842" spans="1:15" outlineLevel="2" x14ac:dyDescent="0.25">
      <c r="A842" s="207" t="str">
        <f>VLOOKUP(RIGHT(E842,3)+0,SchLocTable!$A$2:$B$47,2,FALSE)</f>
        <v>Bassick HS</v>
      </c>
      <c r="B842" s="207" t="str">
        <f>VLOOKUP(VALUE(D842),$D$3:F$106,3,FALSE)</f>
        <v>Supplementary Supplies</v>
      </c>
      <c r="C842" s="751" t="s">
        <v>246</v>
      </c>
      <c r="D842" s="751" t="s">
        <v>375</v>
      </c>
      <c r="E842" s="751" t="s">
        <v>421</v>
      </c>
      <c r="F842" s="751" t="s">
        <v>402</v>
      </c>
      <c r="G842" s="752" t="s">
        <v>1681</v>
      </c>
      <c r="H842" s="753">
        <v>51400</v>
      </c>
      <c r="I842" s="754">
        <v>0</v>
      </c>
      <c r="J842" s="754">
        <v>0</v>
      </c>
      <c r="K842" s="754">
        <v>0</v>
      </c>
      <c r="L842" s="754">
        <v>0</v>
      </c>
      <c r="M842" s="754">
        <f t="shared" si="51"/>
        <v>0</v>
      </c>
      <c r="N842" s="756">
        <v>0</v>
      </c>
      <c r="O842" s="720">
        <f t="shared" si="52"/>
        <v>0</v>
      </c>
    </row>
    <row r="843" spans="1:15" outlineLevel="2" x14ac:dyDescent="0.25">
      <c r="A843" s="207" t="str">
        <f>VLOOKUP(RIGHT(E843,3)+0,SchLocTable!$A$2:$B$47,2,FALSE)</f>
        <v>Bassick HS</v>
      </c>
      <c r="B843" s="207" t="str">
        <f>VLOOKUP(VALUE(D843),$D$3:F$106,3,FALSE)</f>
        <v>Supplementary Supplies</v>
      </c>
      <c r="C843" s="751" t="s">
        <v>246</v>
      </c>
      <c r="D843" s="751" t="s">
        <v>375</v>
      </c>
      <c r="E843" s="751" t="s">
        <v>421</v>
      </c>
      <c r="F843" s="751" t="s">
        <v>254</v>
      </c>
      <c r="G843" s="752" t="s">
        <v>1681</v>
      </c>
      <c r="H843" s="753">
        <v>52360</v>
      </c>
      <c r="I843" s="754">
        <v>0</v>
      </c>
      <c r="J843" s="754">
        <v>0</v>
      </c>
      <c r="K843" s="754">
        <v>0</v>
      </c>
      <c r="L843" s="754">
        <v>0</v>
      </c>
      <c r="M843" s="754">
        <f t="shared" si="51"/>
        <v>0</v>
      </c>
      <c r="N843" s="756">
        <v>0</v>
      </c>
      <c r="O843" s="720">
        <f t="shared" si="52"/>
        <v>0</v>
      </c>
    </row>
    <row r="844" spans="1:15" outlineLevel="2" x14ac:dyDescent="0.25">
      <c r="A844" s="207" t="str">
        <f>VLOOKUP(RIGHT(E844,3)+0,SchLocTable!$A$2:$B$47,2,FALSE)</f>
        <v>Bassick HS</v>
      </c>
      <c r="B844" s="207" t="str">
        <f>VLOOKUP(VALUE(D844),$D$3:F$106,3,FALSE)</f>
        <v>Supplementary Supplies</v>
      </c>
      <c r="C844" s="751" t="s">
        <v>246</v>
      </c>
      <c r="D844" s="751" t="s">
        <v>375</v>
      </c>
      <c r="E844" s="751" t="s">
        <v>421</v>
      </c>
      <c r="F844" s="751" t="s">
        <v>371</v>
      </c>
      <c r="G844" s="752" t="s">
        <v>1681</v>
      </c>
      <c r="H844" s="753">
        <v>54580</v>
      </c>
      <c r="I844" s="754">
        <v>17317.89</v>
      </c>
      <c r="J844" s="754">
        <v>2480.39</v>
      </c>
      <c r="K844" s="754">
        <v>0</v>
      </c>
      <c r="L844" s="754">
        <v>2462.79</v>
      </c>
      <c r="M844" s="754">
        <f t="shared" si="51"/>
        <v>4943.18</v>
      </c>
      <c r="N844" s="756">
        <v>17317.89</v>
      </c>
      <c r="O844" s="720">
        <f t="shared" si="52"/>
        <v>0</v>
      </c>
    </row>
    <row r="845" spans="1:15" outlineLevel="2" x14ac:dyDescent="0.25">
      <c r="A845" s="207" t="str">
        <f>VLOOKUP(RIGHT(E845,3)+0,SchLocTable!$A$2:$B$47,2,FALSE)</f>
        <v>Bassick HS</v>
      </c>
      <c r="B845" s="207" t="str">
        <f>VLOOKUP(VALUE(D845),$D$3:F$106,3,FALSE)</f>
        <v>Supplementary Supplies</v>
      </c>
      <c r="C845" s="751" t="s">
        <v>246</v>
      </c>
      <c r="D845" s="751" t="s">
        <v>375</v>
      </c>
      <c r="E845" s="751" t="s">
        <v>421</v>
      </c>
      <c r="F845" s="751" t="s">
        <v>381</v>
      </c>
      <c r="G845" s="752" t="s">
        <v>1681</v>
      </c>
      <c r="H845" s="753">
        <v>54725</v>
      </c>
      <c r="I845" s="754">
        <v>2196.91</v>
      </c>
      <c r="J845" s="754">
        <v>0</v>
      </c>
      <c r="K845" s="754">
        <v>0</v>
      </c>
      <c r="L845" s="754">
        <v>0</v>
      </c>
      <c r="M845" s="754">
        <f t="shared" si="51"/>
        <v>0</v>
      </c>
      <c r="N845" s="756">
        <v>2196.91</v>
      </c>
      <c r="O845" s="720">
        <f t="shared" si="52"/>
        <v>0</v>
      </c>
    </row>
    <row r="846" spans="1:15" outlineLevel="2" x14ac:dyDescent="0.25">
      <c r="A846" s="207" t="str">
        <f>VLOOKUP(RIGHT(E846,3)+0,SchLocTable!$A$2:$B$47,2,FALSE)</f>
        <v>Bassick HS</v>
      </c>
      <c r="B846" s="207" t="str">
        <f>VLOOKUP(VALUE(D846),$D$3:F$106,3,FALSE)</f>
        <v>Supplementary Supplies</v>
      </c>
      <c r="C846" s="751" t="s">
        <v>246</v>
      </c>
      <c r="D846" s="751" t="s">
        <v>375</v>
      </c>
      <c r="E846" s="751" t="s">
        <v>421</v>
      </c>
      <c r="F846" s="751" t="s">
        <v>382</v>
      </c>
      <c r="G846" s="752" t="s">
        <v>1681</v>
      </c>
      <c r="H846" s="753">
        <v>56180</v>
      </c>
      <c r="I846" s="754">
        <v>5015</v>
      </c>
      <c r="J846" s="754">
        <v>0</v>
      </c>
      <c r="K846" s="754">
        <v>0</v>
      </c>
      <c r="L846" s="754">
        <v>865</v>
      </c>
      <c r="M846" s="754">
        <f t="shared" si="51"/>
        <v>865</v>
      </c>
      <c r="N846" s="756">
        <v>5015</v>
      </c>
      <c r="O846" s="720">
        <f t="shared" si="52"/>
        <v>0</v>
      </c>
    </row>
    <row r="847" spans="1:15" outlineLevel="2" x14ac:dyDescent="0.25">
      <c r="A847" s="207" t="str">
        <f>VLOOKUP(RIGHT(E847,3)+0,SchLocTable!$A$2:$B$47,2,FALSE)</f>
        <v>Bassick HS</v>
      </c>
      <c r="B847" s="207" t="str">
        <f>VLOOKUP(VALUE(D847),$D$3:F$106,3,FALSE)</f>
        <v>Supplementary Supplies</v>
      </c>
      <c r="C847" s="755" t="s">
        <v>246</v>
      </c>
      <c r="D847" s="751" t="s">
        <v>375</v>
      </c>
      <c r="E847" s="751" t="s">
        <v>421</v>
      </c>
      <c r="F847" s="751" t="s">
        <v>635</v>
      </c>
      <c r="G847" s="752" t="s">
        <v>1681</v>
      </c>
      <c r="H847" s="753">
        <v>56240</v>
      </c>
      <c r="I847" s="754">
        <v>0</v>
      </c>
      <c r="J847" s="754">
        <v>0</v>
      </c>
      <c r="K847" s="754">
        <v>0</v>
      </c>
      <c r="L847" s="754">
        <v>0</v>
      </c>
      <c r="M847" s="754">
        <f t="shared" si="51"/>
        <v>0</v>
      </c>
      <c r="N847" s="756">
        <v>0</v>
      </c>
      <c r="O847" s="720">
        <f t="shared" si="52"/>
        <v>0</v>
      </c>
    </row>
    <row r="848" spans="1:15" outlineLevel="2" x14ac:dyDescent="0.25">
      <c r="A848" s="207" t="str">
        <f>VLOOKUP(RIGHT(E848,3)+0,SchLocTable!$A$2:$B$47,2,FALSE)</f>
        <v>Central HS</v>
      </c>
      <c r="B848" s="207" t="str">
        <f>VLOOKUP(VALUE(D848),$D$3:F$106,3,FALSE)</f>
        <v>Supplementary Supplies</v>
      </c>
      <c r="C848" s="755" t="s">
        <v>246</v>
      </c>
      <c r="D848" s="751" t="s">
        <v>375</v>
      </c>
      <c r="E848" s="751" t="s">
        <v>422</v>
      </c>
      <c r="F848" s="751" t="s">
        <v>402</v>
      </c>
      <c r="G848" s="752" t="s">
        <v>1681</v>
      </c>
      <c r="H848" s="753">
        <v>51400</v>
      </c>
      <c r="I848" s="754">
        <v>420</v>
      </c>
      <c r="J848" s="754">
        <v>0</v>
      </c>
      <c r="K848" s="754">
        <v>0</v>
      </c>
      <c r="L848" s="754">
        <v>420</v>
      </c>
      <c r="M848" s="754">
        <f t="shared" si="51"/>
        <v>420</v>
      </c>
      <c r="N848" s="756">
        <v>420</v>
      </c>
      <c r="O848" s="720">
        <f t="shared" si="52"/>
        <v>0</v>
      </c>
    </row>
    <row r="849" spans="1:15" outlineLevel="2" x14ac:dyDescent="0.25">
      <c r="A849" s="207" t="str">
        <f>VLOOKUP(RIGHT(E849,3)+0,SchLocTable!$A$2:$B$47,2,FALSE)</f>
        <v>Central HS</v>
      </c>
      <c r="B849" s="207" t="str">
        <f>VLOOKUP(VALUE(D849),$D$3:F$106,3,FALSE)</f>
        <v>Supplementary Supplies</v>
      </c>
      <c r="C849" s="751" t="s">
        <v>246</v>
      </c>
      <c r="D849" s="751" t="s">
        <v>375</v>
      </c>
      <c r="E849" s="751" t="s">
        <v>422</v>
      </c>
      <c r="F849" s="751" t="s">
        <v>254</v>
      </c>
      <c r="G849" s="752" t="s">
        <v>1681</v>
      </c>
      <c r="H849" s="753">
        <v>52360</v>
      </c>
      <c r="I849" s="754">
        <v>6.09</v>
      </c>
      <c r="J849" s="754">
        <v>0</v>
      </c>
      <c r="K849" s="754">
        <v>0</v>
      </c>
      <c r="L849" s="754">
        <v>6.09</v>
      </c>
      <c r="M849" s="754">
        <f t="shared" si="51"/>
        <v>6.09</v>
      </c>
      <c r="N849" s="756">
        <v>6.09</v>
      </c>
      <c r="O849" s="720">
        <f t="shared" si="52"/>
        <v>0</v>
      </c>
    </row>
    <row r="850" spans="1:15" outlineLevel="2" x14ac:dyDescent="0.25">
      <c r="A850" s="207" t="str">
        <f>VLOOKUP(RIGHT(E850,3)+0,SchLocTable!$A$2:$B$47,2,FALSE)</f>
        <v>Central HS</v>
      </c>
      <c r="B850" s="207" t="str">
        <f>VLOOKUP(VALUE(D850),$D$3:F$106,3,FALSE)</f>
        <v>Supplementary Supplies</v>
      </c>
      <c r="C850" s="755" t="s">
        <v>246</v>
      </c>
      <c r="D850" s="751" t="s">
        <v>375</v>
      </c>
      <c r="E850" s="751" t="s">
        <v>422</v>
      </c>
      <c r="F850" s="751" t="s">
        <v>396</v>
      </c>
      <c r="G850" s="752" t="s">
        <v>1681</v>
      </c>
      <c r="H850" s="753">
        <v>53605</v>
      </c>
      <c r="I850" s="754">
        <v>785</v>
      </c>
      <c r="J850" s="754">
        <v>0</v>
      </c>
      <c r="K850" s="754">
        <v>0</v>
      </c>
      <c r="L850" s="754">
        <v>0</v>
      </c>
      <c r="M850" s="754">
        <f t="shared" si="51"/>
        <v>0</v>
      </c>
      <c r="N850" s="756">
        <v>785</v>
      </c>
      <c r="O850" s="720">
        <f t="shared" si="52"/>
        <v>0</v>
      </c>
    </row>
    <row r="851" spans="1:15" outlineLevel="2" x14ac:dyDescent="0.25">
      <c r="A851" s="207" t="str">
        <f>VLOOKUP(RIGHT(E851,3)+0,SchLocTable!$A$2:$B$47,2,FALSE)</f>
        <v>Central HS</v>
      </c>
      <c r="B851" s="207" t="str">
        <f>VLOOKUP(VALUE(D851),$D$3:F$106,3,FALSE)</f>
        <v>Supplementary Supplies</v>
      </c>
      <c r="C851" s="751" t="s">
        <v>246</v>
      </c>
      <c r="D851" s="751" t="s">
        <v>375</v>
      </c>
      <c r="E851" s="751" t="s">
        <v>422</v>
      </c>
      <c r="F851" s="751" t="s">
        <v>371</v>
      </c>
      <c r="G851" s="752" t="s">
        <v>1681</v>
      </c>
      <c r="H851" s="753">
        <v>54580</v>
      </c>
      <c r="I851" s="754">
        <v>29927.439999999999</v>
      </c>
      <c r="J851" s="754">
        <v>10398.129999999999</v>
      </c>
      <c r="K851" s="754">
        <v>0</v>
      </c>
      <c r="L851" s="754">
        <v>9389.2800000000007</v>
      </c>
      <c r="M851" s="754">
        <f t="shared" si="51"/>
        <v>19787.41</v>
      </c>
      <c r="N851" s="756">
        <v>29927.439999999999</v>
      </c>
      <c r="O851" s="720">
        <f t="shared" si="52"/>
        <v>0</v>
      </c>
    </row>
    <row r="852" spans="1:15" outlineLevel="2" x14ac:dyDescent="0.25">
      <c r="A852" s="207" t="str">
        <f>VLOOKUP(RIGHT(E852,3)+0,SchLocTable!$A$2:$B$47,2,FALSE)</f>
        <v>Central HS</v>
      </c>
      <c r="B852" s="207" t="str">
        <f>VLOOKUP(VALUE(D852),$D$3:F$106,3,FALSE)</f>
        <v>Supplementary Supplies</v>
      </c>
      <c r="C852" s="751" t="s">
        <v>246</v>
      </c>
      <c r="D852" s="751" t="s">
        <v>375</v>
      </c>
      <c r="E852" s="751" t="s">
        <v>422</v>
      </c>
      <c r="F852" s="751" t="s">
        <v>381</v>
      </c>
      <c r="G852" s="752" t="s">
        <v>1681</v>
      </c>
      <c r="H852" s="753">
        <v>54725</v>
      </c>
      <c r="I852" s="754">
        <v>1067.72</v>
      </c>
      <c r="J852" s="754">
        <v>0</v>
      </c>
      <c r="K852" s="754">
        <v>0</v>
      </c>
      <c r="L852" s="754">
        <v>0</v>
      </c>
      <c r="M852" s="754">
        <f t="shared" si="51"/>
        <v>0</v>
      </c>
      <c r="N852" s="756">
        <v>1067.72</v>
      </c>
      <c r="O852" s="720">
        <f t="shared" si="52"/>
        <v>0</v>
      </c>
    </row>
    <row r="853" spans="1:15" outlineLevel="2" x14ac:dyDescent="0.25">
      <c r="A853" s="207" t="str">
        <f>VLOOKUP(RIGHT(E853,3)+0,SchLocTable!$A$2:$B$47,2,FALSE)</f>
        <v>Central HS</v>
      </c>
      <c r="B853" s="207" t="str">
        <f>VLOOKUP(VALUE(D853),$D$3:F$106,3,FALSE)</f>
        <v>Supplementary Supplies</v>
      </c>
      <c r="C853" s="751" t="s">
        <v>246</v>
      </c>
      <c r="D853" s="751" t="s">
        <v>375</v>
      </c>
      <c r="E853" s="751" t="s">
        <v>422</v>
      </c>
      <c r="F853" s="751" t="s">
        <v>382</v>
      </c>
      <c r="G853" s="752" t="s">
        <v>1681</v>
      </c>
      <c r="H853" s="753">
        <v>56180</v>
      </c>
      <c r="I853" s="754">
        <v>9884</v>
      </c>
      <c r="J853" s="754">
        <v>3042.26</v>
      </c>
      <c r="K853" s="754">
        <v>0</v>
      </c>
      <c r="L853" s="754">
        <v>300</v>
      </c>
      <c r="M853" s="754">
        <f t="shared" si="51"/>
        <v>3342.26</v>
      </c>
      <c r="N853" s="756">
        <v>9884</v>
      </c>
      <c r="O853" s="720">
        <f t="shared" si="52"/>
        <v>0</v>
      </c>
    </row>
    <row r="854" spans="1:15" outlineLevel="2" x14ac:dyDescent="0.25">
      <c r="A854" s="207" t="str">
        <f>VLOOKUP(RIGHT(E854,3)+0,SchLocTable!$A$2:$B$47,2,FALSE)</f>
        <v>Harding HS</v>
      </c>
      <c r="B854" s="207" t="str">
        <f>VLOOKUP(VALUE(D854),$D$3:F$106,3,FALSE)</f>
        <v>Supplementary Supplies</v>
      </c>
      <c r="C854" s="751" t="s">
        <v>246</v>
      </c>
      <c r="D854" s="751" t="s">
        <v>375</v>
      </c>
      <c r="E854" s="751" t="s">
        <v>423</v>
      </c>
      <c r="F854" s="751" t="s">
        <v>402</v>
      </c>
      <c r="G854" s="752" t="s">
        <v>1681</v>
      </c>
      <c r="H854" s="753">
        <v>51400</v>
      </c>
      <c r="I854" s="754">
        <v>385</v>
      </c>
      <c r="J854" s="754">
        <v>0</v>
      </c>
      <c r="K854" s="754">
        <v>0</v>
      </c>
      <c r="L854" s="754">
        <v>385</v>
      </c>
      <c r="M854" s="754">
        <f t="shared" si="51"/>
        <v>385</v>
      </c>
      <c r="N854" s="756">
        <v>385</v>
      </c>
      <c r="O854" s="720">
        <f t="shared" si="52"/>
        <v>0</v>
      </c>
    </row>
    <row r="855" spans="1:15" outlineLevel="2" x14ac:dyDescent="0.25">
      <c r="A855" s="207" t="str">
        <f>VLOOKUP(RIGHT(E855,3)+0,SchLocTable!$A$2:$B$47,2,FALSE)</f>
        <v>Harding HS</v>
      </c>
      <c r="B855" s="207" t="str">
        <f>VLOOKUP(VALUE(D855),$D$3:F$106,3,FALSE)</f>
        <v>Supplementary Supplies</v>
      </c>
      <c r="C855" s="751" t="s">
        <v>246</v>
      </c>
      <c r="D855" s="751" t="s">
        <v>375</v>
      </c>
      <c r="E855" s="751" t="s">
        <v>423</v>
      </c>
      <c r="F855" s="751" t="s">
        <v>254</v>
      </c>
      <c r="G855" s="752" t="s">
        <v>1681</v>
      </c>
      <c r="H855" s="753">
        <v>52360</v>
      </c>
      <c r="I855" s="754">
        <v>5.59</v>
      </c>
      <c r="J855" s="754">
        <v>0</v>
      </c>
      <c r="K855" s="754">
        <v>0</v>
      </c>
      <c r="L855" s="754">
        <v>5.59</v>
      </c>
      <c r="M855" s="754">
        <f t="shared" si="51"/>
        <v>5.59</v>
      </c>
      <c r="N855" s="756">
        <v>5.59</v>
      </c>
      <c r="O855" s="720">
        <f t="shared" si="52"/>
        <v>0</v>
      </c>
    </row>
    <row r="856" spans="1:15" outlineLevel="2" x14ac:dyDescent="0.25">
      <c r="A856" s="207" t="str">
        <f>VLOOKUP(RIGHT(E856,3)+0,SchLocTable!$A$2:$B$47,2,FALSE)</f>
        <v>Harding HS</v>
      </c>
      <c r="B856" s="207" t="str">
        <f>VLOOKUP(VALUE(D856),$D$3:F$106,3,FALSE)</f>
        <v>Supplementary Supplies</v>
      </c>
      <c r="C856" s="755" t="s">
        <v>246</v>
      </c>
      <c r="D856" s="751" t="s">
        <v>375</v>
      </c>
      <c r="E856" s="751" t="s">
        <v>423</v>
      </c>
      <c r="F856" s="751" t="s">
        <v>371</v>
      </c>
      <c r="G856" s="752" t="s">
        <v>1681</v>
      </c>
      <c r="H856" s="753">
        <v>54580</v>
      </c>
      <c r="I856" s="754">
        <v>21070.9</v>
      </c>
      <c r="J856" s="754">
        <v>3049.27</v>
      </c>
      <c r="K856" s="754">
        <v>0</v>
      </c>
      <c r="L856" s="754">
        <v>9866.74</v>
      </c>
      <c r="M856" s="754">
        <f t="shared" si="51"/>
        <v>12916.01</v>
      </c>
      <c r="N856" s="756">
        <v>21070.9</v>
      </c>
      <c r="O856" s="720">
        <f t="shared" si="52"/>
        <v>0</v>
      </c>
    </row>
    <row r="857" spans="1:15" outlineLevel="2" x14ac:dyDescent="0.25">
      <c r="A857" s="207" t="str">
        <f>VLOOKUP(RIGHT(E857,3)+0,SchLocTable!$A$2:$B$47,2,FALSE)</f>
        <v>Harding HS</v>
      </c>
      <c r="B857" s="207" t="str">
        <f>VLOOKUP(VALUE(D857),$D$3:F$106,3,FALSE)</f>
        <v>Supplementary Supplies</v>
      </c>
      <c r="C857" s="751" t="s">
        <v>246</v>
      </c>
      <c r="D857" s="751" t="s">
        <v>375</v>
      </c>
      <c r="E857" s="751" t="s">
        <v>423</v>
      </c>
      <c r="F857" s="751" t="s">
        <v>381</v>
      </c>
      <c r="G857" s="752" t="s">
        <v>1681</v>
      </c>
      <c r="H857" s="753">
        <v>54725</v>
      </c>
      <c r="I857" s="754">
        <v>2393.1</v>
      </c>
      <c r="J857" s="754">
        <v>0</v>
      </c>
      <c r="K857" s="754">
        <v>0</v>
      </c>
      <c r="L857" s="754">
        <v>0</v>
      </c>
      <c r="M857" s="754">
        <f t="shared" si="51"/>
        <v>0</v>
      </c>
      <c r="N857" s="756">
        <v>2393.1</v>
      </c>
      <c r="O857" s="720">
        <f t="shared" si="52"/>
        <v>0</v>
      </c>
    </row>
    <row r="858" spans="1:15" outlineLevel="2" x14ac:dyDescent="0.25">
      <c r="A858" s="207" t="str">
        <f>VLOOKUP(RIGHT(E858,3)+0,SchLocTable!$A$2:$B$47,2,FALSE)</f>
        <v>Harding HS</v>
      </c>
      <c r="B858" s="207" t="str">
        <f>VLOOKUP(VALUE(D858),$D$3:F$106,3,FALSE)</f>
        <v>Supplementary Supplies</v>
      </c>
      <c r="C858" s="751" t="s">
        <v>246</v>
      </c>
      <c r="D858" s="751" t="s">
        <v>375</v>
      </c>
      <c r="E858" s="751" t="s">
        <v>423</v>
      </c>
      <c r="F858" s="751" t="s">
        <v>382</v>
      </c>
      <c r="G858" s="752" t="s">
        <v>1681</v>
      </c>
      <c r="H858" s="753">
        <v>56180</v>
      </c>
      <c r="I858" s="754">
        <v>6661</v>
      </c>
      <c r="J858" s="754">
        <v>0</v>
      </c>
      <c r="K858" s="754">
        <v>0</v>
      </c>
      <c r="L858" s="754">
        <v>1500</v>
      </c>
      <c r="M858" s="754">
        <f t="shared" si="51"/>
        <v>1500</v>
      </c>
      <c r="N858" s="756">
        <v>6661</v>
      </c>
      <c r="O858" s="720">
        <f t="shared" si="52"/>
        <v>0</v>
      </c>
    </row>
    <row r="859" spans="1:15" outlineLevel="2" x14ac:dyDescent="0.25">
      <c r="A859" s="207" t="str">
        <f>VLOOKUP(RIGHT(E859,3)+0,SchLocTable!$A$2:$B$47,2,FALSE)</f>
        <v>Harding HS</v>
      </c>
      <c r="B859" s="207" t="str">
        <f>VLOOKUP(VALUE(D859),$D$3:F$106,3,FALSE)</f>
        <v>Supplementary Supplies</v>
      </c>
      <c r="C859" s="755" t="s">
        <v>246</v>
      </c>
      <c r="D859" s="751" t="s">
        <v>375</v>
      </c>
      <c r="E859" s="751" t="s">
        <v>423</v>
      </c>
      <c r="F859" s="751" t="s">
        <v>635</v>
      </c>
      <c r="G859" s="752" t="s">
        <v>1681</v>
      </c>
      <c r="H859" s="753">
        <v>56240</v>
      </c>
      <c r="I859" s="754">
        <v>0</v>
      </c>
      <c r="J859" s="754">
        <v>0</v>
      </c>
      <c r="K859" s="754">
        <v>0</v>
      </c>
      <c r="L859" s="754">
        <v>0</v>
      </c>
      <c r="M859" s="754">
        <f t="shared" si="51"/>
        <v>0</v>
      </c>
      <c r="N859" s="756">
        <v>0</v>
      </c>
      <c r="O859" s="720">
        <f t="shared" si="52"/>
        <v>0</v>
      </c>
    </row>
    <row r="860" spans="1:15" outlineLevel="2" x14ac:dyDescent="0.25">
      <c r="A860" s="207" t="str">
        <f>VLOOKUP(RIGHT(E860,3)+0,SchLocTable!$A$2:$B$47,2,FALSE)</f>
        <v>Barnum</v>
      </c>
      <c r="B860" s="207" t="str">
        <f>VLOOKUP(VALUE(D860),$D$3:F$106,3,FALSE)</f>
        <v>Kindergarten Teachers</v>
      </c>
      <c r="C860" s="751" t="s">
        <v>246</v>
      </c>
      <c r="D860" s="751" t="s">
        <v>424</v>
      </c>
      <c r="E860" s="751" t="s">
        <v>425</v>
      </c>
      <c r="F860" s="751" t="s">
        <v>248</v>
      </c>
      <c r="G860" s="752">
        <v>3</v>
      </c>
      <c r="H860" s="753">
        <v>51000</v>
      </c>
      <c r="I860" s="754">
        <v>231755.61</v>
      </c>
      <c r="J860" s="754">
        <v>0</v>
      </c>
      <c r="K860" s="754">
        <v>0</v>
      </c>
      <c r="L860" s="754">
        <v>44132.3</v>
      </c>
      <c r="M860" s="754">
        <f t="shared" si="51"/>
        <v>44132.3</v>
      </c>
      <c r="N860" s="756">
        <v>231755.61</v>
      </c>
      <c r="O860" s="720">
        <f t="shared" si="52"/>
        <v>0</v>
      </c>
    </row>
    <row r="861" spans="1:15" outlineLevel="2" x14ac:dyDescent="0.25">
      <c r="A861" s="207" t="str">
        <f>VLOOKUP(RIGHT(E861,3)+0,SchLocTable!$A$2:$B$47,2,FALSE)</f>
        <v>Barnum</v>
      </c>
      <c r="B861" s="207" t="str">
        <f>VLOOKUP(VALUE(D861),$D$3:F$106,3,FALSE)</f>
        <v>Kindergarten Teachers</v>
      </c>
      <c r="C861" s="751" t="s">
        <v>246</v>
      </c>
      <c r="D861" s="751" t="s">
        <v>424</v>
      </c>
      <c r="E861" s="751" t="s">
        <v>425</v>
      </c>
      <c r="F861" s="751" t="s">
        <v>257</v>
      </c>
      <c r="G861" s="752" t="s">
        <v>1681</v>
      </c>
      <c r="H861" s="753">
        <v>51140</v>
      </c>
      <c r="I861" s="754">
        <v>3100</v>
      </c>
      <c r="J861" s="754">
        <v>0</v>
      </c>
      <c r="K861" s="754">
        <v>0</v>
      </c>
      <c r="L861" s="754">
        <v>0</v>
      </c>
      <c r="M861" s="754">
        <f t="shared" si="51"/>
        <v>0</v>
      </c>
      <c r="N861" s="756">
        <v>3100</v>
      </c>
      <c r="O861" s="720">
        <f t="shared" si="52"/>
        <v>0</v>
      </c>
    </row>
    <row r="862" spans="1:15" outlineLevel="2" x14ac:dyDescent="0.25">
      <c r="A862" s="207" t="str">
        <f>VLOOKUP(RIGHT(E862,3)+0,SchLocTable!$A$2:$B$47,2,FALSE)</f>
        <v>Barnum</v>
      </c>
      <c r="B862" s="207" t="str">
        <f>VLOOKUP(VALUE(D862),$D$3:F$106,3,FALSE)</f>
        <v>Kindergarten Teachers</v>
      </c>
      <c r="C862" s="751" t="s">
        <v>246</v>
      </c>
      <c r="D862" s="751" t="s">
        <v>424</v>
      </c>
      <c r="E862" s="751" t="s">
        <v>425</v>
      </c>
      <c r="F862" s="751" t="s">
        <v>254</v>
      </c>
      <c r="G862" s="752" t="s">
        <v>1681</v>
      </c>
      <c r="H862" s="753">
        <v>52360</v>
      </c>
      <c r="I862" s="754">
        <v>3327.66</v>
      </c>
      <c r="J862" s="754">
        <v>0</v>
      </c>
      <c r="K862" s="754">
        <v>0</v>
      </c>
      <c r="L862" s="754">
        <v>607.12</v>
      </c>
      <c r="M862" s="754">
        <f t="shared" si="51"/>
        <v>607.12</v>
      </c>
      <c r="N862" s="756">
        <v>3327.66</v>
      </c>
      <c r="O862" s="720">
        <f t="shared" si="52"/>
        <v>0</v>
      </c>
    </row>
    <row r="863" spans="1:15" outlineLevel="2" x14ac:dyDescent="0.25">
      <c r="A863" s="207" t="str">
        <f>VLOOKUP(RIGHT(E863,3)+0,SchLocTable!$A$2:$B$47,2,FALSE)</f>
        <v>Barnum</v>
      </c>
      <c r="B863" s="207" t="str">
        <f>VLOOKUP(VALUE(D863),$D$3:F$106,3,FALSE)</f>
        <v>Kindergarten Teachers</v>
      </c>
      <c r="C863" s="751" t="s">
        <v>246</v>
      </c>
      <c r="D863" s="751" t="s">
        <v>424</v>
      </c>
      <c r="E863" s="751" t="s">
        <v>425</v>
      </c>
      <c r="F863" s="751" t="s">
        <v>292</v>
      </c>
      <c r="G863" s="752" t="s">
        <v>1681</v>
      </c>
      <c r="H863" s="753">
        <v>52385</v>
      </c>
      <c r="I863" s="754">
        <v>470.53</v>
      </c>
      <c r="J863" s="754">
        <v>0</v>
      </c>
      <c r="K863" s="754">
        <v>0</v>
      </c>
      <c r="L863" s="754">
        <v>470.53</v>
      </c>
      <c r="M863" s="754">
        <f t="shared" si="51"/>
        <v>470.53</v>
      </c>
      <c r="N863" s="756">
        <v>470.53</v>
      </c>
      <c r="O863" s="720">
        <f t="shared" si="52"/>
        <v>0</v>
      </c>
    </row>
    <row r="864" spans="1:15" outlineLevel="2" x14ac:dyDescent="0.25">
      <c r="A864" s="207" t="str">
        <f>VLOOKUP(RIGHT(E864,3)+0,SchLocTable!$A$2:$B$47,2,FALSE)</f>
        <v>Barnum</v>
      </c>
      <c r="B864" s="207" t="str">
        <f>VLOOKUP(VALUE(D864),$D$3:F$106,3,FALSE)</f>
        <v>Kindergarten Teachers</v>
      </c>
      <c r="C864" s="751" t="s">
        <v>246</v>
      </c>
      <c r="D864" s="751" t="s">
        <v>424</v>
      </c>
      <c r="E864" s="751" t="s">
        <v>425</v>
      </c>
      <c r="F864" s="751" t="s">
        <v>259</v>
      </c>
      <c r="G864" s="752" t="s">
        <v>1681</v>
      </c>
      <c r="H864" s="753">
        <v>52917</v>
      </c>
      <c r="I864" s="754">
        <v>39484.74</v>
      </c>
      <c r="J864" s="754">
        <v>0</v>
      </c>
      <c r="K864" s="754">
        <v>0</v>
      </c>
      <c r="L864" s="754">
        <v>7662</v>
      </c>
      <c r="M864" s="754">
        <f t="shared" si="51"/>
        <v>7662</v>
      </c>
      <c r="N864" s="756">
        <v>39484.74</v>
      </c>
      <c r="O864" s="720">
        <f t="shared" si="52"/>
        <v>0</v>
      </c>
    </row>
    <row r="865" spans="1:15" outlineLevel="2" x14ac:dyDescent="0.25">
      <c r="A865" s="207" t="str">
        <f>VLOOKUP(RIGHT(E865,3)+0,SchLocTable!$A$2:$B$47,2,FALSE)</f>
        <v>Beardsley</v>
      </c>
      <c r="B865" s="207" t="str">
        <f>VLOOKUP(VALUE(D865),$D$3:F$106,3,FALSE)</f>
        <v>Kindergarten Teachers</v>
      </c>
      <c r="C865" s="751" t="s">
        <v>246</v>
      </c>
      <c r="D865" s="751" t="s">
        <v>424</v>
      </c>
      <c r="E865" s="751" t="s">
        <v>426</v>
      </c>
      <c r="F865" s="751" t="s">
        <v>248</v>
      </c>
      <c r="G865" s="752">
        <v>1</v>
      </c>
      <c r="H865" s="753">
        <v>51000</v>
      </c>
      <c r="I865" s="754">
        <v>61180.49</v>
      </c>
      <c r="J865" s="754">
        <v>0</v>
      </c>
      <c r="K865" s="754">
        <v>0</v>
      </c>
      <c r="L865" s="754">
        <v>11720.4</v>
      </c>
      <c r="M865" s="754">
        <f t="shared" si="51"/>
        <v>11720.4</v>
      </c>
      <c r="N865" s="756">
        <v>61180.49</v>
      </c>
      <c r="O865" s="720">
        <f t="shared" si="52"/>
        <v>0</v>
      </c>
    </row>
    <row r="866" spans="1:15" outlineLevel="2" x14ac:dyDescent="0.25">
      <c r="A866" s="207" t="str">
        <f>VLOOKUP(RIGHT(E866,3)+0,SchLocTable!$A$2:$B$47,2,FALSE)</f>
        <v>Beardsley</v>
      </c>
      <c r="B866" s="207" t="str">
        <f>VLOOKUP(VALUE(D866),$D$3:F$106,3,FALSE)</f>
        <v>Kindergarten Teachers</v>
      </c>
      <c r="C866" s="755" t="s">
        <v>246</v>
      </c>
      <c r="D866" s="751" t="s">
        <v>424</v>
      </c>
      <c r="E866" s="751" t="s">
        <v>426</v>
      </c>
      <c r="F866" s="751" t="s">
        <v>257</v>
      </c>
      <c r="G866" s="752" t="s">
        <v>1681</v>
      </c>
      <c r="H866" s="753">
        <v>51140</v>
      </c>
      <c r="I866" s="754">
        <v>1800</v>
      </c>
      <c r="J866" s="754">
        <v>0</v>
      </c>
      <c r="K866" s="754">
        <v>0</v>
      </c>
      <c r="L866" s="754">
        <v>0</v>
      </c>
      <c r="M866" s="754">
        <f t="shared" si="51"/>
        <v>0</v>
      </c>
      <c r="N866" s="756">
        <v>1800</v>
      </c>
      <c r="O866" s="720">
        <f t="shared" si="52"/>
        <v>0</v>
      </c>
    </row>
    <row r="867" spans="1:15" outlineLevel="2" x14ac:dyDescent="0.25">
      <c r="A867" s="207" t="str">
        <f>VLOOKUP(RIGHT(E867,3)+0,SchLocTable!$A$2:$B$47,2,FALSE)</f>
        <v>Beardsley</v>
      </c>
      <c r="B867" s="207" t="str">
        <f>VLOOKUP(VALUE(D867),$D$3:F$106,3,FALSE)</f>
        <v>Kindergarten Teachers</v>
      </c>
      <c r="C867" s="751" t="s">
        <v>246</v>
      </c>
      <c r="D867" s="751" t="s">
        <v>424</v>
      </c>
      <c r="E867" s="751" t="s">
        <v>426</v>
      </c>
      <c r="F867" s="751" t="s">
        <v>254</v>
      </c>
      <c r="G867" s="752" t="s">
        <v>1681</v>
      </c>
      <c r="H867" s="753">
        <v>52360</v>
      </c>
      <c r="I867" s="754">
        <v>886.84</v>
      </c>
      <c r="J867" s="754">
        <v>0</v>
      </c>
      <c r="K867" s="754">
        <v>0</v>
      </c>
      <c r="L867" s="754">
        <v>169.67</v>
      </c>
      <c r="M867" s="754">
        <f t="shared" si="51"/>
        <v>169.67</v>
      </c>
      <c r="N867" s="756">
        <v>886.84</v>
      </c>
      <c r="O867" s="720">
        <f t="shared" si="52"/>
        <v>0</v>
      </c>
    </row>
    <row r="868" spans="1:15" outlineLevel="2" x14ac:dyDescent="0.25">
      <c r="A868" s="207" t="str">
        <f>VLOOKUP(RIGHT(E868,3)+0,SchLocTable!$A$2:$B$47,2,FALSE)</f>
        <v>Beardsley</v>
      </c>
      <c r="B868" s="207" t="str">
        <f>VLOOKUP(VALUE(D868),$D$3:F$106,3,FALSE)</f>
        <v>Kindergarten Teachers</v>
      </c>
      <c r="C868" s="751" t="s">
        <v>246</v>
      </c>
      <c r="D868" s="751" t="s">
        <v>424</v>
      </c>
      <c r="E868" s="751" t="s">
        <v>426</v>
      </c>
      <c r="F868" s="751" t="s">
        <v>259</v>
      </c>
      <c r="G868" s="752" t="s">
        <v>1681</v>
      </c>
      <c r="H868" s="753">
        <v>52917</v>
      </c>
      <c r="I868" s="754">
        <v>439.32</v>
      </c>
      <c r="J868" s="754">
        <v>0</v>
      </c>
      <c r="K868" s="754">
        <v>0</v>
      </c>
      <c r="L868" s="754">
        <v>104.6</v>
      </c>
      <c r="M868" s="754">
        <f t="shared" si="51"/>
        <v>104.6</v>
      </c>
      <c r="N868" s="756">
        <v>439.32</v>
      </c>
      <c r="O868" s="720">
        <f t="shared" si="52"/>
        <v>0</v>
      </c>
    </row>
    <row r="869" spans="1:15" outlineLevel="2" x14ac:dyDescent="0.25">
      <c r="A869" s="207" t="str">
        <f>VLOOKUP(RIGHT(E869,3)+0,SchLocTable!$A$2:$B$47,2,FALSE)</f>
        <v>Black Rock</v>
      </c>
      <c r="B869" s="207" t="str">
        <f>VLOOKUP(VALUE(D869),$D$3:F$106,3,FALSE)</f>
        <v>Kindergarten Teachers</v>
      </c>
      <c r="C869" s="751" t="s">
        <v>246</v>
      </c>
      <c r="D869" s="751" t="s">
        <v>424</v>
      </c>
      <c r="E869" s="751" t="s">
        <v>427</v>
      </c>
      <c r="F869" s="751" t="s">
        <v>248</v>
      </c>
      <c r="G869" s="752">
        <v>2</v>
      </c>
      <c r="H869" s="753">
        <v>51000</v>
      </c>
      <c r="I869" s="754">
        <v>196410.84</v>
      </c>
      <c r="J869" s="754">
        <v>0</v>
      </c>
      <c r="K869" s="754">
        <v>0</v>
      </c>
      <c r="L869" s="754">
        <v>42407.35</v>
      </c>
      <c r="M869" s="754">
        <f t="shared" si="51"/>
        <v>42407.35</v>
      </c>
      <c r="N869" s="756">
        <v>196410.84</v>
      </c>
      <c r="O869" s="720">
        <f t="shared" si="52"/>
        <v>0</v>
      </c>
    </row>
    <row r="870" spans="1:15" outlineLevel="2" x14ac:dyDescent="0.25">
      <c r="A870" s="207" t="str">
        <f>VLOOKUP(RIGHT(E870,3)+0,SchLocTable!$A$2:$B$47,2,FALSE)</f>
        <v>Black Rock</v>
      </c>
      <c r="B870" s="207" t="str">
        <f>VLOOKUP(VALUE(D870),$D$3:F$106,3,FALSE)</f>
        <v>Kindergarten Teachers</v>
      </c>
      <c r="C870" s="755" t="s">
        <v>246</v>
      </c>
      <c r="D870" s="751" t="s">
        <v>424</v>
      </c>
      <c r="E870" s="751" t="s">
        <v>427</v>
      </c>
      <c r="F870" s="751" t="s">
        <v>257</v>
      </c>
      <c r="G870" s="752" t="s">
        <v>1681</v>
      </c>
      <c r="H870" s="753">
        <v>51140</v>
      </c>
      <c r="I870" s="754">
        <v>2000</v>
      </c>
      <c r="J870" s="754">
        <v>0</v>
      </c>
      <c r="K870" s="754">
        <v>0</v>
      </c>
      <c r="L870" s="754">
        <v>0</v>
      </c>
      <c r="M870" s="754">
        <f t="shared" si="51"/>
        <v>0</v>
      </c>
      <c r="N870" s="756">
        <v>2000</v>
      </c>
      <c r="O870" s="720">
        <f t="shared" si="52"/>
        <v>0</v>
      </c>
    </row>
    <row r="871" spans="1:15" outlineLevel="2" x14ac:dyDescent="0.25">
      <c r="A871" s="207" t="str">
        <f>VLOOKUP(RIGHT(E871,3)+0,SchLocTable!$A$2:$B$47,2,FALSE)</f>
        <v>Black Rock</v>
      </c>
      <c r="B871" s="207" t="str">
        <f>VLOOKUP(VALUE(D871),$D$3:F$106,3,FALSE)</f>
        <v>Kindergarten Teachers</v>
      </c>
      <c r="C871" s="751" t="s">
        <v>246</v>
      </c>
      <c r="D871" s="751" t="s">
        <v>424</v>
      </c>
      <c r="E871" s="751" t="s">
        <v>427</v>
      </c>
      <c r="F871" s="751" t="s">
        <v>254</v>
      </c>
      <c r="G871" s="752" t="s">
        <v>1681</v>
      </c>
      <c r="H871" s="753">
        <v>52360</v>
      </c>
      <c r="I871" s="754">
        <v>2787.02</v>
      </c>
      <c r="J871" s="754">
        <v>0</v>
      </c>
      <c r="K871" s="754">
        <v>0</v>
      </c>
      <c r="L871" s="754">
        <v>553.97</v>
      </c>
      <c r="M871" s="754">
        <f t="shared" si="51"/>
        <v>553.97</v>
      </c>
      <c r="N871" s="756">
        <v>2787.02</v>
      </c>
      <c r="O871" s="720">
        <f t="shared" si="52"/>
        <v>0</v>
      </c>
    </row>
    <row r="872" spans="1:15" outlineLevel="2" x14ac:dyDescent="0.25">
      <c r="A872" s="207" t="str">
        <f>VLOOKUP(RIGHT(E872,3)+0,SchLocTable!$A$2:$B$47,2,FALSE)</f>
        <v>Black Rock</v>
      </c>
      <c r="B872" s="207" t="str">
        <f>VLOOKUP(VALUE(D872),$D$3:F$106,3,FALSE)</f>
        <v>Kindergarten Teachers</v>
      </c>
      <c r="C872" s="751" t="s">
        <v>246</v>
      </c>
      <c r="D872" s="751" t="s">
        <v>424</v>
      </c>
      <c r="E872" s="751" t="s">
        <v>427</v>
      </c>
      <c r="F872" s="751" t="s">
        <v>259</v>
      </c>
      <c r="G872" s="752" t="s">
        <v>1681</v>
      </c>
      <c r="H872" s="753">
        <v>52917</v>
      </c>
      <c r="I872" s="754">
        <v>56956.2</v>
      </c>
      <c r="J872" s="754">
        <v>0</v>
      </c>
      <c r="K872" s="754">
        <v>0</v>
      </c>
      <c r="L872" s="754">
        <v>13561</v>
      </c>
      <c r="M872" s="754">
        <f t="shared" si="51"/>
        <v>13561</v>
      </c>
      <c r="N872" s="756">
        <v>56956.2</v>
      </c>
      <c r="O872" s="720">
        <f t="shared" si="52"/>
        <v>0</v>
      </c>
    </row>
    <row r="873" spans="1:15" outlineLevel="2" x14ac:dyDescent="0.25">
      <c r="A873" s="207" t="str">
        <f>VLOOKUP(RIGHT(E873,3)+0,SchLocTable!$A$2:$B$47,2,FALSE)</f>
        <v>Bryant</v>
      </c>
      <c r="B873" s="207" t="str">
        <f>VLOOKUP(VALUE(D873),$D$3:F$106,3,FALSE)</f>
        <v>Kindergarten Teachers</v>
      </c>
      <c r="C873" s="755" t="s">
        <v>246</v>
      </c>
      <c r="D873" s="751" t="s">
        <v>424</v>
      </c>
      <c r="E873" s="751" t="s">
        <v>428</v>
      </c>
      <c r="F873" s="751" t="s">
        <v>248</v>
      </c>
      <c r="G873" s="752">
        <v>3</v>
      </c>
      <c r="H873" s="753">
        <v>51000</v>
      </c>
      <c r="I873" s="754">
        <v>249211.45</v>
      </c>
      <c r="J873" s="754">
        <v>0</v>
      </c>
      <c r="K873" s="754">
        <v>0</v>
      </c>
      <c r="L873" s="754">
        <v>52082.1</v>
      </c>
      <c r="M873" s="754">
        <f t="shared" si="51"/>
        <v>52082.1</v>
      </c>
      <c r="N873" s="756">
        <v>249211.45</v>
      </c>
      <c r="O873" s="720">
        <f t="shared" si="52"/>
        <v>0</v>
      </c>
    </row>
    <row r="874" spans="1:15" outlineLevel="2" x14ac:dyDescent="0.25">
      <c r="A874" s="207" t="str">
        <f>VLOOKUP(RIGHT(E874,3)+0,SchLocTable!$A$2:$B$47,2,FALSE)</f>
        <v>Bryant</v>
      </c>
      <c r="B874" s="207" t="str">
        <f>VLOOKUP(VALUE(D874),$D$3:F$106,3,FALSE)</f>
        <v>Kindergarten Teachers</v>
      </c>
      <c r="C874" s="751" t="s">
        <v>246</v>
      </c>
      <c r="D874" s="751" t="s">
        <v>424</v>
      </c>
      <c r="E874" s="751" t="s">
        <v>428</v>
      </c>
      <c r="F874" s="751" t="s">
        <v>257</v>
      </c>
      <c r="G874" s="752" t="s">
        <v>1681</v>
      </c>
      <c r="H874" s="753">
        <v>51140</v>
      </c>
      <c r="I874" s="754">
        <v>3500</v>
      </c>
      <c r="J874" s="754">
        <v>0</v>
      </c>
      <c r="K874" s="754">
        <v>0</v>
      </c>
      <c r="L874" s="754">
        <v>0</v>
      </c>
      <c r="M874" s="754">
        <f t="shared" si="51"/>
        <v>0</v>
      </c>
      <c r="N874" s="756">
        <v>3500</v>
      </c>
      <c r="O874" s="720">
        <f t="shared" si="52"/>
        <v>0</v>
      </c>
    </row>
    <row r="875" spans="1:15" outlineLevel="2" x14ac:dyDescent="0.25">
      <c r="A875" s="207" t="str">
        <f>VLOOKUP(RIGHT(E875,3)+0,SchLocTable!$A$2:$B$47,2,FALSE)</f>
        <v>Bryant</v>
      </c>
      <c r="B875" s="207" t="str">
        <f>VLOOKUP(VALUE(D875),$D$3:F$106,3,FALSE)</f>
        <v>Kindergarten Teachers</v>
      </c>
      <c r="C875" s="751" t="s">
        <v>246</v>
      </c>
      <c r="D875" s="751" t="s">
        <v>424</v>
      </c>
      <c r="E875" s="751" t="s">
        <v>428</v>
      </c>
      <c r="F875" s="751" t="s">
        <v>254</v>
      </c>
      <c r="G875" s="752" t="s">
        <v>1681</v>
      </c>
      <c r="H875" s="753">
        <v>52360</v>
      </c>
      <c r="I875" s="754">
        <v>3562.14</v>
      </c>
      <c r="J875" s="754">
        <v>0</v>
      </c>
      <c r="K875" s="754">
        <v>0</v>
      </c>
      <c r="L875" s="754">
        <v>703.76</v>
      </c>
      <c r="M875" s="754">
        <f t="shared" si="51"/>
        <v>703.76</v>
      </c>
      <c r="N875" s="756">
        <v>3562.14</v>
      </c>
      <c r="O875" s="720">
        <f t="shared" si="52"/>
        <v>0</v>
      </c>
    </row>
    <row r="876" spans="1:15" outlineLevel="2" x14ac:dyDescent="0.25">
      <c r="A876" s="207" t="str">
        <f>VLOOKUP(RIGHT(E876,3)+0,SchLocTable!$A$2:$B$47,2,FALSE)</f>
        <v>Bryant</v>
      </c>
      <c r="B876" s="207" t="str">
        <f>VLOOKUP(VALUE(D876),$D$3:F$106,3,FALSE)</f>
        <v>Kindergarten Teachers</v>
      </c>
      <c r="C876" s="751" t="s">
        <v>246</v>
      </c>
      <c r="D876" s="751" t="s">
        <v>424</v>
      </c>
      <c r="E876" s="751" t="s">
        <v>428</v>
      </c>
      <c r="F876" s="751" t="s">
        <v>259</v>
      </c>
      <c r="G876" s="752" t="s">
        <v>1681</v>
      </c>
      <c r="H876" s="753">
        <v>52917</v>
      </c>
      <c r="I876" s="754">
        <v>48237.84</v>
      </c>
      <c r="J876" s="754">
        <v>0</v>
      </c>
      <c r="K876" s="754">
        <v>0</v>
      </c>
      <c r="L876" s="754">
        <v>11485.2</v>
      </c>
      <c r="M876" s="754">
        <f t="shared" si="51"/>
        <v>11485.2</v>
      </c>
      <c r="N876" s="756">
        <v>48237.84</v>
      </c>
      <c r="O876" s="720">
        <f t="shared" si="52"/>
        <v>0</v>
      </c>
    </row>
    <row r="877" spans="1:15" outlineLevel="2" x14ac:dyDescent="0.25">
      <c r="A877" s="207" t="str">
        <f>VLOOKUP(RIGHT(E877,3)+0,SchLocTable!$A$2:$B$47,2,FALSE)</f>
        <v>Columbus</v>
      </c>
      <c r="B877" s="207" t="str">
        <f>VLOOKUP(VALUE(D877),$D$3:F$106,3,FALSE)</f>
        <v>Kindergarten Teachers</v>
      </c>
      <c r="C877" s="751" t="s">
        <v>246</v>
      </c>
      <c r="D877" s="751" t="s">
        <v>424</v>
      </c>
      <c r="E877" s="751" t="s">
        <v>429</v>
      </c>
      <c r="F877" s="751" t="s">
        <v>248</v>
      </c>
      <c r="G877" s="752">
        <v>2</v>
      </c>
      <c r="H877" s="753">
        <v>51000</v>
      </c>
      <c r="I877" s="754">
        <v>152378.20000000001</v>
      </c>
      <c r="J877" s="754">
        <v>0</v>
      </c>
      <c r="K877" s="754">
        <v>0</v>
      </c>
      <c r="L877" s="754">
        <v>28261.15</v>
      </c>
      <c r="M877" s="754">
        <f t="shared" si="51"/>
        <v>28261.15</v>
      </c>
      <c r="N877" s="756">
        <v>152378.20000000001</v>
      </c>
      <c r="O877" s="720">
        <f t="shared" si="52"/>
        <v>0</v>
      </c>
    </row>
    <row r="878" spans="1:15" outlineLevel="2" x14ac:dyDescent="0.25">
      <c r="A878" s="207" t="str">
        <f>VLOOKUP(RIGHT(E878,3)+0,SchLocTable!$A$2:$B$47,2,FALSE)</f>
        <v>Columbus</v>
      </c>
      <c r="B878" s="207" t="str">
        <f>VLOOKUP(VALUE(D878),$D$3:F$106,3,FALSE)</f>
        <v>Kindergarten Teachers</v>
      </c>
      <c r="C878" s="751" t="s">
        <v>246</v>
      </c>
      <c r="D878" s="751" t="s">
        <v>424</v>
      </c>
      <c r="E878" s="751" t="s">
        <v>429</v>
      </c>
      <c r="F878" s="751" t="s">
        <v>257</v>
      </c>
      <c r="G878" s="752" t="s">
        <v>1681</v>
      </c>
      <c r="H878" s="753">
        <v>51140</v>
      </c>
      <c r="I878" s="754">
        <v>1200</v>
      </c>
      <c r="J878" s="754">
        <v>0</v>
      </c>
      <c r="K878" s="754">
        <v>0</v>
      </c>
      <c r="L878" s="754">
        <v>0</v>
      </c>
      <c r="M878" s="754">
        <f t="shared" si="51"/>
        <v>0</v>
      </c>
      <c r="N878" s="756">
        <v>1200</v>
      </c>
      <c r="O878" s="720">
        <f t="shared" si="52"/>
        <v>0</v>
      </c>
    </row>
    <row r="879" spans="1:15" outlineLevel="2" x14ac:dyDescent="0.25">
      <c r="A879" s="207" t="str">
        <f>VLOOKUP(RIGHT(E879,3)+0,SchLocTable!$A$2:$B$47,2,FALSE)</f>
        <v>Columbus</v>
      </c>
      <c r="B879" s="207" t="str">
        <f>VLOOKUP(VALUE(D879),$D$3:F$106,3,FALSE)</f>
        <v>Kindergarten Teachers</v>
      </c>
      <c r="C879" s="751" t="s">
        <v>246</v>
      </c>
      <c r="D879" s="751" t="s">
        <v>424</v>
      </c>
      <c r="E879" s="751" t="s">
        <v>429</v>
      </c>
      <c r="F879" s="751" t="s">
        <v>254</v>
      </c>
      <c r="G879" s="752" t="s">
        <v>1681</v>
      </c>
      <c r="H879" s="753">
        <v>52360</v>
      </c>
      <c r="I879" s="754">
        <v>2170.8200000000002</v>
      </c>
      <c r="J879" s="754">
        <v>0</v>
      </c>
      <c r="K879" s="754">
        <v>0</v>
      </c>
      <c r="L879" s="754">
        <v>371.12</v>
      </c>
      <c r="M879" s="754">
        <f t="shared" si="51"/>
        <v>371.12</v>
      </c>
      <c r="N879" s="756">
        <v>2170.8200000000002</v>
      </c>
      <c r="O879" s="720">
        <f t="shared" si="52"/>
        <v>0</v>
      </c>
    </row>
    <row r="880" spans="1:15" outlineLevel="2" x14ac:dyDescent="0.25">
      <c r="A880" s="207" t="str">
        <f>VLOOKUP(RIGHT(E880,3)+0,SchLocTable!$A$2:$B$47,2,FALSE)</f>
        <v>Columbus</v>
      </c>
      <c r="B880" s="207" t="str">
        <f>VLOOKUP(VALUE(D880),$D$3:F$106,3,FALSE)</f>
        <v>Kindergarten Teachers</v>
      </c>
      <c r="C880" s="751" t="s">
        <v>246</v>
      </c>
      <c r="D880" s="751" t="s">
        <v>424</v>
      </c>
      <c r="E880" s="751" t="s">
        <v>429</v>
      </c>
      <c r="F880" s="751" t="s">
        <v>292</v>
      </c>
      <c r="G880" s="752" t="s">
        <v>1681</v>
      </c>
      <c r="H880" s="753">
        <v>52385</v>
      </c>
      <c r="I880" s="754">
        <v>2824.11</v>
      </c>
      <c r="J880" s="754">
        <v>0</v>
      </c>
      <c r="K880" s="754">
        <v>0</v>
      </c>
      <c r="L880" s="754">
        <v>485.77</v>
      </c>
      <c r="M880" s="754">
        <f t="shared" si="51"/>
        <v>485.77</v>
      </c>
      <c r="N880" s="756">
        <v>2824.11</v>
      </c>
      <c r="O880" s="720">
        <f t="shared" si="52"/>
        <v>0</v>
      </c>
    </row>
    <row r="881" spans="1:15" outlineLevel="2" x14ac:dyDescent="0.25">
      <c r="A881" s="207" t="str">
        <f>VLOOKUP(RIGHT(E881,3)+0,SchLocTable!$A$2:$B$47,2,FALSE)</f>
        <v>Columbus</v>
      </c>
      <c r="B881" s="207" t="str">
        <f>VLOOKUP(VALUE(D881),$D$3:F$106,3,FALSE)</f>
        <v>Kindergarten Teachers</v>
      </c>
      <c r="C881" s="751" t="s">
        <v>246</v>
      </c>
      <c r="D881" s="751" t="s">
        <v>424</v>
      </c>
      <c r="E881" s="751" t="s">
        <v>429</v>
      </c>
      <c r="F881" s="751" t="s">
        <v>259</v>
      </c>
      <c r="G881" s="752" t="s">
        <v>1681</v>
      </c>
      <c r="H881" s="753">
        <v>52917</v>
      </c>
      <c r="I881" s="754">
        <v>40984.93</v>
      </c>
      <c r="J881" s="754">
        <v>0</v>
      </c>
      <c r="K881" s="754">
        <v>0</v>
      </c>
      <c r="L881" s="754">
        <v>9044.18</v>
      </c>
      <c r="M881" s="754">
        <f t="shared" si="51"/>
        <v>9044.18</v>
      </c>
      <c r="N881" s="756">
        <v>40984.93</v>
      </c>
      <c r="O881" s="720">
        <f t="shared" si="52"/>
        <v>0</v>
      </c>
    </row>
    <row r="882" spans="1:15" outlineLevel="2" x14ac:dyDescent="0.25">
      <c r="A882" s="207" t="str">
        <f>VLOOKUP(RIGHT(E882,3)+0,SchLocTable!$A$2:$B$47,2,FALSE)</f>
        <v>Edison</v>
      </c>
      <c r="B882" s="207" t="str">
        <f>VLOOKUP(VALUE(D882),$D$3:F$106,3,FALSE)</f>
        <v>Kindergarten Teachers</v>
      </c>
      <c r="C882" s="751" t="s">
        <v>246</v>
      </c>
      <c r="D882" s="751" t="s">
        <v>424</v>
      </c>
      <c r="E882" s="751" t="s">
        <v>430</v>
      </c>
      <c r="F882" s="751" t="s">
        <v>248</v>
      </c>
      <c r="G882" s="752">
        <v>1</v>
      </c>
      <c r="H882" s="753">
        <v>51000</v>
      </c>
      <c r="I882" s="754">
        <v>73002.100000000006</v>
      </c>
      <c r="J882" s="754">
        <v>0</v>
      </c>
      <c r="K882" s="754">
        <v>0</v>
      </c>
      <c r="L882" s="754">
        <v>21086.39</v>
      </c>
      <c r="M882" s="754">
        <f t="shared" si="51"/>
        <v>21086.39</v>
      </c>
      <c r="N882" s="756">
        <v>73002.100000000006</v>
      </c>
      <c r="O882" s="720">
        <f t="shared" si="52"/>
        <v>0</v>
      </c>
    </row>
    <row r="883" spans="1:15" outlineLevel="2" x14ac:dyDescent="0.25">
      <c r="A883" s="207" t="str">
        <f>VLOOKUP(RIGHT(E883,3)+0,SchLocTable!$A$2:$B$47,2,FALSE)</f>
        <v>Edison</v>
      </c>
      <c r="B883" s="207" t="str">
        <f>VLOOKUP(VALUE(D883),$D$3:F$106,3,FALSE)</f>
        <v>Kindergarten Teachers</v>
      </c>
      <c r="C883" s="751" t="s">
        <v>246</v>
      </c>
      <c r="D883" s="751" t="s">
        <v>424</v>
      </c>
      <c r="E883" s="751" t="s">
        <v>430</v>
      </c>
      <c r="F883" s="751" t="s">
        <v>254</v>
      </c>
      <c r="G883" s="752" t="s">
        <v>1681</v>
      </c>
      <c r="H883" s="753">
        <v>52360</v>
      </c>
      <c r="I883" s="754">
        <v>1058.03</v>
      </c>
      <c r="J883" s="754">
        <v>0</v>
      </c>
      <c r="K883" s="754">
        <v>0</v>
      </c>
      <c r="L883" s="754">
        <v>305.25</v>
      </c>
      <c r="M883" s="754">
        <f t="shared" si="51"/>
        <v>305.25</v>
      </c>
      <c r="N883" s="756">
        <v>1058.03</v>
      </c>
      <c r="O883" s="720">
        <f t="shared" si="52"/>
        <v>0</v>
      </c>
    </row>
    <row r="884" spans="1:15" outlineLevel="2" x14ac:dyDescent="0.25">
      <c r="A884" s="207" t="str">
        <f>VLOOKUP(RIGHT(E884,3)+0,SchLocTable!$A$2:$B$47,2,FALSE)</f>
        <v>Edison</v>
      </c>
      <c r="B884" s="207" t="str">
        <f>VLOOKUP(VALUE(D884),$D$3:F$106,3,FALSE)</f>
        <v>Kindergarten Teachers</v>
      </c>
      <c r="C884" s="751" t="s">
        <v>246</v>
      </c>
      <c r="D884" s="751" t="s">
        <v>424</v>
      </c>
      <c r="E884" s="751" t="s">
        <v>430</v>
      </c>
      <c r="F884" s="751" t="s">
        <v>259</v>
      </c>
      <c r="G884" s="752" t="s">
        <v>1681</v>
      </c>
      <c r="H884" s="753">
        <v>52917</v>
      </c>
      <c r="I884" s="754">
        <v>188.28</v>
      </c>
      <c r="J884" s="754">
        <v>0</v>
      </c>
      <c r="K884" s="754">
        <v>0</v>
      </c>
      <c r="L884" s="754">
        <v>188.28</v>
      </c>
      <c r="M884" s="754">
        <f t="shared" si="51"/>
        <v>188.28</v>
      </c>
      <c r="N884" s="756">
        <v>188.28</v>
      </c>
      <c r="O884" s="720">
        <f t="shared" si="52"/>
        <v>0</v>
      </c>
    </row>
    <row r="885" spans="1:15" outlineLevel="2" x14ac:dyDescent="0.25">
      <c r="A885" s="207" t="str">
        <f>VLOOKUP(RIGHT(E885,3)+0,SchLocTable!$A$2:$B$47,2,FALSE)</f>
        <v>Marin</v>
      </c>
      <c r="B885" s="207" t="str">
        <f>VLOOKUP(VALUE(D885),$D$3:F$106,3,FALSE)</f>
        <v>Kindergarten Teachers</v>
      </c>
      <c r="C885" s="751" t="s">
        <v>246</v>
      </c>
      <c r="D885" s="751" t="s">
        <v>424</v>
      </c>
      <c r="E885" s="751" t="s">
        <v>431</v>
      </c>
      <c r="F885" s="751" t="s">
        <v>248</v>
      </c>
      <c r="G885" s="752">
        <v>3</v>
      </c>
      <c r="H885" s="753">
        <v>51000</v>
      </c>
      <c r="I885" s="754">
        <v>278690.53999999998</v>
      </c>
      <c r="J885" s="754">
        <v>0</v>
      </c>
      <c r="K885" s="754">
        <v>0</v>
      </c>
      <c r="L885" s="754">
        <v>57362.45</v>
      </c>
      <c r="M885" s="754">
        <f t="shared" si="51"/>
        <v>57362.45</v>
      </c>
      <c r="N885" s="756">
        <v>278690.53999999998</v>
      </c>
      <c r="O885" s="720">
        <f t="shared" si="52"/>
        <v>0</v>
      </c>
    </row>
    <row r="886" spans="1:15" outlineLevel="1" x14ac:dyDescent="0.25">
      <c r="A886" s="207" t="str">
        <f>VLOOKUP(RIGHT(E886,3)+0,SchLocTable!$A$2:$B$47,2,FALSE)</f>
        <v>Marin</v>
      </c>
      <c r="B886" s="207" t="str">
        <f>VLOOKUP(VALUE(D886),$D$3:F$106,3,FALSE)</f>
        <v>Kindergarten Teachers</v>
      </c>
      <c r="C886" s="751" t="s">
        <v>246</v>
      </c>
      <c r="D886" s="751" t="s">
        <v>424</v>
      </c>
      <c r="E886" s="751" t="s">
        <v>431</v>
      </c>
      <c r="F886" s="751" t="s">
        <v>257</v>
      </c>
      <c r="G886" s="752" t="s">
        <v>1681</v>
      </c>
      <c r="H886" s="753">
        <v>51140</v>
      </c>
      <c r="I886" s="754">
        <v>3100</v>
      </c>
      <c r="J886" s="754">
        <v>0</v>
      </c>
      <c r="K886" s="754">
        <v>0</v>
      </c>
      <c r="L886" s="754">
        <v>0</v>
      </c>
      <c r="M886" s="754">
        <f t="shared" si="51"/>
        <v>0</v>
      </c>
      <c r="N886" s="756">
        <v>3100</v>
      </c>
      <c r="O886" s="720">
        <f t="shared" si="52"/>
        <v>0</v>
      </c>
    </row>
    <row r="887" spans="1:15" outlineLevel="2" x14ac:dyDescent="0.25">
      <c r="A887" s="207" t="str">
        <f>VLOOKUP(RIGHT(E887,3)+0,SchLocTable!$A$2:$B$47,2,FALSE)</f>
        <v>Marin</v>
      </c>
      <c r="B887" s="207" t="str">
        <f>VLOOKUP(VALUE(D887),$D$3:F$106,3,FALSE)</f>
        <v>Kindergarten Teachers</v>
      </c>
      <c r="C887" s="751" t="s">
        <v>246</v>
      </c>
      <c r="D887" s="751" t="s">
        <v>424</v>
      </c>
      <c r="E887" s="751" t="s">
        <v>431</v>
      </c>
      <c r="F887" s="751" t="s">
        <v>254</v>
      </c>
      <c r="G887" s="752" t="s">
        <v>1681</v>
      </c>
      <c r="H887" s="753">
        <v>52360</v>
      </c>
      <c r="I887" s="754">
        <v>3964.31</v>
      </c>
      <c r="J887" s="754">
        <v>0</v>
      </c>
      <c r="K887" s="754">
        <v>0</v>
      </c>
      <c r="L887" s="754">
        <v>755.05</v>
      </c>
      <c r="M887" s="754">
        <f t="shared" si="51"/>
        <v>755.05</v>
      </c>
      <c r="N887" s="756">
        <v>3964.31</v>
      </c>
      <c r="O887" s="720">
        <f t="shared" si="52"/>
        <v>0</v>
      </c>
    </row>
    <row r="888" spans="1:15" outlineLevel="2" x14ac:dyDescent="0.25">
      <c r="A888" s="207" t="str">
        <f>VLOOKUP(RIGHT(E888,3)+0,SchLocTable!$A$2:$B$47,2,FALSE)</f>
        <v>Marin</v>
      </c>
      <c r="B888" s="207" t="str">
        <f>VLOOKUP(VALUE(D888),$D$3:F$106,3,FALSE)</f>
        <v>Kindergarten Teachers</v>
      </c>
      <c r="C888" s="755" t="s">
        <v>246</v>
      </c>
      <c r="D888" s="751" t="s">
        <v>424</v>
      </c>
      <c r="E888" s="751" t="s">
        <v>431</v>
      </c>
      <c r="F888" s="751" t="s">
        <v>292</v>
      </c>
      <c r="G888" s="752" t="s">
        <v>1681</v>
      </c>
      <c r="H888" s="753">
        <v>52385</v>
      </c>
      <c r="I888" s="754">
        <v>0</v>
      </c>
      <c r="J888" s="754">
        <v>0</v>
      </c>
      <c r="K888" s="754">
        <v>0</v>
      </c>
      <c r="L888" s="754">
        <v>0</v>
      </c>
      <c r="M888" s="754">
        <f t="shared" si="51"/>
        <v>0</v>
      </c>
      <c r="N888" s="756">
        <v>0</v>
      </c>
      <c r="O888" s="720">
        <f t="shared" si="52"/>
        <v>0</v>
      </c>
    </row>
    <row r="889" spans="1:15" outlineLevel="2" x14ac:dyDescent="0.25">
      <c r="A889" s="207" t="str">
        <f>VLOOKUP(RIGHT(E889,3)+0,SchLocTable!$A$2:$B$47,2,FALSE)</f>
        <v>Marin</v>
      </c>
      <c r="B889" s="207" t="str">
        <f>VLOOKUP(VALUE(D889),$D$3:F$106,3,FALSE)</f>
        <v>Kindergarten Teachers</v>
      </c>
      <c r="C889" s="751" t="s">
        <v>246</v>
      </c>
      <c r="D889" s="751" t="s">
        <v>424</v>
      </c>
      <c r="E889" s="751" t="s">
        <v>431</v>
      </c>
      <c r="F889" s="751" t="s">
        <v>259</v>
      </c>
      <c r="G889" s="752" t="s">
        <v>1681</v>
      </c>
      <c r="H889" s="753">
        <v>52917</v>
      </c>
      <c r="I889" s="754">
        <v>75397.98</v>
      </c>
      <c r="J889" s="754">
        <v>0</v>
      </c>
      <c r="K889" s="754">
        <v>0</v>
      </c>
      <c r="L889" s="754">
        <v>17951.900000000001</v>
      </c>
      <c r="M889" s="754">
        <f t="shared" si="51"/>
        <v>17951.900000000001</v>
      </c>
      <c r="N889" s="756">
        <v>75397.98</v>
      </c>
      <c r="O889" s="720">
        <f t="shared" si="52"/>
        <v>0</v>
      </c>
    </row>
    <row r="890" spans="1:15" outlineLevel="2" x14ac:dyDescent="0.25">
      <c r="A890" s="207" t="str">
        <f>VLOOKUP(RIGHT(E890,3)+0,SchLocTable!$A$2:$B$47,2,FALSE)</f>
        <v>Hall</v>
      </c>
      <c r="B890" s="207" t="str">
        <f>VLOOKUP(VALUE(D890),$D$3:F$106,3,FALSE)</f>
        <v>Kindergarten Teachers</v>
      </c>
      <c r="C890" s="751" t="s">
        <v>246</v>
      </c>
      <c r="D890" s="751" t="s">
        <v>424</v>
      </c>
      <c r="E890" s="751" t="s">
        <v>432</v>
      </c>
      <c r="F890" s="751" t="s">
        <v>248</v>
      </c>
      <c r="G890" s="752">
        <v>2</v>
      </c>
      <c r="H890" s="753">
        <v>51000</v>
      </c>
      <c r="I890" s="754">
        <v>156790.79</v>
      </c>
      <c r="J890" s="754">
        <v>0</v>
      </c>
      <c r="K890" s="754">
        <v>0</v>
      </c>
      <c r="L890" s="754">
        <v>30036.55</v>
      </c>
      <c r="M890" s="754">
        <f t="shared" si="51"/>
        <v>30036.55</v>
      </c>
      <c r="N890" s="756">
        <v>156790.79</v>
      </c>
      <c r="O890" s="720">
        <f t="shared" si="52"/>
        <v>0</v>
      </c>
    </row>
    <row r="891" spans="1:15" outlineLevel="2" x14ac:dyDescent="0.25">
      <c r="A891" s="207" t="str">
        <f>VLOOKUP(RIGHT(E891,3)+0,SchLocTable!$A$2:$B$47,2,FALSE)</f>
        <v>Hall</v>
      </c>
      <c r="B891" s="207" t="str">
        <f>VLOOKUP(VALUE(D891),$D$3:F$106,3,FALSE)</f>
        <v>Kindergarten Teachers</v>
      </c>
      <c r="C891" s="755" t="s">
        <v>246</v>
      </c>
      <c r="D891" s="751" t="s">
        <v>424</v>
      </c>
      <c r="E891" s="751" t="s">
        <v>432</v>
      </c>
      <c r="F891" s="751" t="s">
        <v>257</v>
      </c>
      <c r="G891" s="752" t="s">
        <v>1681</v>
      </c>
      <c r="H891" s="753">
        <v>51140</v>
      </c>
      <c r="I891" s="754">
        <v>1100</v>
      </c>
      <c r="J891" s="754">
        <v>0</v>
      </c>
      <c r="K891" s="754">
        <v>0</v>
      </c>
      <c r="L891" s="754">
        <v>0</v>
      </c>
      <c r="M891" s="754">
        <f t="shared" si="51"/>
        <v>0</v>
      </c>
      <c r="N891" s="756">
        <v>1100</v>
      </c>
      <c r="O891" s="720">
        <f t="shared" si="52"/>
        <v>0</v>
      </c>
    </row>
    <row r="892" spans="1:15" outlineLevel="2" x14ac:dyDescent="0.25">
      <c r="A892" s="207" t="str">
        <f>VLOOKUP(RIGHT(E892,3)+0,SchLocTable!$A$2:$B$47,2,FALSE)</f>
        <v>Hall</v>
      </c>
      <c r="B892" s="207" t="str">
        <f>VLOOKUP(VALUE(D892),$D$3:F$106,3,FALSE)</f>
        <v>Kindergarten Teachers</v>
      </c>
      <c r="C892" s="751" t="s">
        <v>246</v>
      </c>
      <c r="D892" s="751" t="s">
        <v>424</v>
      </c>
      <c r="E892" s="751" t="s">
        <v>432</v>
      </c>
      <c r="F892" s="751" t="s">
        <v>254</v>
      </c>
      <c r="G892" s="752" t="s">
        <v>1681</v>
      </c>
      <c r="H892" s="753">
        <v>52360</v>
      </c>
      <c r="I892" s="754">
        <v>2225.79</v>
      </c>
      <c r="J892" s="754">
        <v>0</v>
      </c>
      <c r="K892" s="754">
        <v>0</v>
      </c>
      <c r="L892" s="754">
        <v>387.85</v>
      </c>
      <c r="M892" s="754">
        <f t="shared" si="51"/>
        <v>387.85</v>
      </c>
      <c r="N892" s="756">
        <v>2225.79</v>
      </c>
      <c r="O892" s="720">
        <f t="shared" si="52"/>
        <v>0</v>
      </c>
    </row>
    <row r="893" spans="1:15" outlineLevel="2" x14ac:dyDescent="0.25">
      <c r="A893" s="207" t="str">
        <f>VLOOKUP(RIGHT(E893,3)+0,SchLocTable!$A$2:$B$47,2,FALSE)</f>
        <v>Hall</v>
      </c>
      <c r="B893" s="207" t="str">
        <f>VLOOKUP(VALUE(D893),$D$3:F$106,3,FALSE)</f>
        <v>Kindergarten Teachers</v>
      </c>
      <c r="C893" s="751" t="s">
        <v>246</v>
      </c>
      <c r="D893" s="751" t="s">
        <v>424</v>
      </c>
      <c r="E893" s="751" t="s">
        <v>432</v>
      </c>
      <c r="F893" s="751" t="s">
        <v>259</v>
      </c>
      <c r="G893" s="752" t="s">
        <v>1681</v>
      </c>
      <c r="H893" s="753">
        <v>52917</v>
      </c>
      <c r="I893" s="754">
        <v>46919.88</v>
      </c>
      <c r="J893" s="754">
        <v>0</v>
      </c>
      <c r="K893" s="754">
        <v>0</v>
      </c>
      <c r="L893" s="754">
        <v>11171.4</v>
      </c>
      <c r="M893" s="754">
        <f t="shared" si="51"/>
        <v>11171.4</v>
      </c>
      <c r="N893" s="756">
        <v>46919.88</v>
      </c>
      <c r="O893" s="720">
        <f t="shared" si="52"/>
        <v>0</v>
      </c>
    </row>
    <row r="894" spans="1:15" outlineLevel="2" x14ac:dyDescent="0.25">
      <c r="A894" s="207" t="str">
        <f>VLOOKUP(RIGHT(E894,3)+0,SchLocTable!$A$2:$B$47,2,FALSE)</f>
        <v>Hallen</v>
      </c>
      <c r="B894" s="207" t="str">
        <f>VLOOKUP(VALUE(D894),$D$3:F$106,3,FALSE)</f>
        <v>Kindergarten Teachers</v>
      </c>
      <c r="C894" s="751" t="s">
        <v>246</v>
      </c>
      <c r="D894" s="751" t="s">
        <v>424</v>
      </c>
      <c r="E894" s="751" t="s">
        <v>433</v>
      </c>
      <c r="F894" s="751" t="s">
        <v>248</v>
      </c>
      <c r="G894" s="752">
        <v>2</v>
      </c>
      <c r="H894" s="753">
        <v>51000</v>
      </c>
      <c r="I894" s="754">
        <v>188170.04</v>
      </c>
      <c r="J894" s="754">
        <v>0</v>
      </c>
      <c r="K894" s="754">
        <v>0</v>
      </c>
      <c r="L894" s="754">
        <v>36047.9</v>
      </c>
      <c r="M894" s="754">
        <f t="shared" si="51"/>
        <v>36047.9</v>
      </c>
      <c r="N894" s="756">
        <v>188170.04</v>
      </c>
      <c r="O894" s="720">
        <f t="shared" si="52"/>
        <v>0</v>
      </c>
    </row>
    <row r="895" spans="1:15" outlineLevel="2" x14ac:dyDescent="0.25">
      <c r="A895" s="207" t="str">
        <f>VLOOKUP(RIGHT(E895,3)+0,SchLocTable!$A$2:$B$47,2,FALSE)</f>
        <v>Hallen</v>
      </c>
      <c r="B895" s="207" t="str">
        <f>VLOOKUP(VALUE(D895),$D$3:F$106,3,FALSE)</f>
        <v>Kindergarten Teachers</v>
      </c>
      <c r="C895" s="751" t="s">
        <v>246</v>
      </c>
      <c r="D895" s="751" t="s">
        <v>424</v>
      </c>
      <c r="E895" s="751" t="s">
        <v>433</v>
      </c>
      <c r="F895" s="751" t="s">
        <v>257</v>
      </c>
      <c r="G895" s="752" t="s">
        <v>1681</v>
      </c>
      <c r="H895" s="753">
        <v>51140</v>
      </c>
      <c r="I895" s="754">
        <v>1800</v>
      </c>
      <c r="J895" s="754">
        <v>0</v>
      </c>
      <c r="K895" s="754">
        <v>0</v>
      </c>
      <c r="L895" s="754">
        <v>0</v>
      </c>
      <c r="M895" s="754">
        <f t="shared" ref="M895:M958" si="53">SUM(J895:L895)</f>
        <v>0</v>
      </c>
      <c r="N895" s="756">
        <v>1800</v>
      </c>
      <c r="O895" s="720">
        <f t="shared" ref="O895:O958" si="54">I895-N895</f>
        <v>0</v>
      </c>
    </row>
    <row r="896" spans="1:15" outlineLevel="2" x14ac:dyDescent="0.25">
      <c r="A896" s="207" t="str">
        <f>VLOOKUP(RIGHT(E896,3)+0,SchLocTable!$A$2:$B$47,2,FALSE)</f>
        <v>Hallen</v>
      </c>
      <c r="B896" s="207" t="str">
        <f>VLOOKUP(VALUE(D896),$D$3:F$106,3,FALSE)</f>
        <v>Kindergarten Teachers</v>
      </c>
      <c r="C896" s="751" t="s">
        <v>246</v>
      </c>
      <c r="D896" s="751" t="s">
        <v>424</v>
      </c>
      <c r="E896" s="751" t="s">
        <v>433</v>
      </c>
      <c r="F896" s="751" t="s">
        <v>254</v>
      </c>
      <c r="G896" s="752" t="s">
        <v>1681</v>
      </c>
      <c r="H896" s="753">
        <v>52360</v>
      </c>
      <c r="I896" s="754">
        <v>2699.45</v>
      </c>
      <c r="J896" s="754">
        <v>0</v>
      </c>
      <c r="K896" s="754">
        <v>0</v>
      </c>
      <c r="L896" s="754">
        <v>493.68</v>
      </c>
      <c r="M896" s="754">
        <f t="shared" si="53"/>
        <v>493.68</v>
      </c>
      <c r="N896" s="756">
        <v>2699.45</v>
      </c>
      <c r="O896" s="720">
        <f t="shared" si="54"/>
        <v>0</v>
      </c>
    </row>
    <row r="897" spans="1:15" outlineLevel="2" x14ac:dyDescent="0.25">
      <c r="A897" s="207" t="str">
        <f>VLOOKUP(RIGHT(E897,3)+0,SchLocTable!$A$2:$B$47,2,FALSE)</f>
        <v>Hallen</v>
      </c>
      <c r="B897" s="207" t="str">
        <f>VLOOKUP(VALUE(D897),$D$3:F$106,3,FALSE)</f>
        <v>Kindergarten Teachers</v>
      </c>
      <c r="C897" s="751" t="s">
        <v>246</v>
      </c>
      <c r="D897" s="751" t="s">
        <v>424</v>
      </c>
      <c r="E897" s="751" t="s">
        <v>433</v>
      </c>
      <c r="F897" s="751" t="s">
        <v>259</v>
      </c>
      <c r="G897" s="752" t="s">
        <v>1681</v>
      </c>
      <c r="H897" s="753">
        <v>52917</v>
      </c>
      <c r="I897" s="754">
        <v>28478.1</v>
      </c>
      <c r="J897" s="754">
        <v>0</v>
      </c>
      <c r="K897" s="754">
        <v>0</v>
      </c>
      <c r="L897" s="754">
        <v>6780.5</v>
      </c>
      <c r="M897" s="754">
        <f t="shared" si="53"/>
        <v>6780.5</v>
      </c>
      <c r="N897" s="756">
        <v>28478.1</v>
      </c>
      <c r="O897" s="720">
        <f t="shared" si="54"/>
        <v>0</v>
      </c>
    </row>
    <row r="898" spans="1:15" outlineLevel="2" x14ac:dyDescent="0.25">
      <c r="A898" s="207" t="str">
        <f>VLOOKUP(RIGHT(E898,3)+0,SchLocTable!$A$2:$B$47,2,FALSE)</f>
        <v>Hooker</v>
      </c>
      <c r="B898" s="207" t="str">
        <f>VLOOKUP(VALUE(D898),$D$3:F$106,3,FALSE)</f>
        <v>Kindergarten Teachers</v>
      </c>
      <c r="C898" s="751" t="s">
        <v>246</v>
      </c>
      <c r="D898" s="751" t="s">
        <v>424</v>
      </c>
      <c r="E898" s="751" t="s">
        <v>434</v>
      </c>
      <c r="F898" s="751" t="s">
        <v>248</v>
      </c>
      <c r="G898" s="752">
        <v>2</v>
      </c>
      <c r="H898" s="753">
        <v>51000</v>
      </c>
      <c r="I898" s="754">
        <v>150819.89000000001</v>
      </c>
      <c r="J898" s="754">
        <v>0</v>
      </c>
      <c r="K898" s="754">
        <v>0</v>
      </c>
      <c r="L898" s="754">
        <v>28892.7</v>
      </c>
      <c r="M898" s="754">
        <f t="shared" si="53"/>
        <v>28892.7</v>
      </c>
      <c r="N898" s="756">
        <v>150819.89000000001</v>
      </c>
      <c r="O898" s="720">
        <f t="shared" si="54"/>
        <v>0</v>
      </c>
    </row>
    <row r="899" spans="1:15" outlineLevel="2" x14ac:dyDescent="0.25">
      <c r="A899" s="207" t="str">
        <f>VLOOKUP(RIGHT(E899,3)+0,SchLocTable!$A$2:$B$47,2,FALSE)</f>
        <v>Hooker</v>
      </c>
      <c r="B899" s="207" t="str">
        <f>VLOOKUP(VALUE(D899),$D$3:F$106,3,FALSE)</f>
        <v>Kindergarten Teachers</v>
      </c>
      <c r="C899" s="751" t="s">
        <v>246</v>
      </c>
      <c r="D899" s="751" t="s">
        <v>424</v>
      </c>
      <c r="E899" s="751" t="s">
        <v>434</v>
      </c>
      <c r="F899" s="751" t="s">
        <v>257</v>
      </c>
      <c r="G899" s="752" t="s">
        <v>1681</v>
      </c>
      <c r="H899" s="753">
        <v>51140</v>
      </c>
      <c r="I899" s="754">
        <v>900</v>
      </c>
      <c r="J899" s="754">
        <v>0</v>
      </c>
      <c r="K899" s="754">
        <v>0</v>
      </c>
      <c r="L899" s="754">
        <v>0</v>
      </c>
      <c r="M899" s="754">
        <f t="shared" si="53"/>
        <v>0</v>
      </c>
      <c r="N899" s="756">
        <v>900</v>
      </c>
      <c r="O899" s="720">
        <f t="shared" si="54"/>
        <v>0</v>
      </c>
    </row>
    <row r="900" spans="1:15" outlineLevel="2" x14ac:dyDescent="0.25">
      <c r="A900" s="207" t="str">
        <f>VLOOKUP(RIGHT(E900,3)+0,SchLocTable!$A$2:$B$47,2,FALSE)</f>
        <v>Hooker</v>
      </c>
      <c r="B900" s="207" t="str">
        <f>VLOOKUP(VALUE(D900),$D$3:F$106,3,FALSE)</f>
        <v>Kindergarten Teachers</v>
      </c>
      <c r="C900" s="751" t="s">
        <v>246</v>
      </c>
      <c r="D900" s="751" t="s">
        <v>424</v>
      </c>
      <c r="E900" s="751" t="s">
        <v>434</v>
      </c>
      <c r="F900" s="751" t="s">
        <v>254</v>
      </c>
      <c r="G900" s="752" t="s">
        <v>1681</v>
      </c>
      <c r="H900" s="753">
        <v>52360</v>
      </c>
      <c r="I900" s="754">
        <v>2139.1999999999998</v>
      </c>
      <c r="J900" s="754">
        <v>0</v>
      </c>
      <c r="K900" s="754">
        <v>0</v>
      </c>
      <c r="L900" s="754">
        <v>371.26</v>
      </c>
      <c r="M900" s="754">
        <f t="shared" si="53"/>
        <v>371.26</v>
      </c>
      <c r="N900" s="756">
        <v>2139.1999999999998</v>
      </c>
      <c r="O900" s="720">
        <f t="shared" si="54"/>
        <v>0</v>
      </c>
    </row>
    <row r="901" spans="1:15" outlineLevel="2" x14ac:dyDescent="0.25">
      <c r="A901" s="207" t="str">
        <f>VLOOKUP(RIGHT(E901,3)+0,SchLocTable!$A$2:$B$47,2,FALSE)</f>
        <v>Hooker</v>
      </c>
      <c r="B901" s="207" t="str">
        <f>VLOOKUP(VALUE(D901),$D$3:F$106,3,FALSE)</f>
        <v>Kindergarten Teachers</v>
      </c>
      <c r="C901" s="751" t="s">
        <v>246</v>
      </c>
      <c r="D901" s="751" t="s">
        <v>424</v>
      </c>
      <c r="E901" s="751" t="s">
        <v>434</v>
      </c>
      <c r="F901" s="751" t="s">
        <v>259</v>
      </c>
      <c r="G901" s="752" t="s">
        <v>1681</v>
      </c>
      <c r="H901" s="753">
        <v>52917</v>
      </c>
      <c r="I901" s="754">
        <v>46919.88</v>
      </c>
      <c r="J901" s="754">
        <v>0</v>
      </c>
      <c r="K901" s="754">
        <v>0</v>
      </c>
      <c r="L901" s="754">
        <v>11171.4</v>
      </c>
      <c r="M901" s="754">
        <f t="shared" si="53"/>
        <v>11171.4</v>
      </c>
      <c r="N901" s="756">
        <v>46919.88</v>
      </c>
      <c r="O901" s="720">
        <f t="shared" si="54"/>
        <v>0</v>
      </c>
    </row>
    <row r="902" spans="1:15" outlineLevel="2" x14ac:dyDescent="0.25">
      <c r="A902" s="207" t="str">
        <f>VLOOKUP(RIGHT(E902,3)+0,SchLocTable!$A$2:$B$47,2,FALSE)</f>
        <v>Batalla</v>
      </c>
      <c r="B902" s="207" t="str">
        <f>VLOOKUP(VALUE(D902),$D$3:F$106,3,FALSE)</f>
        <v>Kindergarten Teachers</v>
      </c>
      <c r="C902" s="751" t="s">
        <v>246</v>
      </c>
      <c r="D902" s="751" t="s">
        <v>424</v>
      </c>
      <c r="E902" s="751" t="s">
        <v>435</v>
      </c>
      <c r="F902" s="751" t="s">
        <v>248</v>
      </c>
      <c r="G902" s="752">
        <v>2</v>
      </c>
      <c r="H902" s="753">
        <v>51000</v>
      </c>
      <c r="I902" s="754">
        <v>149990.70000000001</v>
      </c>
      <c r="J902" s="754">
        <v>0</v>
      </c>
      <c r="K902" s="754">
        <v>0</v>
      </c>
      <c r="L902" s="754">
        <v>28136.15</v>
      </c>
      <c r="M902" s="754">
        <f t="shared" si="53"/>
        <v>28136.15</v>
      </c>
      <c r="N902" s="756">
        <v>149990.70000000001</v>
      </c>
      <c r="O902" s="720">
        <f t="shared" si="54"/>
        <v>0</v>
      </c>
    </row>
    <row r="903" spans="1:15" outlineLevel="2" x14ac:dyDescent="0.25">
      <c r="A903" s="207" t="str">
        <f>VLOOKUP(RIGHT(E903,3)+0,SchLocTable!$A$2:$B$47,2,FALSE)</f>
        <v>Batalla</v>
      </c>
      <c r="B903" s="207" t="str">
        <f>VLOOKUP(VALUE(D903),$D$3:F$106,3,FALSE)</f>
        <v>Kindergarten Teachers</v>
      </c>
      <c r="C903" s="751" t="s">
        <v>246</v>
      </c>
      <c r="D903" s="751" t="s">
        <v>424</v>
      </c>
      <c r="E903" s="751" t="s">
        <v>435</v>
      </c>
      <c r="F903" s="751" t="s">
        <v>257</v>
      </c>
      <c r="G903" s="752" t="s">
        <v>1681</v>
      </c>
      <c r="H903" s="753">
        <v>51140</v>
      </c>
      <c r="I903" s="754">
        <v>1200</v>
      </c>
      <c r="J903" s="754">
        <v>0</v>
      </c>
      <c r="K903" s="754">
        <v>0</v>
      </c>
      <c r="L903" s="754">
        <v>0</v>
      </c>
      <c r="M903" s="754">
        <f t="shared" si="53"/>
        <v>0</v>
      </c>
      <c r="N903" s="756">
        <v>1200</v>
      </c>
      <c r="O903" s="720">
        <f t="shared" si="54"/>
        <v>0</v>
      </c>
    </row>
    <row r="904" spans="1:15" outlineLevel="2" x14ac:dyDescent="0.25">
      <c r="A904" s="207" t="str">
        <f>VLOOKUP(RIGHT(E904,3)+0,SchLocTable!$A$2:$B$47,2,FALSE)</f>
        <v>Batalla</v>
      </c>
      <c r="B904" s="207" t="str">
        <f>VLOOKUP(VALUE(D904),$D$3:F$106,3,FALSE)</f>
        <v>Kindergarten Teachers</v>
      </c>
      <c r="C904" s="751" t="s">
        <v>246</v>
      </c>
      <c r="D904" s="751" t="s">
        <v>424</v>
      </c>
      <c r="E904" s="751" t="s">
        <v>435</v>
      </c>
      <c r="F904" s="751" t="s">
        <v>254</v>
      </c>
      <c r="G904" s="752" t="s">
        <v>1681</v>
      </c>
      <c r="H904" s="753">
        <v>52360</v>
      </c>
      <c r="I904" s="754">
        <v>2142.94</v>
      </c>
      <c r="J904" s="754">
        <v>0</v>
      </c>
      <c r="K904" s="754">
        <v>0</v>
      </c>
      <c r="L904" s="754">
        <v>376.05</v>
      </c>
      <c r="M904" s="754">
        <f t="shared" si="53"/>
        <v>376.05</v>
      </c>
      <c r="N904" s="756">
        <v>2142.94</v>
      </c>
      <c r="O904" s="720">
        <f t="shared" si="54"/>
        <v>0</v>
      </c>
    </row>
    <row r="905" spans="1:15" outlineLevel="2" x14ac:dyDescent="0.25">
      <c r="A905" s="207" t="str">
        <f>VLOOKUP(RIGHT(E905,3)+0,SchLocTable!$A$2:$B$47,2,FALSE)</f>
        <v>Batalla</v>
      </c>
      <c r="B905" s="207" t="str">
        <f>VLOOKUP(VALUE(D905),$D$3:F$106,3,FALSE)</f>
        <v>Kindergarten Teachers</v>
      </c>
      <c r="C905" s="751" t="s">
        <v>246</v>
      </c>
      <c r="D905" s="751" t="s">
        <v>424</v>
      </c>
      <c r="E905" s="751" t="s">
        <v>435</v>
      </c>
      <c r="F905" s="751" t="s">
        <v>292</v>
      </c>
      <c r="G905" s="752" t="s">
        <v>1681</v>
      </c>
      <c r="H905" s="753">
        <v>52385</v>
      </c>
      <c r="I905" s="754">
        <v>2903.92</v>
      </c>
      <c r="J905" s="754">
        <v>0</v>
      </c>
      <c r="K905" s="754">
        <v>0</v>
      </c>
      <c r="L905" s="754">
        <v>519.25</v>
      </c>
      <c r="M905" s="754">
        <f t="shared" si="53"/>
        <v>519.25</v>
      </c>
      <c r="N905" s="756">
        <v>2903.92</v>
      </c>
      <c r="O905" s="720">
        <f t="shared" si="54"/>
        <v>0</v>
      </c>
    </row>
    <row r="906" spans="1:15" outlineLevel="2" x14ac:dyDescent="0.25">
      <c r="A906" s="207" t="str">
        <f>VLOOKUP(RIGHT(E906,3)+0,SchLocTable!$A$2:$B$47,2,FALSE)</f>
        <v>Batalla</v>
      </c>
      <c r="B906" s="207" t="str">
        <f>VLOOKUP(VALUE(D906),$D$3:F$106,3,FALSE)</f>
        <v>Kindergarten Teachers</v>
      </c>
      <c r="C906" s="751" t="s">
        <v>246</v>
      </c>
      <c r="D906" s="751" t="s">
        <v>424</v>
      </c>
      <c r="E906" s="751" t="s">
        <v>435</v>
      </c>
      <c r="F906" s="751" t="s">
        <v>259</v>
      </c>
      <c r="G906" s="752" t="s">
        <v>1681</v>
      </c>
      <c r="H906" s="753">
        <v>52917</v>
      </c>
      <c r="I906" s="754">
        <v>28478.1</v>
      </c>
      <c r="J906" s="754">
        <v>0</v>
      </c>
      <c r="K906" s="754">
        <v>0</v>
      </c>
      <c r="L906" s="754">
        <v>6780.5</v>
      </c>
      <c r="M906" s="754">
        <f t="shared" si="53"/>
        <v>6780.5</v>
      </c>
      <c r="N906" s="756">
        <v>28478.1</v>
      </c>
      <c r="O906" s="720">
        <f t="shared" si="54"/>
        <v>0</v>
      </c>
    </row>
    <row r="907" spans="1:15" outlineLevel="2" x14ac:dyDescent="0.25">
      <c r="A907" s="207" t="str">
        <f>VLOOKUP(RIGHT(E907,3)+0,SchLocTable!$A$2:$B$47,2,FALSE)</f>
        <v>Park City Magnet</v>
      </c>
      <c r="B907" s="207" t="str">
        <f>VLOOKUP(VALUE(D907),$D$3:F$106,3,FALSE)</f>
        <v>Kindergarten Teachers</v>
      </c>
      <c r="C907" s="751" t="s">
        <v>246</v>
      </c>
      <c r="D907" s="751" t="s">
        <v>424</v>
      </c>
      <c r="E907" s="751" t="s">
        <v>436</v>
      </c>
      <c r="F907" s="751" t="s">
        <v>248</v>
      </c>
      <c r="G907" s="752">
        <v>2</v>
      </c>
      <c r="H907" s="753">
        <v>51000</v>
      </c>
      <c r="I907" s="754">
        <v>183438.72</v>
      </c>
      <c r="J907" s="754">
        <v>0</v>
      </c>
      <c r="K907" s="754">
        <v>0</v>
      </c>
      <c r="L907" s="754">
        <v>39318.75</v>
      </c>
      <c r="M907" s="754">
        <f t="shared" si="53"/>
        <v>39318.75</v>
      </c>
      <c r="N907" s="756">
        <v>183438.72</v>
      </c>
      <c r="O907" s="720">
        <f t="shared" si="54"/>
        <v>0</v>
      </c>
    </row>
    <row r="908" spans="1:15" outlineLevel="2" x14ac:dyDescent="0.25">
      <c r="A908" s="207" t="str">
        <f>VLOOKUP(RIGHT(E908,3)+0,SchLocTable!$A$2:$B$47,2,FALSE)</f>
        <v>Park City Magnet</v>
      </c>
      <c r="B908" s="207" t="str">
        <f>VLOOKUP(VALUE(D908),$D$3:F$106,3,FALSE)</f>
        <v>Kindergarten Teachers</v>
      </c>
      <c r="C908" s="751" t="s">
        <v>246</v>
      </c>
      <c r="D908" s="751" t="s">
        <v>424</v>
      </c>
      <c r="E908" s="751" t="s">
        <v>436</v>
      </c>
      <c r="F908" s="751" t="s">
        <v>257</v>
      </c>
      <c r="G908" s="752" t="s">
        <v>1681</v>
      </c>
      <c r="H908" s="753">
        <v>51140</v>
      </c>
      <c r="I908" s="754">
        <v>2200</v>
      </c>
      <c r="J908" s="754">
        <v>0</v>
      </c>
      <c r="K908" s="754">
        <v>0</v>
      </c>
      <c r="L908" s="754">
        <v>0</v>
      </c>
      <c r="M908" s="754">
        <f t="shared" si="53"/>
        <v>0</v>
      </c>
      <c r="N908" s="756">
        <v>2200</v>
      </c>
      <c r="O908" s="720">
        <f t="shared" si="54"/>
        <v>0</v>
      </c>
    </row>
    <row r="909" spans="1:15" outlineLevel="2" x14ac:dyDescent="0.25">
      <c r="A909" s="207" t="str">
        <f>VLOOKUP(RIGHT(E909,3)+0,SchLocTable!$A$2:$B$47,2,FALSE)</f>
        <v>Park City Magnet</v>
      </c>
      <c r="B909" s="207" t="str">
        <f>VLOOKUP(VALUE(D909),$D$3:F$106,3,FALSE)</f>
        <v>Kindergarten Teachers</v>
      </c>
      <c r="C909" s="755" t="s">
        <v>246</v>
      </c>
      <c r="D909" s="751" t="s">
        <v>424</v>
      </c>
      <c r="E909" s="751" t="s">
        <v>436</v>
      </c>
      <c r="F909" s="751" t="s">
        <v>254</v>
      </c>
      <c r="G909" s="752" t="s">
        <v>1681</v>
      </c>
      <c r="H909" s="753">
        <v>52360</v>
      </c>
      <c r="I909" s="754">
        <v>2644.92</v>
      </c>
      <c r="J909" s="754">
        <v>0</v>
      </c>
      <c r="K909" s="754">
        <v>0</v>
      </c>
      <c r="L909" s="754">
        <v>555.17999999999995</v>
      </c>
      <c r="M909" s="754">
        <f t="shared" si="53"/>
        <v>555.17999999999995</v>
      </c>
      <c r="N909" s="756">
        <v>2644.92</v>
      </c>
      <c r="O909" s="720">
        <f t="shared" si="54"/>
        <v>0</v>
      </c>
    </row>
    <row r="910" spans="1:15" outlineLevel="2" x14ac:dyDescent="0.25">
      <c r="A910" s="207" t="str">
        <f>VLOOKUP(RIGHT(E910,3)+0,SchLocTable!$A$2:$B$47,2,FALSE)</f>
        <v>Park City Magnet</v>
      </c>
      <c r="B910" s="207" t="str">
        <f>VLOOKUP(VALUE(D910),$D$3:F$106,3,FALSE)</f>
        <v>Kindergarten Teachers</v>
      </c>
      <c r="C910" s="755" t="s">
        <v>246</v>
      </c>
      <c r="D910" s="751" t="s">
        <v>424</v>
      </c>
      <c r="E910" s="751" t="s">
        <v>436</v>
      </c>
      <c r="F910" s="751" t="s">
        <v>259</v>
      </c>
      <c r="G910" s="752" t="s">
        <v>1681</v>
      </c>
      <c r="H910" s="753">
        <v>52917</v>
      </c>
      <c r="I910" s="754">
        <v>11844</v>
      </c>
      <c r="J910" s="754">
        <v>0</v>
      </c>
      <c r="K910" s="754">
        <v>0</v>
      </c>
      <c r="L910" s="754">
        <v>2820</v>
      </c>
      <c r="M910" s="754">
        <f t="shared" si="53"/>
        <v>2820</v>
      </c>
      <c r="N910" s="756">
        <v>11844</v>
      </c>
      <c r="O910" s="720">
        <f t="shared" si="54"/>
        <v>0</v>
      </c>
    </row>
    <row r="911" spans="1:15" outlineLevel="2" x14ac:dyDescent="0.25">
      <c r="A911" s="207" t="str">
        <f>VLOOKUP(RIGHT(E911,3)+0,SchLocTable!$A$2:$B$47,2,FALSE)</f>
        <v>Madison</v>
      </c>
      <c r="B911" s="207" t="str">
        <f>VLOOKUP(VALUE(D911),$D$3:F$106,3,FALSE)</f>
        <v>Kindergarten Teachers</v>
      </c>
      <c r="C911" s="751" t="s">
        <v>246</v>
      </c>
      <c r="D911" s="751" t="s">
        <v>424</v>
      </c>
      <c r="E911" s="751" t="s">
        <v>437</v>
      </c>
      <c r="F911" s="751" t="s">
        <v>248</v>
      </c>
      <c r="G911" s="752">
        <v>2</v>
      </c>
      <c r="H911" s="753">
        <v>51000</v>
      </c>
      <c r="I911" s="754">
        <v>187305.61</v>
      </c>
      <c r="J911" s="754">
        <v>0</v>
      </c>
      <c r="K911" s="754">
        <v>0</v>
      </c>
      <c r="L911" s="754">
        <v>35882.300000000003</v>
      </c>
      <c r="M911" s="754">
        <f t="shared" si="53"/>
        <v>35882.300000000003</v>
      </c>
      <c r="N911" s="756">
        <v>187305.61</v>
      </c>
      <c r="O911" s="720">
        <f t="shared" si="54"/>
        <v>0</v>
      </c>
    </row>
    <row r="912" spans="1:15" outlineLevel="2" x14ac:dyDescent="0.25">
      <c r="A912" s="207" t="str">
        <f>VLOOKUP(RIGHT(E912,3)+0,SchLocTable!$A$2:$B$47,2,FALSE)</f>
        <v>Madison</v>
      </c>
      <c r="B912" s="207" t="str">
        <f>VLOOKUP(VALUE(D912),$D$3:F$106,3,FALSE)</f>
        <v>Kindergarten Teachers</v>
      </c>
      <c r="C912" s="751" t="s">
        <v>246</v>
      </c>
      <c r="D912" s="751" t="s">
        <v>424</v>
      </c>
      <c r="E912" s="751" t="s">
        <v>437</v>
      </c>
      <c r="F912" s="751" t="s">
        <v>257</v>
      </c>
      <c r="G912" s="752" t="s">
        <v>1681</v>
      </c>
      <c r="H912" s="753">
        <v>51140</v>
      </c>
      <c r="I912" s="754">
        <v>2200</v>
      </c>
      <c r="J912" s="754">
        <v>0</v>
      </c>
      <c r="K912" s="754">
        <v>0</v>
      </c>
      <c r="L912" s="754">
        <v>0</v>
      </c>
      <c r="M912" s="754">
        <f t="shared" si="53"/>
        <v>0</v>
      </c>
      <c r="N912" s="756">
        <v>2200</v>
      </c>
      <c r="O912" s="720">
        <f t="shared" si="54"/>
        <v>0</v>
      </c>
    </row>
    <row r="913" spans="1:15" outlineLevel="2" x14ac:dyDescent="0.25">
      <c r="A913" s="207" t="str">
        <f>VLOOKUP(RIGHT(E913,3)+0,SchLocTable!$A$2:$B$47,2,FALSE)</f>
        <v>Madison</v>
      </c>
      <c r="B913" s="207" t="str">
        <f>VLOOKUP(VALUE(D913),$D$3:F$106,3,FALSE)</f>
        <v>Kindergarten Teachers</v>
      </c>
      <c r="C913" s="751" t="s">
        <v>246</v>
      </c>
      <c r="D913" s="751" t="s">
        <v>424</v>
      </c>
      <c r="E913" s="751" t="s">
        <v>437</v>
      </c>
      <c r="F913" s="751" t="s">
        <v>254</v>
      </c>
      <c r="G913" s="752" t="s">
        <v>1681</v>
      </c>
      <c r="H913" s="753">
        <v>52360</v>
      </c>
      <c r="I913" s="754">
        <v>2652.1</v>
      </c>
      <c r="J913" s="754">
        <v>0</v>
      </c>
      <c r="K913" s="754">
        <v>0</v>
      </c>
      <c r="L913" s="754">
        <v>456.46</v>
      </c>
      <c r="M913" s="754">
        <f t="shared" si="53"/>
        <v>456.46</v>
      </c>
      <c r="N913" s="756">
        <v>2652.1</v>
      </c>
      <c r="O913" s="720">
        <f t="shared" si="54"/>
        <v>0</v>
      </c>
    </row>
    <row r="914" spans="1:15" outlineLevel="2" x14ac:dyDescent="0.25">
      <c r="A914" s="207" t="str">
        <f>VLOOKUP(RIGHT(E914,3)+0,SchLocTable!$A$2:$B$47,2,FALSE)</f>
        <v>Madison</v>
      </c>
      <c r="B914" s="207" t="str">
        <f>VLOOKUP(VALUE(D914),$D$3:F$106,3,FALSE)</f>
        <v>Kindergarten Teachers</v>
      </c>
      <c r="C914" s="751" t="s">
        <v>246</v>
      </c>
      <c r="D914" s="751" t="s">
        <v>424</v>
      </c>
      <c r="E914" s="751" t="s">
        <v>437</v>
      </c>
      <c r="F914" s="751" t="s">
        <v>259</v>
      </c>
      <c r="G914" s="752" t="s">
        <v>1681</v>
      </c>
      <c r="H914" s="753">
        <v>52917</v>
      </c>
      <c r="I914" s="754">
        <v>56956.2</v>
      </c>
      <c r="J914" s="754">
        <v>0</v>
      </c>
      <c r="K914" s="754">
        <v>0</v>
      </c>
      <c r="L914" s="754">
        <v>13561</v>
      </c>
      <c r="M914" s="754">
        <f t="shared" si="53"/>
        <v>13561</v>
      </c>
      <c r="N914" s="756">
        <v>56956.2</v>
      </c>
      <c r="O914" s="720">
        <f t="shared" si="54"/>
        <v>0</v>
      </c>
    </row>
    <row r="915" spans="1:15" outlineLevel="2" x14ac:dyDescent="0.25">
      <c r="A915" s="207" t="str">
        <f>VLOOKUP(RIGHT(E915,3)+0,SchLocTable!$A$2:$B$47,2,FALSE)</f>
        <v>Classical Studies Academy</v>
      </c>
      <c r="B915" s="207" t="str">
        <f>VLOOKUP(VALUE(D915),$D$3:F$106,3,FALSE)</f>
        <v>Kindergarten Teachers</v>
      </c>
      <c r="C915" s="751" t="s">
        <v>246</v>
      </c>
      <c r="D915" s="751" t="s">
        <v>424</v>
      </c>
      <c r="E915" s="751" t="s">
        <v>438</v>
      </c>
      <c r="F915" s="751" t="s">
        <v>248</v>
      </c>
      <c r="G915" s="752">
        <v>2</v>
      </c>
      <c r="H915" s="753">
        <v>51000</v>
      </c>
      <c r="I915" s="754">
        <v>130663.07</v>
      </c>
      <c r="J915" s="754">
        <v>0</v>
      </c>
      <c r="K915" s="754">
        <v>0</v>
      </c>
      <c r="L915" s="754">
        <v>27476.65</v>
      </c>
      <c r="M915" s="754">
        <f t="shared" si="53"/>
        <v>27476.65</v>
      </c>
      <c r="N915" s="756">
        <v>130663.07</v>
      </c>
      <c r="O915" s="720">
        <f t="shared" si="54"/>
        <v>0</v>
      </c>
    </row>
    <row r="916" spans="1:15" outlineLevel="2" x14ac:dyDescent="0.25">
      <c r="A916" s="207" t="str">
        <f>VLOOKUP(RIGHT(E916,3)+0,SchLocTable!$A$2:$B$47,2,FALSE)</f>
        <v>Classical Studies Academy</v>
      </c>
      <c r="B916" s="207" t="str">
        <f>VLOOKUP(VALUE(D916),$D$3:F$106,3,FALSE)</f>
        <v>Kindergarten Teachers</v>
      </c>
      <c r="C916" s="751" t="s">
        <v>246</v>
      </c>
      <c r="D916" s="751" t="s">
        <v>424</v>
      </c>
      <c r="E916" s="751" t="s">
        <v>438</v>
      </c>
      <c r="F916" s="751" t="s">
        <v>254</v>
      </c>
      <c r="G916" s="752" t="s">
        <v>1681</v>
      </c>
      <c r="H916" s="753">
        <v>52360</v>
      </c>
      <c r="I916" s="754">
        <v>1853.55</v>
      </c>
      <c r="J916" s="754">
        <v>0</v>
      </c>
      <c r="K916" s="754">
        <v>0</v>
      </c>
      <c r="L916" s="754">
        <v>357.35</v>
      </c>
      <c r="M916" s="754">
        <f t="shared" si="53"/>
        <v>357.35</v>
      </c>
      <c r="N916" s="756">
        <v>1853.55</v>
      </c>
      <c r="O916" s="720">
        <f t="shared" si="54"/>
        <v>0</v>
      </c>
    </row>
    <row r="917" spans="1:15" outlineLevel="2" x14ac:dyDescent="0.25">
      <c r="A917" s="207" t="str">
        <f>VLOOKUP(RIGHT(E917,3)+0,SchLocTable!$A$2:$B$47,2,FALSE)</f>
        <v>Classical Studies Academy</v>
      </c>
      <c r="B917" s="207" t="str">
        <f>VLOOKUP(VALUE(D917),$D$3:F$106,3,FALSE)</f>
        <v>Kindergarten Teachers</v>
      </c>
      <c r="C917" s="751" t="s">
        <v>246</v>
      </c>
      <c r="D917" s="751" t="s">
        <v>424</v>
      </c>
      <c r="E917" s="751" t="s">
        <v>438</v>
      </c>
      <c r="F917" s="751" t="s">
        <v>259</v>
      </c>
      <c r="G917" s="752" t="s">
        <v>1681</v>
      </c>
      <c r="H917" s="753">
        <v>52917</v>
      </c>
      <c r="I917" s="754">
        <v>40322.1</v>
      </c>
      <c r="J917" s="754">
        <v>0</v>
      </c>
      <c r="K917" s="754">
        <v>0</v>
      </c>
      <c r="L917" s="754">
        <v>9600.5</v>
      </c>
      <c r="M917" s="754">
        <f t="shared" si="53"/>
        <v>9600.5</v>
      </c>
      <c r="N917" s="756">
        <v>40322.1</v>
      </c>
      <c r="O917" s="720">
        <f t="shared" si="54"/>
        <v>0</v>
      </c>
    </row>
    <row r="918" spans="1:15" outlineLevel="2" x14ac:dyDescent="0.25">
      <c r="A918" s="207" t="str">
        <f>VLOOKUP(RIGHT(E918,3)+0,SchLocTable!$A$2:$B$47,2,FALSE)</f>
        <v>Tisdale</v>
      </c>
      <c r="B918" s="207" t="str">
        <f>VLOOKUP(VALUE(D918),$D$3:F$106,3,FALSE)</f>
        <v>Kindergarten Teachers</v>
      </c>
      <c r="C918" s="751" t="s">
        <v>246</v>
      </c>
      <c r="D918" s="751" t="s">
        <v>424</v>
      </c>
      <c r="E918" s="751" t="s">
        <v>439</v>
      </c>
      <c r="F918" s="751" t="s">
        <v>248</v>
      </c>
      <c r="G918" s="752">
        <v>2</v>
      </c>
      <c r="H918" s="753">
        <v>51000</v>
      </c>
      <c r="I918" s="754">
        <v>184829.24</v>
      </c>
      <c r="J918" s="754">
        <v>0</v>
      </c>
      <c r="K918" s="754">
        <v>0</v>
      </c>
      <c r="L918" s="754">
        <v>35407.9</v>
      </c>
      <c r="M918" s="754">
        <f t="shared" si="53"/>
        <v>35407.9</v>
      </c>
      <c r="N918" s="756">
        <v>184829.24</v>
      </c>
      <c r="O918" s="720">
        <f t="shared" si="54"/>
        <v>0</v>
      </c>
    </row>
    <row r="919" spans="1:15" outlineLevel="2" x14ac:dyDescent="0.25">
      <c r="A919" s="207" t="str">
        <f>VLOOKUP(RIGHT(E919,3)+0,SchLocTable!$A$2:$B$47,2,FALSE)</f>
        <v>Tisdale</v>
      </c>
      <c r="B919" s="207" t="str">
        <f>VLOOKUP(VALUE(D919),$D$3:F$106,3,FALSE)</f>
        <v>Kindergarten Teachers</v>
      </c>
      <c r="C919" s="751" t="s">
        <v>246</v>
      </c>
      <c r="D919" s="751" t="s">
        <v>424</v>
      </c>
      <c r="E919" s="751" t="s">
        <v>439</v>
      </c>
      <c r="F919" s="751" t="s">
        <v>257</v>
      </c>
      <c r="G919" s="752" t="s">
        <v>1681</v>
      </c>
      <c r="H919" s="753">
        <v>51140</v>
      </c>
      <c r="I919" s="754">
        <v>2200</v>
      </c>
      <c r="J919" s="754">
        <v>0</v>
      </c>
      <c r="K919" s="754">
        <v>0</v>
      </c>
      <c r="L919" s="754">
        <v>0</v>
      </c>
      <c r="M919" s="754">
        <f t="shared" si="53"/>
        <v>0</v>
      </c>
      <c r="N919" s="756">
        <v>2200</v>
      </c>
      <c r="O919" s="720">
        <f t="shared" si="54"/>
        <v>0</v>
      </c>
    </row>
    <row r="920" spans="1:15" outlineLevel="2" x14ac:dyDescent="0.25">
      <c r="A920" s="207" t="str">
        <f>VLOOKUP(RIGHT(E920,3)+0,SchLocTable!$A$2:$B$47,2,FALSE)</f>
        <v>Tisdale</v>
      </c>
      <c r="B920" s="207" t="str">
        <f>VLOOKUP(VALUE(D920),$D$3:F$106,3,FALSE)</f>
        <v>Kindergarten Teachers</v>
      </c>
      <c r="C920" s="751" t="s">
        <v>246</v>
      </c>
      <c r="D920" s="751" t="s">
        <v>424</v>
      </c>
      <c r="E920" s="751" t="s">
        <v>439</v>
      </c>
      <c r="F920" s="751" t="s">
        <v>254</v>
      </c>
      <c r="G920" s="752" t="s">
        <v>1681</v>
      </c>
      <c r="H920" s="753">
        <v>52360</v>
      </c>
      <c r="I920" s="754">
        <v>2667.15</v>
      </c>
      <c r="J920" s="754">
        <v>0</v>
      </c>
      <c r="K920" s="754">
        <v>0</v>
      </c>
      <c r="L920" s="754">
        <v>500.54</v>
      </c>
      <c r="M920" s="754">
        <f t="shared" si="53"/>
        <v>500.54</v>
      </c>
      <c r="N920" s="756">
        <v>2667.15</v>
      </c>
      <c r="O920" s="720">
        <f t="shared" si="54"/>
        <v>0</v>
      </c>
    </row>
    <row r="921" spans="1:15" outlineLevel="2" x14ac:dyDescent="0.25">
      <c r="A921" s="207" t="str">
        <f>VLOOKUP(RIGHT(E921,3)+0,SchLocTable!$A$2:$B$47,2,FALSE)</f>
        <v>Tisdale</v>
      </c>
      <c r="B921" s="207" t="str">
        <f>VLOOKUP(VALUE(D921),$D$3:F$106,3,FALSE)</f>
        <v>Kindergarten Teachers</v>
      </c>
      <c r="C921" s="751" t="s">
        <v>246</v>
      </c>
      <c r="D921" s="751" t="s">
        <v>424</v>
      </c>
      <c r="E921" s="751" t="s">
        <v>439</v>
      </c>
      <c r="F921" s="751" t="s">
        <v>259</v>
      </c>
      <c r="G921" s="752" t="s">
        <v>1681</v>
      </c>
      <c r="H921" s="753">
        <v>52917</v>
      </c>
      <c r="I921" s="754">
        <v>13161.96</v>
      </c>
      <c r="J921" s="754">
        <v>0</v>
      </c>
      <c r="K921" s="754">
        <v>0</v>
      </c>
      <c r="L921" s="754">
        <v>3133.8</v>
      </c>
      <c r="M921" s="754">
        <f t="shared" si="53"/>
        <v>3133.8</v>
      </c>
      <c r="N921" s="756">
        <v>13161.96</v>
      </c>
      <c r="O921" s="720">
        <f t="shared" si="54"/>
        <v>0</v>
      </c>
    </row>
    <row r="922" spans="1:15" outlineLevel="2" x14ac:dyDescent="0.25">
      <c r="A922" s="207" t="str">
        <f>VLOOKUP(RIGHT(E922,3)+0,SchLocTable!$A$2:$B$47,2,FALSE)</f>
        <v>Read</v>
      </c>
      <c r="B922" s="207" t="str">
        <f>VLOOKUP(VALUE(D922),$D$3:F$106,3,FALSE)</f>
        <v>Kindergarten Teachers</v>
      </c>
      <c r="C922" s="751" t="s">
        <v>246</v>
      </c>
      <c r="D922" s="751" t="s">
        <v>424</v>
      </c>
      <c r="E922" s="751" t="s">
        <v>440</v>
      </c>
      <c r="F922" s="751" t="s">
        <v>248</v>
      </c>
      <c r="G922" s="752">
        <v>3</v>
      </c>
      <c r="H922" s="753">
        <v>51000</v>
      </c>
      <c r="I922" s="754">
        <v>187228.35</v>
      </c>
      <c r="J922" s="754">
        <v>0</v>
      </c>
      <c r="K922" s="754">
        <v>0</v>
      </c>
      <c r="L922" s="754">
        <v>35867.5</v>
      </c>
      <c r="M922" s="754">
        <f t="shared" si="53"/>
        <v>35867.5</v>
      </c>
      <c r="N922" s="756">
        <v>187228.35</v>
      </c>
      <c r="O922" s="720">
        <f t="shared" si="54"/>
        <v>0</v>
      </c>
    </row>
    <row r="923" spans="1:15" outlineLevel="2" x14ac:dyDescent="0.25">
      <c r="A923" s="207" t="str">
        <f>VLOOKUP(RIGHT(E923,3)+0,SchLocTable!$A$2:$B$47,2,FALSE)</f>
        <v>Read</v>
      </c>
      <c r="B923" s="207" t="str">
        <f>VLOOKUP(VALUE(D923),$D$3:F$106,3,FALSE)</f>
        <v>Kindergarten Teachers</v>
      </c>
      <c r="C923" s="751" t="s">
        <v>246</v>
      </c>
      <c r="D923" s="751" t="s">
        <v>424</v>
      </c>
      <c r="E923" s="751" t="s">
        <v>440</v>
      </c>
      <c r="F923" s="751" t="s">
        <v>257</v>
      </c>
      <c r="G923" s="752" t="s">
        <v>1681</v>
      </c>
      <c r="H923" s="753">
        <v>51140</v>
      </c>
      <c r="I923" s="754">
        <v>900</v>
      </c>
      <c r="J923" s="754">
        <v>0</v>
      </c>
      <c r="K923" s="754">
        <v>0</v>
      </c>
      <c r="L923" s="754">
        <v>0</v>
      </c>
      <c r="M923" s="754">
        <f t="shared" si="53"/>
        <v>0</v>
      </c>
      <c r="N923" s="756">
        <v>900</v>
      </c>
      <c r="O923" s="720">
        <f t="shared" si="54"/>
        <v>0</v>
      </c>
    </row>
    <row r="924" spans="1:15" outlineLevel="2" x14ac:dyDescent="0.25">
      <c r="A924" s="207" t="str">
        <f>VLOOKUP(RIGHT(E924,3)+0,SchLocTable!$A$2:$B$47,2,FALSE)</f>
        <v>Read</v>
      </c>
      <c r="B924" s="207" t="str">
        <f>VLOOKUP(VALUE(D924),$D$3:F$106,3,FALSE)</f>
        <v>Kindergarten Teachers</v>
      </c>
      <c r="C924" s="751" t="s">
        <v>246</v>
      </c>
      <c r="D924" s="751" t="s">
        <v>424</v>
      </c>
      <c r="E924" s="751" t="s">
        <v>440</v>
      </c>
      <c r="F924" s="751" t="s">
        <v>254</v>
      </c>
      <c r="G924" s="752" t="s">
        <v>1681</v>
      </c>
      <c r="H924" s="753">
        <v>52360</v>
      </c>
      <c r="I924" s="754">
        <v>2673.25</v>
      </c>
      <c r="J924" s="754">
        <v>0</v>
      </c>
      <c r="K924" s="754">
        <v>0</v>
      </c>
      <c r="L924" s="754">
        <v>478.52</v>
      </c>
      <c r="M924" s="754">
        <f t="shared" si="53"/>
        <v>478.52</v>
      </c>
      <c r="N924" s="756">
        <v>2673.25</v>
      </c>
      <c r="O924" s="720">
        <f t="shared" si="54"/>
        <v>0</v>
      </c>
    </row>
    <row r="925" spans="1:15" outlineLevel="2" x14ac:dyDescent="0.25">
      <c r="A925" s="207" t="str">
        <f>VLOOKUP(RIGHT(E925,3)+0,SchLocTable!$A$2:$B$47,2,FALSE)</f>
        <v>Read</v>
      </c>
      <c r="B925" s="207" t="str">
        <f>VLOOKUP(VALUE(D925),$D$3:F$106,3,FALSE)</f>
        <v>Kindergarten Teachers</v>
      </c>
      <c r="C925" s="751" t="s">
        <v>246</v>
      </c>
      <c r="D925" s="751" t="s">
        <v>424</v>
      </c>
      <c r="E925" s="751" t="s">
        <v>440</v>
      </c>
      <c r="F925" s="751" t="s">
        <v>259</v>
      </c>
      <c r="G925" s="752" t="s">
        <v>1681</v>
      </c>
      <c r="H925" s="753">
        <v>52917</v>
      </c>
      <c r="I925" s="754">
        <v>41104.14</v>
      </c>
      <c r="J925" s="754">
        <v>0</v>
      </c>
      <c r="K925" s="754">
        <v>0</v>
      </c>
      <c r="L925" s="754">
        <v>9786.7000000000007</v>
      </c>
      <c r="M925" s="754">
        <f t="shared" si="53"/>
        <v>9786.7000000000007</v>
      </c>
      <c r="N925" s="756">
        <v>41104.14</v>
      </c>
      <c r="O925" s="720">
        <f t="shared" si="54"/>
        <v>0</v>
      </c>
    </row>
    <row r="926" spans="1:15" outlineLevel="2" x14ac:dyDescent="0.25">
      <c r="A926" s="207" t="str">
        <f>VLOOKUP(RIGHT(E926,3)+0,SchLocTable!$A$2:$B$47,2,FALSE)</f>
        <v>Roosevelt</v>
      </c>
      <c r="B926" s="207" t="str">
        <f>VLOOKUP(VALUE(D926),$D$3:F$106,3,FALSE)</f>
        <v>Kindergarten Teachers</v>
      </c>
      <c r="C926" s="751" t="s">
        <v>246</v>
      </c>
      <c r="D926" s="751" t="s">
        <v>424</v>
      </c>
      <c r="E926" s="751" t="s">
        <v>441</v>
      </c>
      <c r="F926" s="751" t="s">
        <v>248</v>
      </c>
      <c r="G926" s="752">
        <v>2</v>
      </c>
      <c r="H926" s="753">
        <v>51000</v>
      </c>
      <c r="I926" s="754">
        <v>127565.58</v>
      </c>
      <c r="J926" s="754">
        <v>0</v>
      </c>
      <c r="K926" s="754">
        <v>0</v>
      </c>
      <c r="L926" s="754">
        <v>24437.85</v>
      </c>
      <c r="M926" s="754">
        <f t="shared" si="53"/>
        <v>24437.85</v>
      </c>
      <c r="N926" s="756">
        <v>127565.58</v>
      </c>
      <c r="O926" s="720">
        <f t="shared" si="54"/>
        <v>0</v>
      </c>
    </row>
    <row r="927" spans="1:15" outlineLevel="2" x14ac:dyDescent="0.25">
      <c r="A927" s="207" t="str">
        <f>VLOOKUP(RIGHT(E927,3)+0,SchLocTable!$A$2:$B$47,2,FALSE)</f>
        <v>Roosevelt</v>
      </c>
      <c r="B927" s="207" t="str">
        <f>VLOOKUP(VALUE(D927),$D$3:F$106,3,FALSE)</f>
        <v>Kindergarten Teachers</v>
      </c>
      <c r="C927" s="751" t="s">
        <v>246</v>
      </c>
      <c r="D927" s="751" t="s">
        <v>424</v>
      </c>
      <c r="E927" s="751" t="s">
        <v>441</v>
      </c>
      <c r="F927" s="751" t="s">
        <v>257</v>
      </c>
      <c r="G927" s="752" t="s">
        <v>1681</v>
      </c>
      <c r="H927" s="753">
        <v>51140</v>
      </c>
      <c r="I927" s="754">
        <v>1100</v>
      </c>
      <c r="J927" s="754">
        <v>0</v>
      </c>
      <c r="K927" s="754">
        <v>0</v>
      </c>
      <c r="L927" s="754">
        <v>0</v>
      </c>
      <c r="M927" s="754">
        <f t="shared" si="53"/>
        <v>0</v>
      </c>
      <c r="N927" s="756">
        <v>1100</v>
      </c>
      <c r="O927" s="720">
        <f t="shared" si="54"/>
        <v>0</v>
      </c>
    </row>
    <row r="928" spans="1:15" outlineLevel="2" x14ac:dyDescent="0.25">
      <c r="A928" s="207" t="str">
        <f>VLOOKUP(RIGHT(E928,3)+0,SchLocTable!$A$2:$B$47,2,FALSE)</f>
        <v>Roosevelt</v>
      </c>
      <c r="B928" s="207" t="str">
        <f>VLOOKUP(VALUE(D928),$D$3:F$106,3,FALSE)</f>
        <v>Kindergarten Teachers</v>
      </c>
      <c r="C928" s="751" t="s">
        <v>246</v>
      </c>
      <c r="D928" s="751" t="s">
        <v>424</v>
      </c>
      <c r="E928" s="751" t="s">
        <v>441</v>
      </c>
      <c r="F928" s="751" t="s">
        <v>254</v>
      </c>
      <c r="G928" s="752" t="s">
        <v>1681</v>
      </c>
      <c r="H928" s="753">
        <v>52360</v>
      </c>
      <c r="I928" s="754">
        <v>1836.88</v>
      </c>
      <c r="J928" s="754">
        <v>0</v>
      </c>
      <c r="K928" s="754">
        <v>0</v>
      </c>
      <c r="L928" s="754">
        <v>341.53</v>
      </c>
      <c r="M928" s="754">
        <f t="shared" si="53"/>
        <v>341.53</v>
      </c>
      <c r="N928" s="756">
        <v>1836.88</v>
      </c>
      <c r="O928" s="720">
        <f t="shared" si="54"/>
        <v>0</v>
      </c>
    </row>
    <row r="929" spans="1:15" outlineLevel="2" x14ac:dyDescent="0.25">
      <c r="A929" s="207" t="str">
        <f>VLOOKUP(RIGHT(E929,3)+0,SchLocTable!$A$2:$B$47,2,FALSE)</f>
        <v>Roosevelt</v>
      </c>
      <c r="B929" s="207" t="str">
        <f>VLOOKUP(VALUE(D929),$D$3:F$106,3,FALSE)</f>
        <v>Kindergarten Teachers</v>
      </c>
      <c r="C929" s="751" t="s">
        <v>246</v>
      </c>
      <c r="D929" s="751" t="s">
        <v>424</v>
      </c>
      <c r="E929" s="751" t="s">
        <v>441</v>
      </c>
      <c r="F929" s="751" t="s">
        <v>259</v>
      </c>
      <c r="G929" s="752" t="s">
        <v>1681</v>
      </c>
      <c r="H929" s="753">
        <v>52917</v>
      </c>
      <c r="I929" s="754">
        <v>13065.36</v>
      </c>
      <c r="J929" s="754">
        <v>0</v>
      </c>
      <c r="K929" s="754">
        <v>0</v>
      </c>
      <c r="L929" s="754">
        <v>3110.8</v>
      </c>
      <c r="M929" s="754">
        <f t="shared" si="53"/>
        <v>3110.8</v>
      </c>
      <c r="N929" s="756">
        <v>13065.36</v>
      </c>
      <c r="O929" s="720">
        <f t="shared" si="54"/>
        <v>0</v>
      </c>
    </row>
    <row r="930" spans="1:15" outlineLevel="2" x14ac:dyDescent="0.25">
      <c r="A930" s="207" t="str">
        <f>VLOOKUP(RIGHT(E930,3)+0,SchLocTable!$A$2:$B$47,2,FALSE)</f>
        <v>Waltersville</v>
      </c>
      <c r="B930" s="207" t="str">
        <f>VLOOKUP(VALUE(D930),$D$3:F$106,3,FALSE)</f>
        <v>Kindergarten Teachers</v>
      </c>
      <c r="C930" s="751" t="s">
        <v>246</v>
      </c>
      <c r="D930" s="751" t="s">
        <v>424</v>
      </c>
      <c r="E930" s="751" t="s">
        <v>442</v>
      </c>
      <c r="F930" s="751" t="s">
        <v>248</v>
      </c>
      <c r="G930" s="752">
        <v>3</v>
      </c>
      <c r="H930" s="753">
        <v>51000</v>
      </c>
      <c r="I930" s="754">
        <v>234229.74</v>
      </c>
      <c r="J930" s="754">
        <v>0</v>
      </c>
      <c r="K930" s="754">
        <v>0</v>
      </c>
      <c r="L930" s="754">
        <v>49652.35</v>
      </c>
      <c r="M930" s="754">
        <f t="shared" si="53"/>
        <v>49652.35</v>
      </c>
      <c r="N930" s="756">
        <v>234229.74</v>
      </c>
      <c r="O930" s="720">
        <f t="shared" si="54"/>
        <v>0</v>
      </c>
    </row>
    <row r="931" spans="1:15" outlineLevel="2" x14ac:dyDescent="0.25">
      <c r="A931" s="207" t="str">
        <f>VLOOKUP(RIGHT(E931,3)+0,SchLocTable!$A$2:$B$47,2,FALSE)</f>
        <v>Waltersville</v>
      </c>
      <c r="B931" s="207" t="str">
        <f>VLOOKUP(VALUE(D931),$D$3:F$106,3,FALSE)</f>
        <v>Kindergarten Teachers</v>
      </c>
      <c r="C931" s="751" t="s">
        <v>246</v>
      </c>
      <c r="D931" s="751" t="s">
        <v>424</v>
      </c>
      <c r="E931" s="751" t="s">
        <v>442</v>
      </c>
      <c r="F931" s="751" t="s">
        <v>257</v>
      </c>
      <c r="G931" s="752" t="s">
        <v>1681</v>
      </c>
      <c r="H931" s="753">
        <v>51140</v>
      </c>
      <c r="I931" s="754">
        <v>3500</v>
      </c>
      <c r="J931" s="754">
        <v>0</v>
      </c>
      <c r="K931" s="754">
        <v>0</v>
      </c>
      <c r="L931" s="754">
        <v>0</v>
      </c>
      <c r="M931" s="754">
        <f t="shared" si="53"/>
        <v>0</v>
      </c>
      <c r="N931" s="756">
        <v>3500</v>
      </c>
      <c r="O931" s="720">
        <f t="shared" si="54"/>
        <v>0</v>
      </c>
    </row>
    <row r="932" spans="1:15" outlineLevel="2" x14ac:dyDescent="0.25">
      <c r="A932" s="207" t="str">
        <f>VLOOKUP(RIGHT(E932,3)+0,SchLocTable!$A$2:$B$47,2,FALSE)</f>
        <v>Waltersville</v>
      </c>
      <c r="B932" s="207" t="str">
        <f>VLOOKUP(VALUE(D932),$D$3:F$106,3,FALSE)</f>
        <v>Kindergarten Teachers</v>
      </c>
      <c r="C932" s="751" t="s">
        <v>246</v>
      </c>
      <c r="D932" s="751" t="s">
        <v>424</v>
      </c>
      <c r="E932" s="751" t="s">
        <v>442</v>
      </c>
      <c r="F932" s="751" t="s">
        <v>254</v>
      </c>
      <c r="G932" s="752" t="s">
        <v>1681</v>
      </c>
      <c r="H932" s="753">
        <v>52360</v>
      </c>
      <c r="I932" s="754">
        <v>3336.61</v>
      </c>
      <c r="J932" s="754">
        <v>0</v>
      </c>
      <c r="K932" s="754">
        <v>0</v>
      </c>
      <c r="L932" s="754">
        <v>660.24</v>
      </c>
      <c r="M932" s="754">
        <f t="shared" si="53"/>
        <v>660.24</v>
      </c>
      <c r="N932" s="756">
        <v>3336.61</v>
      </c>
      <c r="O932" s="720">
        <f t="shared" si="54"/>
        <v>0</v>
      </c>
    </row>
    <row r="933" spans="1:15" outlineLevel="2" x14ac:dyDescent="0.25">
      <c r="A933" s="207" t="str">
        <f>VLOOKUP(RIGHT(E933,3)+0,SchLocTable!$A$2:$B$47,2,FALSE)</f>
        <v>Waltersville</v>
      </c>
      <c r="B933" s="207" t="str">
        <f>VLOOKUP(VALUE(D933),$D$3:F$106,3,FALSE)</f>
        <v>Kindergarten Teachers</v>
      </c>
      <c r="C933" s="751" t="s">
        <v>246</v>
      </c>
      <c r="D933" s="751" t="s">
        <v>424</v>
      </c>
      <c r="E933" s="751" t="s">
        <v>442</v>
      </c>
      <c r="F933" s="751" t="s">
        <v>259</v>
      </c>
      <c r="G933" s="752" t="s">
        <v>1681</v>
      </c>
      <c r="H933" s="753">
        <v>52917</v>
      </c>
      <c r="I933" s="754">
        <v>58763.88</v>
      </c>
      <c r="J933" s="754">
        <v>0</v>
      </c>
      <c r="K933" s="754">
        <v>0</v>
      </c>
      <c r="L933" s="754">
        <v>13991.4</v>
      </c>
      <c r="M933" s="754">
        <f t="shared" si="53"/>
        <v>13991.4</v>
      </c>
      <c r="N933" s="756">
        <v>58763.88</v>
      </c>
      <c r="O933" s="720">
        <f t="shared" si="54"/>
        <v>0</v>
      </c>
    </row>
    <row r="934" spans="1:15" outlineLevel="2" x14ac:dyDescent="0.25">
      <c r="A934" s="207" t="str">
        <f>VLOOKUP(RIGHT(E934,3)+0,SchLocTable!$A$2:$B$47,2,FALSE)</f>
        <v>Claytor</v>
      </c>
      <c r="B934" s="207" t="str">
        <f>VLOOKUP(VALUE(D934),$D$3:F$106,3,FALSE)</f>
        <v>Kindergarten Teachers</v>
      </c>
      <c r="C934" s="751" t="s">
        <v>246</v>
      </c>
      <c r="D934" s="751" t="s">
        <v>424</v>
      </c>
      <c r="E934" s="751" t="s">
        <v>443</v>
      </c>
      <c r="F934" s="751" t="s">
        <v>248</v>
      </c>
      <c r="G934" s="752">
        <v>1</v>
      </c>
      <c r="H934" s="753">
        <v>51000</v>
      </c>
      <c r="I934" s="754">
        <v>57919.05</v>
      </c>
      <c r="J934" s="754">
        <v>0</v>
      </c>
      <c r="K934" s="754">
        <v>0</v>
      </c>
      <c r="L934" s="754">
        <v>13790.25</v>
      </c>
      <c r="M934" s="754">
        <f t="shared" si="53"/>
        <v>13790.25</v>
      </c>
      <c r="N934" s="756">
        <v>57919.05</v>
      </c>
      <c r="O934" s="720">
        <f t="shared" si="54"/>
        <v>0</v>
      </c>
    </row>
    <row r="935" spans="1:15" outlineLevel="2" x14ac:dyDescent="0.25">
      <c r="A935" s="207" t="str">
        <f>VLOOKUP(RIGHT(E935,3)+0,SchLocTable!$A$2:$B$47,2,FALSE)</f>
        <v>Claytor</v>
      </c>
      <c r="B935" s="207" t="str">
        <f>VLOOKUP(VALUE(D935),$D$3:F$106,3,FALSE)</f>
        <v>Kindergarten Teachers</v>
      </c>
      <c r="C935" s="751" t="s">
        <v>246</v>
      </c>
      <c r="D935" s="751" t="s">
        <v>424</v>
      </c>
      <c r="E935" s="751" t="s">
        <v>443</v>
      </c>
      <c r="F935" s="751" t="s">
        <v>257</v>
      </c>
      <c r="G935" s="752" t="s">
        <v>1681</v>
      </c>
      <c r="H935" s="753">
        <v>51140</v>
      </c>
      <c r="I935" s="754">
        <v>1200</v>
      </c>
      <c r="J935" s="754">
        <v>0</v>
      </c>
      <c r="K935" s="754">
        <v>0</v>
      </c>
      <c r="L935" s="754">
        <v>0</v>
      </c>
      <c r="M935" s="754">
        <f t="shared" si="53"/>
        <v>0</v>
      </c>
      <c r="N935" s="756">
        <v>1200</v>
      </c>
      <c r="O935" s="720">
        <f t="shared" si="54"/>
        <v>0</v>
      </c>
    </row>
    <row r="936" spans="1:15" outlineLevel="2" x14ac:dyDescent="0.25">
      <c r="A936" s="207" t="str">
        <f>VLOOKUP(RIGHT(E936,3)+0,SchLocTable!$A$2:$B$47,2,FALSE)</f>
        <v>Claytor</v>
      </c>
      <c r="B936" s="207" t="str">
        <f>VLOOKUP(VALUE(D936),$D$3:F$106,3,FALSE)</f>
        <v>Kindergarten Teachers</v>
      </c>
      <c r="C936" s="751" t="s">
        <v>246</v>
      </c>
      <c r="D936" s="751" t="s">
        <v>424</v>
      </c>
      <c r="E936" s="751" t="s">
        <v>443</v>
      </c>
      <c r="F936" s="751" t="s">
        <v>254</v>
      </c>
      <c r="G936" s="752" t="s">
        <v>1681</v>
      </c>
      <c r="H936" s="753">
        <v>52360</v>
      </c>
      <c r="I936" s="754">
        <v>827.79</v>
      </c>
      <c r="J936" s="754">
        <v>0</v>
      </c>
      <c r="K936" s="754">
        <v>0</v>
      </c>
      <c r="L936" s="754">
        <v>187.92</v>
      </c>
      <c r="M936" s="754">
        <f t="shared" si="53"/>
        <v>187.92</v>
      </c>
      <c r="N936" s="756">
        <v>827.79</v>
      </c>
      <c r="O936" s="720">
        <f t="shared" si="54"/>
        <v>0</v>
      </c>
    </row>
    <row r="937" spans="1:15" outlineLevel="2" x14ac:dyDescent="0.25">
      <c r="A937" s="207" t="str">
        <f>VLOOKUP(RIGHT(E937,3)+0,SchLocTable!$A$2:$B$47,2,FALSE)</f>
        <v>Claytor</v>
      </c>
      <c r="B937" s="207" t="str">
        <f>VLOOKUP(VALUE(D937),$D$3:F$106,3,FALSE)</f>
        <v>Kindergarten Teachers</v>
      </c>
      <c r="C937" s="751" t="s">
        <v>246</v>
      </c>
      <c r="D937" s="751" t="s">
        <v>424</v>
      </c>
      <c r="E937" s="751" t="s">
        <v>443</v>
      </c>
      <c r="F937" s="751" t="s">
        <v>259</v>
      </c>
      <c r="G937" s="752" t="s">
        <v>1681</v>
      </c>
      <c r="H937" s="753">
        <v>52917</v>
      </c>
      <c r="I937" s="754">
        <v>11844</v>
      </c>
      <c r="J937" s="754">
        <v>0</v>
      </c>
      <c r="K937" s="754">
        <v>0</v>
      </c>
      <c r="L937" s="754">
        <v>2820</v>
      </c>
      <c r="M937" s="754">
        <f t="shared" si="53"/>
        <v>2820</v>
      </c>
      <c r="N937" s="756">
        <v>11844</v>
      </c>
      <c r="O937" s="720">
        <f t="shared" si="54"/>
        <v>0</v>
      </c>
    </row>
    <row r="938" spans="1:15" outlineLevel="2" x14ac:dyDescent="0.25">
      <c r="A938" s="207" t="str">
        <f>VLOOKUP(RIGHT(E938,3)+0,SchLocTable!$A$2:$B$47,2,FALSE)</f>
        <v>Johnson</v>
      </c>
      <c r="B938" s="207" t="str">
        <f>VLOOKUP(VALUE(D938),$D$3:F$106,3,FALSE)</f>
        <v>Kindergarten Teachers</v>
      </c>
      <c r="C938" s="751" t="s">
        <v>246</v>
      </c>
      <c r="D938" s="751" t="s">
        <v>424</v>
      </c>
      <c r="E938" s="751" t="s">
        <v>444</v>
      </c>
      <c r="F938" s="751" t="s">
        <v>248</v>
      </c>
      <c r="G938" s="752">
        <v>4</v>
      </c>
      <c r="H938" s="753">
        <v>51000</v>
      </c>
      <c r="I938" s="754">
        <v>264443.90000000002</v>
      </c>
      <c r="J938" s="754">
        <v>0</v>
      </c>
      <c r="K938" s="754">
        <v>0</v>
      </c>
      <c r="L938" s="754">
        <v>50659.75</v>
      </c>
      <c r="M938" s="754">
        <f t="shared" si="53"/>
        <v>50659.75</v>
      </c>
      <c r="N938" s="756">
        <v>264443.90000000002</v>
      </c>
      <c r="O938" s="720">
        <f t="shared" si="54"/>
        <v>0</v>
      </c>
    </row>
    <row r="939" spans="1:15" outlineLevel="2" x14ac:dyDescent="0.25">
      <c r="A939" s="207" t="str">
        <f>VLOOKUP(RIGHT(E939,3)+0,SchLocTable!$A$2:$B$47,2,FALSE)</f>
        <v>Johnson</v>
      </c>
      <c r="B939" s="207" t="str">
        <f>VLOOKUP(VALUE(D939),$D$3:F$106,3,FALSE)</f>
        <v>Kindergarten Teachers</v>
      </c>
      <c r="C939" s="751" t="s">
        <v>246</v>
      </c>
      <c r="D939" s="751" t="s">
        <v>424</v>
      </c>
      <c r="E939" s="751" t="s">
        <v>444</v>
      </c>
      <c r="F939" s="751" t="s">
        <v>257</v>
      </c>
      <c r="G939" s="752" t="s">
        <v>1681</v>
      </c>
      <c r="H939" s="753">
        <v>51140</v>
      </c>
      <c r="I939" s="754">
        <v>1100</v>
      </c>
      <c r="J939" s="754">
        <v>0</v>
      </c>
      <c r="K939" s="754">
        <v>0</v>
      </c>
      <c r="L939" s="754">
        <v>0</v>
      </c>
      <c r="M939" s="754">
        <f t="shared" si="53"/>
        <v>0</v>
      </c>
      <c r="N939" s="756">
        <v>1100</v>
      </c>
      <c r="O939" s="720">
        <f t="shared" si="54"/>
        <v>0</v>
      </c>
    </row>
    <row r="940" spans="1:15" outlineLevel="2" x14ac:dyDescent="0.25">
      <c r="A940" s="207" t="str">
        <f>VLOOKUP(RIGHT(E940,3)+0,SchLocTable!$A$2:$B$47,2,FALSE)</f>
        <v>Johnson</v>
      </c>
      <c r="B940" s="207" t="str">
        <f>VLOOKUP(VALUE(D940),$D$3:F$106,3,FALSE)</f>
        <v>Kindergarten Teachers</v>
      </c>
      <c r="C940" s="755" t="s">
        <v>246</v>
      </c>
      <c r="D940" s="751" t="s">
        <v>424</v>
      </c>
      <c r="E940" s="751" t="s">
        <v>444</v>
      </c>
      <c r="F940" s="751" t="s">
        <v>254</v>
      </c>
      <c r="G940" s="752" t="s">
        <v>1681</v>
      </c>
      <c r="H940" s="753">
        <v>52360</v>
      </c>
      <c r="I940" s="754">
        <v>3807.61</v>
      </c>
      <c r="J940" s="754">
        <v>0</v>
      </c>
      <c r="K940" s="754">
        <v>0</v>
      </c>
      <c r="L940" s="754">
        <v>707.74</v>
      </c>
      <c r="M940" s="754">
        <f t="shared" si="53"/>
        <v>707.74</v>
      </c>
      <c r="N940" s="756">
        <v>3807.61</v>
      </c>
      <c r="O940" s="720">
        <f t="shared" si="54"/>
        <v>0</v>
      </c>
    </row>
    <row r="941" spans="1:15" outlineLevel="2" x14ac:dyDescent="0.25">
      <c r="A941" s="207" t="str">
        <f>VLOOKUP(RIGHT(E941,3)+0,SchLocTable!$A$2:$B$47,2,FALSE)</f>
        <v>Johnson</v>
      </c>
      <c r="B941" s="207" t="str">
        <f>VLOOKUP(VALUE(D941),$D$3:F$106,3,FALSE)</f>
        <v>Kindergarten Teachers</v>
      </c>
      <c r="C941" s="751" t="s">
        <v>246</v>
      </c>
      <c r="D941" s="751" t="s">
        <v>424</v>
      </c>
      <c r="E941" s="751" t="s">
        <v>444</v>
      </c>
      <c r="F941" s="751" t="s">
        <v>292</v>
      </c>
      <c r="G941" s="752" t="s">
        <v>1681</v>
      </c>
      <c r="H941" s="753">
        <v>52385</v>
      </c>
      <c r="I941" s="754">
        <v>0</v>
      </c>
      <c r="J941" s="754">
        <v>0</v>
      </c>
      <c r="K941" s="754">
        <v>0</v>
      </c>
      <c r="L941" s="754">
        <v>0</v>
      </c>
      <c r="M941" s="754">
        <f t="shared" si="53"/>
        <v>0</v>
      </c>
      <c r="N941" s="756">
        <v>0</v>
      </c>
      <c r="O941" s="720">
        <f t="shared" si="54"/>
        <v>0</v>
      </c>
    </row>
    <row r="942" spans="1:15" outlineLevel="2" x14ac:dyDescent="0.25">
      <c r="A942" s="207" t="str">
        <f>VLOOKUP(RIGHT(E942,3)+0,SchLocTable!$A$2:$B$47,2,FALSE)</f>
        <v>Johnson</v>
      </c>
      <c r="B942" s="207" t="str">
        <f>VLOOKUP(VALUE(D942),$D$3:F$106,3,FALSE)</f>
        <v>Kindergarten Teachers</v>
      </c>
      <c r="C942" s="751" t="s">
        <v>246</v>
      </c>
      <c r="D942" s="751" t="s">
        <v>424</v>
      </c>
      <c r="E942" s="751" t="s">
        <v>444</v>
      </c>
      <c r="F942" s="751" t="s">
        <v>259</v>
      </c>
      <c r="G942" s="752" t="s">
        <v>1681</v>
      </c>
      <c r="H942" s="753">
        <v>52917</v>
      </c>
      <c r="I942" s="754">
        <v>25435.78</v>
      </c>
      <c r="J942" s="754">
        <v>0</v>
      </c>
      <c r="K942" s="754">
        <v>0</v>
      </c>
      <c r="L942" s="754">
        <v>6048.9</v>
      </c>
      <c r="M942" s="754">
        <f t="shared" si="53"/>
        <v>6048.9</v>
      </c>
      <c r="N942" s="756">
        <v>25435.78</v>
      </c>
      <c r="O942" s="720">
        <f t="shared" si="54"/>
        <v>0</v>
      </c>
    </row>
    <row r="943" spans="1:15" outlineLevel="2" x14ac:dyDescent="0.25">
      <c r="A943" s="207" t="str">
        <f>VLOOKUP(RIGHT(E943,3)+0,SchLocTable!$A$2:$B$47,2,FALSE)</f>
        <v>Winthrop</v>
      </c>
      <c r="B943" s="207" t="str">
        <f>VLOOKUP(VALUE(D943),$D$3:F$106,3,FALSE)</f>
        <v>Kindergarten Teachers</v>
      </c>
      <c r="C943" s="751" t="s">
        <v>246</v>
      </c>
      <c r="D943" s="751" t="s">
        <v>424</v>
      </c>
      <c r="E943" s="751" t="s">
        <v>445</v>
      </c>
      <c r="F943" s="751" t="s">
        <v>248</v>
      </c>
      <c r="G943" s="752">
        <v>2</v>
      </c>
      <c r="H943" s="753">
        <v>51000</v>
      </c>
      <c r="I943" s="754">
        <v>171753.92</v>
      </c>
      <c r="J943" s="754">
        <v>0</v>
      </c>
      <c r="K943" s="754">
        <v>0</v>
      </c>
      <c r="L943" s="754">
        <v>32903.050000000003</v>
      </c>
      <c r="M943" s="754">
        <f t="shared" si="53"/>
        <v>32903.050000000003</v>
      </c>
      <c r="N943" s="756">
        <v>171753.92</v>
      </c>
      <c r="O943" s="720">
        <f t="shared" si="54"/>
        <v>0</v>
      </c>
    </row>
    <row r="944" spans="1:15" outlineLevel="2" x14ac:dyDescent="0.25">
      <c r="A944" s="207" t="str">
        <f>VLOOKUP(RIGHT(E944,3)+0,SchLocTable!$A$2:$B$47,2,FALSE)</f>
        <v>Winthrop</v>
      </c>
      <c r="B944" s="207" t="str">
        <f>VLOOKUP(VALUE(D944),$D$3:F$106,3,FALSE)</f>
        <v>Kindergarten Teachers</v>
      </c>
      <c r="C944" s="751" t="s">
        <v>246</v>
      </c>
      <c r="D944" s="751" t="s">
        <v>424</v>
      </c>
      <c r="E944" s="751" t="s">
        <v>445</v>
      </c>
      <c r="F944" s="751" t="s">
        <v>257</v>
      </c>
      <c r="G944" s="752" t="s">
        <v>1681</v>
      </c>
      <c r="H944" s="753">
        <v>51140</v>
      </c>
      <c r="I944" s="754">
        <v>1200</v>
      </c>
      <c r="J944" s="754">
        <v>0</v>
      </c>
      <c r="K944" s="754">
        <v>0</v>
      </c>
      <c r="L944" s="754">
        <v>0</v>
      </c>
      <c r="M944" s="754">
        <f t="shared" si="53"/>
        <v>0</v>
      </c>
      <c r="N944" s="756">
        <v>1200</v>
      </c>
      <c r="O944" s="720">
        <f t="shared" si="54"/>
        <v>0</v>
      </c>
    </row>
    <row r="945" spans="1:15" outlineLevel="1" x14ac:dyDescent="0.25">
      <c r="A945" s="207" t="str">
        <f>VLOOKUP(RIGHT(E945,3)+0,SchLocTable!$A$2:$B$47,2,FALSE)</f>
        <v>Winthrop</v>
      </c>
      <c r="B945" s="207" t="str">
        <f>VLOOKUP(VALUE(D945),$D$3:F$106,3,FALSE)</f>
        <v>Kindergarten Teachers</v>
      </c>
      <c r="C945" s="751" t="s">
        <v>246</v>
      </c>
      <c r="D945" s="751" t="s">
        <v>424</v>
      </c>
      <c r="E945" s="751" t="s">
        <v>445</v>
      </c>
      <c r="F945" s="751" t="s">
        <v>254</v>
      </c>
      <c r="G945" s="752" t="s">
        <v>1681</v>
      </c>
      <c r="H945" s="753">
        <v>52360</v>
      </c>
      <c r="I945" s="754">
        <v>2425.7600000000002</v>
      </c>
      <c r="J945" s="754">
        <v>0</v>
      </c>
      <c r="K945" s="754">
        <v>0</v>
      </c>
      <c r="L945" s="754">
        <v>412.42</v>
      </c>
      <c r="M945" s="754">
        <f t="shared" si="53"/>
        <v>412.42</v>
      </c>
      <c r="N945" s="756">
        <v>2425.7600000000002</v>
      </c>
      <c r="O945" s="720">
        <f t="shared" si="54"/>
        <v>0</v>
      </c>
    </row>
    <row r="946" spans="1:15" outlineLevel="2" x14ac:dyDescent="0.25">
      <c r="A946" s="207" t="str">
        <f>VLOOKUP(RIGHT(E946,3)+0,SchLocTable!$A$2:$B$47,2,FALSE)</f>
        <v>Winthrop</v>
      </c>
      <c r="B946" s="207" t="str">
        <f>VLOOKUP(VALUE(D946),$D$3:F$106,3,FALSE)</f>
        <v>Kindergarten Teachers</v>
      </c>
      <c r="C946" s="751" t="s">
        <v>246</v>
      </c>
      <c r="D946" s="751" t="s">
        <v>424</v>
      </c>
      <c r="E946" s="751" t="s">
        <v>445</v>
      </c>
      <c r="F946" s="751" t="s">
        <v>259</v>
      </c>
      <c r="G946" s="752" t="s">
        <v>1681</v>
      </c>
      <c r="H946" s="753">
        <v>52917</v>
      </c>
      <c r="I946" s="754">
        <v>63553.98</v>
      </c>
      <c r="J946" s="754">
        <v>0</v>
      </c>
      <c r="K946" s="754">
        <v>0</v>
      </c>
      <c r="L946" s="754">
        <v>15131.9</v>
      </c>
      <c r="M946" s="754">
        <f t="shared" si="53"/>
        <v>15131.9</v>
      </c>
      <c r="N946" s="756">
        <v>63553.98</v>
      </c>
      <c r="O946" s="720">
        <f t="shared" si="54"/>
        <v>0</v>
      </c>
    </row>
    <row r="947" spans="1:15" outlineLevel="2" x14ac:dyDescent="0.25">
      <c r="A947" s="207" t="str">
        <f>VLOOKUP(RIGHT(E947,3)+0,SchLocTable!$A$2:$B$47,2,FALSE)</f>
        <v>Discovery</v>
      </c>
      <c r="B947" s="207" t="str">
        <f>VLOOKUP(VALUE(D947),$D$3:F$106,3,FALSE)</f>
        <v>Kindergarten Teachers</v>
      </c>
      <c r="C947" s="751" t="s">
        <v>246</v>
      </c>
      <c r="D947" s="751" t="s">
        <v>424</v>
      </c>
      <c r="E947" s="751" t="s">
        <v>446</v>
      </c>
      <c r="F947" s="751" t="s">
        <v>248</v>
      </c>
      <c r="G947" s="752">
        <v>1</v>
      </c>
      <c r="H947" s="753">
        <v>51000</v>
      </c>
      <c r="I947" s="754">
        <v>103153.2</v>
      </c>
      <c r="J947" s="754">
        <v>0</v>
      </c>
      <c r="K947" s="754">
        <v>0</v>
      </c>
      <c r="L947" s="754">
        <v>19761.150000000001</v>
      </c>
      <c r="M947" s="754">
        <f t="shared" si="53"/>
        <v>19761.150000000001</v>
      </c>
      <c r="N947" s="756">
        <v>103153.2</v>
      </c>
      <c r="O947" s="720">
        <f t="shared" si="54"/>
        <v>0</v>
      </c>
    </row>
    <row r="948" spans="1:15" outlineLevel="2" x14ac:dyDescent="0.25">
      <c r="A948" s="207" t="str">
        <f>VLOOKUP(RIGHT(E948,3)+0,SchLocTable!$A$2:$B$47,2,FALSE)</f>
        <v>Discovery</v>
      </c>
      <c r="B948" s="207" t="str">
        <f>VLOOKUP(VALUE(D948),$D$3:F$106,3,FALSE)</f>
        <v>Kindergarten Teachers</v>
      </c>
      <c r="C948" s="751" t="s">
        <v>246</v>
      </c>
      <c r="D948" s="751" t="s">
        <v>424</v>
      </c>
      <c r="E948" s="751" t="s">
        <v>446</v>
      </c>
      <c r="F948" s="751" t="s">
        <v>257</v>
      </c>
      <c r="G948" s="752" t="s">
        <v>1681</v>
      </c>
      <c r="H948" s="753">
        <v>51140</v>
      </c>
      <c r="I948" s="754">
        <v>6200</v>
      </c>
      <c r="J948" s="754">
        <v>0</v>
      </c>
      <c r="K948" s="754">
        <v>0</v>
      </c>
      <c r="L948" s="754">
        <v>0</v>
      </c>
      <c r="M948" s="754">
        <f t="shared" si="53"/>
        <v>0</v>
      </c>
      <c r="N948" s="756">
        <v>6200</v>
      </c>
      <c r="O948" s="720">
        <f t="shared" si="54"/>
        <v>0</v>
      </c>
    </row>
    <row r="949" spans="1:15" outlineLevel="2" x14ac:dyDescent="0.25">
      <c r="A949" s="207" t="str">
        <f>VLOOKUP(RIGHT(E949,3)+0,SchLocTable!$A$2:$B$47,2,FALSE)</f>
        <v>Discovery</v>
      </c>
      <c r="B949" s="207" t="str">
        <f>VLOOKUP(VALUE(D949),$D$3:F$106,3,FALSE)</f>
        <v>Kindergarten Teachers</v>
      </c>
      <c r="C949" s="751" t="s">
        <v>246</v>
      </c>
      <c r="D949" s="751" t="s">
        <v>424</v>
      </c>
      <c r="E949" s="751" t="s">
        <v>446</v>
      </c>
      <c r="F949" s="751" t="s">
        <v>254</v>
      </c>
      <c r="G949" s="752" t="s">
        <v>1681</v>
      </c>
      <c r="H949" s="753">
        <v>52360</v>
      </c>
      <c r="I949" s="754">
        <v>1483.12</v>
      </c>
      <c r="J949" s="754">
        <v>0</v>
      </c>
      <c r="K949" s="754">
        <v>0</v>
      </c>
      <c r="L949" s="754">
        <v>273.94</v>
      </c>
      <c r="M949" s="754">
        <f t="shared" si="53"/>
        <v>273.94</v>
      </c>
      <c r="N949" s="756">
        <v>1483.12</v>
      </c>
      <c r="O949" s="720">
        <f t="shared" si="54"/>
        <v>0</v>
      </c>
    </row>
    <row r="950" spans="1:15" outlineLevel="2" x14ac:dyDescent="0.25">
      <c r="A950" s="207" t="str">
        <f>VLOOKUP(RIGHT(E950,3)+0,SchLocTable!$A$2:$B$47,2,FALSE)</f>
        <v>Discovery</v>
      </c>
      <c r="B950" s="207" t="str">
        <f>VLOOKUP(VALUE(D950),$D$3:F$106,3,FALSE)</f>
        <v>Kindergarten Teachers</v>
      </c>
      <c r="C950" s="751" t="s">
        <v>246</v>
      </c>
      <c r="D950" s="751" t="s">
        <v>424</v>
      </c>
      <c r="E950" s="751" t="s">
        <v>446</v>
      </c>
      <c r="F950" s="751" t="s">
        <v>259</v>
      </c>
      <c r="G950" s="752" t="s">
        <v>1681</v>
      </c>
      <c r="H950" s="753">
        <v>52917</v>
      </c>
      <c r="I950" s="754">
        <v>12722.64</v>
      </c>
      <c r="J950" s="754">
        <v>0</v>
      </c>
      <c r="K950" s="754">
        <v>0</v>
      </c>
      <c r="L950" s="754">
        <v>3029.2</v>
      </c>
      <c r="M950" s="754">
        <f t="shared" si="53"/>
        <v>3029.2</v>
      </c>
      <c r="N950" s="756">
        <v>12722.64</v>
      </c>
      <c r="O950" s="720">
        <f t="shared" si="54"/>
        <v>0</v>
      </c>
    </row>
    <row r="951" spans="1:15" outlineLevel="2" x14ac:dyDescent="0.25">
      <c r="A951" s="207" t="str">
        <f>VLOOKUP(RIGHT(E951,3)+0,SchLocTable!$A$2:$B$47,2,FALSE)</f>
        <v>Cross</v>
      </c>
      <c r="B951" s="207" t="str">
        <f>VLOOKUP(VALUE(D951),$D$3:F$106,3,FALSE)</f>
        <v>Kindergarten Teachers</v>
      </c>
      <c r="C951" s="751" t="s">
        <v>246</v>
      </c>
      <c r="D951" s="751" t="s">
        <v>424</v>
      </c>
      <c r="E951" s="751" t="s">
        <v>447</v>
      </c>
      <c r="F951" s="751" t="s">
        <v>248</v>
      </c>
      <c r="G951" s="752">
        <v>2</v>
      </c>
      <c r="H951" s="753">
        <v>51000</v>
      </c>
      <c r="I951" s="754">
        <v>196806.01</v>
      </c>
      <c r="J951" s="754">
        <v>0</v>
      </c>
      <c r="K951" s="754">
        <v>0</v>
      </c>
      <c r="L951" s="754">
        <v>37702.300000000003</v>
      </c>
      <c r="M951" s="754">
        <f t="shared" si="53"/>
        <v>37702.300000000003</v>
      </c>
      <c r="N951" s="756">
        <v>196806.01</v>
      </c>
      <c r="O951" s="720">
        <f t="shared" si="54"/>
        <v>0</v>
      </c>
    </row>
    <row r="952" spans="1:15" outlineLevel="2" x14ac:dyDescent="0.25">
      <c r="A952" s="207" t="str">
        <f>VLOOKUP(RIGHT(E952,3)+0,SchLocTable!$A$2:$B$47,2,FALSE)</f>
        <v>Cross</v>
      </c>
      <c r="B952" s="207" t="str">
        <f>VLOOKUP(VALUE(D952),$D$3:F$106,3,FALSE)</f>
        <v>Kindergarten Teachers</v>
      </c>
      <c r="C952" s="751" t="s">
        <v>246</v>
      </c>
      <c r="D952" s="751" t="s">
        <v>424</v>
      </c>
      <c r="E952" s="751" t="s">
        <v>447</v>
      </c>
      <c r="F952" s="751" t="s">
        <v>257</v>
      </c>
      <c r="G952" s="752" t="s">
        <v>1681</v>
      </c>
      <c r="H952" s="753">
        <v>51140</v>
      </c>
      <c r="I952" s="754">
        <v>900</v>
      </c>
      <c r="J952" s="754">
        <v>0</v>
      </c>
      <c r="K952" s="754">
        <v>0</v>
      </c>
      <c r="L952" s="754">
        <v>0</v>
      </c>
      <c r="M952" s="754">
        <f t="shared" si="53"/>
        <v>0</v>
      </c>
      <c r="N952" s="756">
        <v>900</v>
      </c>
      <c r="O952" s="720">
        <f t="shared" si="54"/>
        <v>0</v>
      </c>
    </row>
    <row r="953" spans="1:15" outlineLevel="2" x14ac:dyDescent="0.25">
      <c r="A953" s="207" t="str">
        <f>VLOOKUP(RIGHT(E953,3)+0,SchLocTable!$A$2:$B$47,2,FALSE)</f>
        <v>Cross</v>
      </c>
      <c r="B953" s="207" t="str">
        <f>VLOOKUP(VALUE(D953),$D$3:F$106,3,FALSE)</f>
        <v>Kindergarten Teachers</v>
      </c>
      <c r="C953" s="751" t="s">
        <v>246</v>
      </c>
      <c r="D953" s="751" t="s">
        <v>424</v>
      </c>
      <c r="E953" s="751" t="s">
        <v>447</v>
      </c>
      <c r="F953" s="751" t="s">
        <v>254</v>
      </c>
      <c r="G953" s="752" t="s">
        <v>1681</v>
      </c>
      <c r="H953" s="753">
        <v>52360</v>
      </c>
      <c r="I953" s="754">
        <v>2792.74</v>
      </c>
      <c r="J953" s="754">
        <v>0</v>
      </c>
      <c r="K953" s="754">
        <v>0</v>
      </c>
      <c r="L953" s="754">
        <v>485.74</v>
      </c>
      <c r="M953" s="754">
        <f t="shared" si="53"/>
        <v>485.74</v>
      </c>
      <c r="N953" s="756">
        <v>2792.74</v>
      </c>
      <c r="O953" s="720">
        <f t="shared" si="54"/>
        <v>0</v>
      </c>
    </row>
    <row r="954" spans="1:15" outlineLevel="2" x14ac:dyDescent="0.25">
      <c r="A954" s="207" t="str">
        <f>VLOOKUP(RIGHT(E954,3)+0,SchLocTable!$A$2:$B$47,2,FALSE)</f>
        <v>Cross</v>
      </c>
      <c r="B954" s="207" t="str">
        <f>VLOOKUP(VALUE(D954),$D$3:F$106,3,FALSE)</f>
        <v>Kindergarten Teachers</v>
      </c>
      <c r="C954" s="751" t="s">
        <v>246</v>
      </c>
      <c r="D954" s="751" t="s">
        <v>424</v>
      </c>
      <c r="E954" s="751" t="s">
        <v>447</v>
      </c>
      <c r="F954" s="751" t="s">
        <v>292</v>
      </c>
      <c r="G954" s="752" t="s">
        <v>1681</v>
      </c>
      <c r="H954" s="753">
        <v>52385</v>
      </c>
      <c r="I954" s="754">
        <v>0</v>
      </c>
      <c r="J954" s="754">
        <v>0</v>
      </c>
      <c r="K954" s="754">
        <v>0</v>
      </c>
      <c r="L954" s="754">
        <v>0</v>
      </c>
      <c r="M954" s="754">
        <f t="shared" si="53"/>
        <v>0</v>
      </c>
      <c r="N954" s="756">
        <v>0</v>
      </c>
      <c r="O954" s="720">
        <f t="shared" si="54"/>
        <v>0</v>
      </c>
    </row>
    <row r="955" spans="1:15" outlineLevel="2" x14ac:dyDescent="0.25">
      <c r="A955" s="207" t="str">
        <f>VLOOKUP(RIGHT(E955,3)+0,SchLocTable!$A$2:$B$47,2,FALSE)</f>
        <v>Cross</v>
      </c>
      <c r="B955" s="207" t="str">
        <f>VLOOKUP(VALUE(D955),$D$3:F$106,3,FALSE)</f>
        <v>Kindergarten Teachers</v>
      </c>
      <c r="C955" s="751" t="s">
        <v>246</v>
      </c>
      <c r="D955" s="751" t="s">
        <v>424</v>
      </c>
      <c r="E955" s="751" t="s">
        <v>447</v>
      </c>
      <c r="F955" s="751" t="s">
        <v>259</v>
      </c>
      <c r="G955" s="752" t="s">
        <v>1681</v>
      </c>
      <c r="H955" s="753">
        <v>52917</v>
      </c>
      <c r="I955" s="754">
        <v>56956.2</v>
      </c>
      <c r="J955" s="754">
        <v>0</v>
      </c>
      <c r="K955" s="754">
        <v>0</v>
      </c>
      <c r="L955" s="754">
        <v>13561</v>
      </c>
      <c r="M955" s="754">
        <f t="shared" si="53"/>
        <v>13561</v>
      </c>
      <c r="N955" s="756">
        <v>56956.2</v>
      </c>
      <c r="O955" s="720">
        <f t="shared" si="54"/>
        <v>0</v>
      </c>
    </row>
    <row r="956" spans="1:15" outlineLevel="2" x14ac:dyDescent="0.25">
      <c r="A956" s="207" t="str">
        <f>VLOOKUP(RIGHT(E956,3)+0,SchLocTable!$A$2:$B$47,2,FALSE)</f>
        <v>Blackham</v>
      </c>
      <c r="B956" s="207" t="str">
        <f>VLOOKUP(VALUE(D956),$D$3:F$106,3,FALSE)</f>
        <v>Kindergarten Teachers</v>
      </c>
      <c r="C956" s="751" t="s">
        <v>246</v>
      </c>
      <c r="D956" s="751" t="s">
        <v>424</v>
      </c>
      <c r="E956" s="751" t="s">
        <v>448</v>
      </c>
      <c r="F956" s="751" t="s">
        <v>248</v>
      </c>
      <c r="G956" s="752">
        <v>4</v>
      </c>
      <c r="H956" s="753">
        <v>51000</v>
      </c>
      <c r="I956" s="754">
        <v>329527.38</v>
      </c>
      <c r="J956" s="754">
        <v>0</v>
      </c>
      <c r="K956" s="754">
        <v>0</v>
      </c>
      <c r="L956" s="754">
        <v>63127.85</v>
      </c>
      <c r="M956" s="754">
        <f t="shared" si="53"/>
        <v>63127.85</v>
      </c>
      <c r="N956" s="756">
        <v>329527.38</v>
      </c>
      <c r="O956" s="720">
        <f t="shared" si="54"/>
        <v>0</v>
      </c>
    </row>
    <row r="957" spans="1:15" outlineLevel="2" x14ac:dyDescent="0.25">
      <c r="A957" s="207" t="str">
        <f>VLOOKUP(RIGHT(E957,3)+0,SchLocTable!$A$2:$B$47,2,FALSE)</f>
        <v>Blackham</v>
      </c>
      <c r="B957" s="207" t="str">
        <f>VLOOKUP(VALUE(D957),$D$3:F$106,3,FALSE)</f>
        <v>Kindergarten Teachers</v>
      </c>
      <c r="C957" s="751" t="s">
        <v>246</v>
      </c>
      <c r="D957" s="751" t="s">
        <v>424</v>
      </c>
      <c r="E957" s="751" t="s">
        <v>448</v>
      </c>
      <c r="F957" s="751" t="s">
        <v>257</v>
      </c>
      <c r="G957" s="752" t="s">
        <v>1681</v>
      </c>
      <c r="H957" s="753">
        <v>51140</v>
      </c>
      <c r="I957" s="754">
        <v>1200</v>
      </c>
      <c r="J957" s="754">
        <v>0</v>
      </c>
      <c r="K957" s="754">
        <v>0</v>
      </c>
      <c r="L957" s="754">
        <v>0</v>
      </c>
      <c r="M957" s="754">
        <f t="shared" si="53"/>
        <v>0</v>
      </c>
      <c r="N957" s="756">
        <v>1200</v>
      </c>
      <c r="O957" s="720">
        <f t="shared" si="54"/>
        <v>0</v>
      </c>
    </row>
    <row r="958" spans="1:15" outlineLevel="2" x14ac:dyDescent="0.25">
      <c r="A958" s="207" t="str">
        <f>VLOOKUP(RIGHT(E958,3)+0,SchLocTable!$A$2:$B$47,2,FALSE)</f>
        <v>Blackham</v>
      </c>
      <c r="B958" s="207" t="str">
        <f>VLOOKUP(VALUE(D958),$D$3:F$106,3,FALSE)</f>
        <v>Kindergarten Teachers</v>
      </c>
      <c r="C958" s="751" t="s">
        <v>246</v>
      </c>
      <c r="D958" s="751" t="s">
        <v>424</v>
      </c>
      <c r="E958" s="751" t="s">
        <v>448</v>
      </c>
      <c r="F958" s="751" t="s">
        <v>254</v>
      </c>
      <c r="G958" s="752" t="s">
        <v>1681</v>
      </c>
      <c r="H958" s="753">
        <v>52360</v>
      </c>
      <c r="I958" s="754">
        <v>4753.24</v>
      </c>
      <c r="J958" s="754">
        <v>0</v>
      </c>
      <c r="K958" s="754">
        <v>0</v>
      </c>
      <c r="L958" s="754">
        <v>890.45</v>
      </c>
      <c r="M958" s="754">
        <f t="shared" si="53"/>
        <v>890.45</v>
      </c>
      <c r="N958" s="756">
        <v>4753.24</v>
      </c>
      <c r="O958" s="720">
        <f t="shared" si="54"/>
        <v>0</v>
      </c>
    </row>
    <row r="959" spans="1:15" outlineLevel="2" x14ac:dyDescent="0.25">
      <c r="A959" s="207" t="str">
        <f>VLOOKUP(RIGHT(E959,3)+0,SchLocTable!$A$2:$B$47,2,FALSE)</f>
        <v>Blackham</v>
      </c>
      <c r="B959" s="207" t="str">
        <f>VLOOKUP(VALUE(D959),$D$3:F$106,3,FALSE)</f>
        <v>Kindergarten Teachers</v>
      </c>
      <c r="C959" s="751" t="s">
        <v>246</v>
      </c>
      <c r="D959" s="751" t="s">
        <v>424</v>
      </c>
      <c r="E959" s="751" t="s">
        <v>448</v>
      </c>
      <c r="F959" s="751" t="s">
        <v>259</v>
      </c>
      <c r="G959" s="752" t="s">
        <v>1681</v>
      </c>
      <c r="H959" s="753">
        <v>52917</v>
      </c>
      <c r="I959" s="754">
        <v>25005.96</v>
      </c>
      <c r="J959" s="754">
        <v>0</v>
      </c>
      <c r="K959" s="754">
        <v>0</v>
      </c>
      <c r="L959" s="754">
        <v>5953.8</v>
      </c>
      <c r="M959" s="754">
        <f t="shared" ref="M959:M1022" si="55">SUM(J959:L959)</f>
        <v>5953.8</v>
      </c>
      <c r="N959" s="756">
        <v>25005.96</v>
      </c>
      <c r="O959" s="720">
        <f t="shared" ref="O959:O1022" si="56">I959-N959</f>
        <v>0</v>
      </c>
    </row>
    <row r="960" spans="1:15" outlineLevel="2" x14ac:dyDescent="0.25">
      <c r="A960" s="207" t="str">
        <f>VLOOKUP(RIGHT(E960,3)+0,SchLocTable!$A$2:$B$47,2,FALSE)</f>
        <v>Dunbar</v>
      </c>
      <c r="B960" s="207" t="str">
        <f>VLOOKUP(VALUE(D960),$D$3:F$106,3,FALSE)</f>
        <v>Kindergarten Teachers</v>
      </c>
      <c r="C960" s="751" t="s">
        <v>246</v>
      </c>
      <c r="D960" s="751" t="s">
        <v>424</v>
      </c>
      <c r="E960" s="751" t="s">
        <v>449</v>
      </c>
      <c r="F960" s="751" t="s">
        <v>248</v>
      </c>
      <c r="G960" s="752">
        <v>2</v>
      </c>
      <c r="H960" s="753">
        <v>51000</v>
      </c>
      <c r="I960" s="754">
        <v>158738.10999999999</v>
      </c>
      <c r="J960" s="754">
        <v>0</v>
      </c>
      <c r="K960" s="754">
        <v>0</v>
      </c>
      <c r="L960" s="754">
        <v>30409.599999999999</v>
      </c>
      <c r="M960" s="754">
        <f t="shared" si="55"/>
        <v>30409.599999999999</v>
      </c>
      <c r="N960" s="756">
        <v>158738.10999999999</v>
      </c>
      <c r="O960" s="720">
        <f t="shared" si="56"/>
        <v>0</v>
      </c>
    </row>
    <row r="961" spans="1:15" outlineLevel="2" x14ac:dyDescent="0.25">
      <c r="A961" s="207" t="str">
        <f>VLOOKUP(RIGHT(E961,3)+0,SchLocTable!$A$2:$B$47,2,FALSE)</f>
        <v>Dunbar</v>
      </c>
      <c r="B961" s="207" t="str">
        <f>VLOOKUP(VALUE(D961),$D$3:F$106,3,FALSE)</f>
        <v>Kindergarten Teachers</v>
      </c>
      <c r="C961" s="751" t="s">
        <v>246</v>
      </c>
      <c r="D961" s="751" t="s">
        <v>424</v>
      </c>
      <c r="E961" s="751" t="s">
        <v>449</v>
      </c>
      <c r="F961" s="751" t="s">
        <v>254</v>
      </c>
      <c r="G961" s="752" t="s">
        <v>1681</v>
      </c>
      <c r="H961" s="753">
        <v>52360</v>
      </c>
      <c r="I961" s="754">
        <v>2271.85</v>
      </c>
      <c r="J961" s="754">
        <v>0</v>
      </c>
      <c r="K961" s="754">
        <v>0</v>
      </c>
      <c r="L961" s="754">
        <v>411.09</v>
      </c>
      <c r="M961" s="754">
        <f t="shared" si="55"/>
        <v>411.09</v>
      </c>
      <c r="N961" s="756">
        <v>2271.85</v>
      </c>
      <c r="O961" s="720">
        <f t="shared" si="56"/>
        <v>0</v>
      </c>
    </row>
    <row r="962" spans="1:15" outlineLevel="2" x14ac:dyDescent="0.25">
      <c r="A962" s="207" t="str">
        <f>VLOOKUP(RIGHT(E962,3)+0,SchLocTable!$A$2:$B$47,2,FALSE)</f>
        <v>Dunbar</v>
      </c>
      <c r="B962" s="207" t="str">
        <f>VLOOKUP(VALUE(D962),$D$3:F$106,3,FALSE)</f>
        <v>Kindergarten Teachers</v>
      </c>
      <c r="C962" s="751" t="s">
        <v>246</v>
      </c>
      <c r="D962" s="751" t="s">
        <v>424</v>
      </c>
      <c r="E962" s="751" t="s">
        <v>449</v>
      </c>
      <c r="F962" s="751" t="s">
        <v>806</v>
      </c>
      <c r="G962" s="752" t="s">
        <v>1681</v>
      </c>
      <c r="H962" s="753">
        <v>52397</v>
      </c>
      <c r="I962" s="754">
        <v>0</v>
      </c>
      <c r="J962" s="754">
        <v>0</v>
      </c>
      <c r="K962" s="754">
        <v>0</v>
      </c>
      <c r="L962" s="754">
        <v>0</v>
      </c>
      <c r="M962" s="754">
        <f t="shared" si="55"/>
        <v>0</v>
      </c>
      <c r="N962" s="756">
        <v>0</v>
      </c>
      <c r="O962" s="720">
        <f t="shared" si="56"/>
        <v>0</v>
      </c>
    </row>
    <row r="963" spans="1:15" outlineLevel="2" x14ac:dyDescent="0.25">
      <c r="A963" s="207" t="str">
        <f>VLOOKUP(RIGHT(E963,3)+0,SchLocTable!$A$2:$B$47,2,FALSE)</f>
        <v>Dunbar</v>
      </c>
      <c r="B963" s="207" t="str">
        <f>VLOOKUP(VALUE(D963),$D$3:F$106,3,FALSE)</f>
        <v>Kindergarten Teachers</v>
      </c>
      <c r="C963" s="751" t="s">
        <v>246</v>
      </c>
      <c r="D963" s="751" t="s">
        <v>424</v>
      </c>
      <c r="E963" s="751" t="s">
        <v>449</v>
      </c>
      <c r="F963" s="751" t="s">
        <v>259</v>
      </c>
      <c r="G963" s="752" t="s">
        <v>1681</v>
      </c>
      <c r="H963" s="753">
        <v>52917</v>
      </c>
      <c r="I963" s="754">
        <v>29796.06</v>
      </c>
      <c r="J963" s="754">
        <v>0</v>
      </c>
      <c r="K963" s="754">
        <v>0</v>
      </c>
      <c r="L963" s="754">
        <v>7094.3</v>
      </c>
      <c r="M963" s="754">
        <f t="shared" si="55"/>
        <v>7094.3</v>
      </c>
      <c r="N963" s="756">
        <v>29796.06</v>
      </c>
      <c r="O963" s="720">
        <f t="shared" si="56"/>
        <v>0</v>
      </c>
    </row>
    <row r="964" spans="1:15" outlineLevel="2" x14ac:dyDescent="0.25">
      <c r="A964" s="207" t="str">
        <f>VLOOKUP(RIGHT(E964,3)+0,SchLocTable!$A$2:$B$47,2,FALSE)</f>
        <v>Curiale</v>
      </c>
      <c r="B964" s="207" t="str">
        <f>VLOOKUP(VALUE(D964),$D$3:F$106,3,FALSE)</f>
        <v>Kindergarten Teachers</v>
      </c>
      <c r="C964" s="751" t="s">
        <v>246</v>
      </c>
      <c r="D964" s="751" t="s">
        <v>424</v>
      </c>
      <c r="E964" s="751" t="s">
        <v>450</v>
      </c>
      <c r="F964" s="751" t="s">
        <v>248</v>
      </c>
      <c r="G964" s="752">
        <v>3</v>
      </c>
      <c r="H964" s="753">
        <v>51000</v>
      </c>
      <c r="I964" s="754">
        <v>286937.40000000002</v>
      </c>
      <c r="J964" s="754">
        <v>0</v>
      </c>
      <c r="K964" s="754">
        <v>0</v>
      </c>
      <c r="L964" s="754">
        <v>54968.85</v>
      </c>
      <c r="M964" s="754">
        <f t="shared" si="55"/>
        <v>54968.85</v>
      </c>
      <c r="N964" s="756">
        <v>286937.40000000002</v>
      </c>
      <c r="O964" s="720">
        <f t="shared" si="56"/>
        <v>0</v>
      </c>
    </row>
    <row r="965" spans="1:15" outlineLevel="2" x14ac:dyDescent="0.25">
      <c r="A965" s="207" t="str">
        <f>VLOOKUP(RIGHT(E965,3)+0,SchLocTable!$A$2:$B$47,2,FALSE)</f>
        <v>Curiale</v>
      </c>
      <c r="B965" s="207" t="str">
        <f>VLOOKUP(VALUE(D965),$D$3:F$106,3,FALSE)</f>
        <v>Kindergarten Teachers</v>
      </c>
      <c r="C965" s="751" t="s">
        <v>246</v>
      </c>
      <c r="D965" s="751" t="s">
        <v>424</v>
      </c>
      <c r="E965" s="751" t="s">
        <v>450</v>
      </c>
      <c r="F965" s="751" t="s">
        <v>257</v>
      </c>
      <c r="G965" s="752" t="s">
        <v>1681</v>
      </c>
      <c r="H965" s="753">
        <v>51140</v>
      </c>
      <c r="I965" s="754">
        <v>1800</v>
      </c>
      <c r="J965" s="754">
        <v>0</v>
      </c>
      <c r="K965" s="754">
        <v>0</v>
      </c>
      <c r="L965" s="754">
        <v>0</v>
      </c>
      <c r="M965" s="754">
        <f t="shared" si="55"/>
        <v>0</v>
      </c>
      <c r="N965" s="756">
        <v>1800</v>
      </c>
      <c r="O965" s="720">
        <f t="shared" si="56"/>
        <v>0</v>
      </c>
    </row>
    <row r="966" spans="1:15" outlineLevel="2" x14ac:dyDescent="0.25">
      <c r="A966" s="207" t="str">
        <f>VLOOKUP(RIGHT(E966,3)+0,SchLocTable!$A$2:$B$47,2,FALSE)</f>
        <v>Curiale</v>
      </c>
      <c r="B966" s="207" t="str">
        <f>VLOOKUP(VALUE(D966),$D$3:F$106,3,FALSE)</f>
        <v>Kindergarten Teachers</v>
      </c>
      <c r="C966" s="751" t="s">
        <v>246</v>
      </c>
      <c r="D966" s="751" t="s">
        <v>424</v>
      </c>
      <c r="E966" s="751" t="s">
        <v>450</v>
      </c>
      <c r="F966" s="751" t="s">
        <v>254</v>
      </c>
      <c r="G966" s="752" t="s">
        <v>1681</v>
      </c>
      <c r="H966" s="753">
        <v>52360</v>
      </c>
      <c r="I966" s="754">
        <v>4060.28</v>
      </c>
      <c r="J966" s="754">
        <v>0</v>
      </c>
      <c r="K966" s="754">
        <v>0</v>
      </c>
      <c r="L966" s="754">
        <v>696.74</v>
      </c>
      <c r="M966" s="754">
        <f t="shared" si="55"/>
        <v>696.74</v>
      </c>
      <c r="N966" s="756">
        <v>4060.28</v>
      </c>
      <c r="O966" s="720">
        <f t="shared" si="56"/>
        <v>0</v>
      </c>
    </row>
    <row r="967" spans="1:15" outlineLevel="2" x14ac:dyDescent="0.25">
      <c r="A967" s="207" t="str">
        <f>VLOOKUP(RIGHT(E967,3)+0,SchLocTable!$A$2:$B$47,2,FALSE)</f>
        <v>Curiale</v>
      </c>
      <c r="B967" s="207" t="str">
        <f>VLOOKUP(VALUE(D967),$D$3:F$106,3,FALSE)</f>
        <v>Kindergarten Teachers</v>
      </c>
      <c r="C967" s="755" t="s">
        <v>246</v>
      </c>
      <c r="D967" s="751" t="s">
        <v>424</v>
      </c>
      <c r="E967" s="751" t="s">
        <v>450</v>
      </c>
      <c r="F967" s="751" t="s">
        <v>259</v>
      </c>
      <c r="G967" s="752" t="s">
        <v>1681</v>
      </c>
      <c r="H967" s="753">
        <v>52917</v>
      </c>
      <c r="I967" s="754">
        <v>98629.86</v>
      </c>
      <c r="J967" s="754">
        <v>0</v>
      </c>
      <c r="K967" s="754">
        <v>0</v>
      </c>
      <c r="L967" s="754">
        <v>23483.3</v>
      </c>
      <c r="M967" s="754">
        <f t="shared" si="55"/>
        <v>23483.3</v>
      </c>
      <c r="N967" s="756">
        <v>98629.86</v>
      </c>
      <c r="O967" s="720">
        <f t="shared" si="56"/>
        <v>0</v>
      </c>
    </row>
    <row r="968" spans="1:15" outlineLevel="2" x14ac:dyDescent="0.25">
      <c r="A968" s="207" t="str">
        <f>VLOOKUP(RIGHT(E968,3)+0,SchLocTable!$A$2:$B$47,2,FALSE)</f>
        <v>High Horizons Magnet</v>
      </c>
      <c r="B968" s="207" t="str">
        <f>VLOOKUP(VALUE(D968),$D$3:F$106,3,FALSE)</f>
        <v>Kindergarten Teachers</v>
      </c>
      <c r="C968" s="751" t="s">
        <v>246</v>
      </c>
      <c r="D968" s="751" t="s">
        <v>424</v>
      </c>
      <c r="E968" s="751" t="s">
        <v>451</v>
      </c>
      <c r="F968" s="751" t="s">
        <v>248</v>
      </c>
      <c r="G968" s="752">
        <v>2</v>
      </c>
      <c r="H968" s="753">
        <v>51000</v>
      </c>
      <c r="I968" s="754">
        <v>206306.41</v>
      </c>
      <c r="J968" s="754">
        <v>0</v>
      </c>
      <c r="K968" s="754">
        <v>0</v>
      </c>
      <c r="L968" s="754">
        <v>39522.300000000003</v>
      </c>
      <c r="M968" s="754">
        <f t="shared" si="55"/>
        <v>39522.300000000003</v>
      </c>
      <c r="N968" s="756">
        <v>206306.41</v>
      </c>
      <c r="O968" s="720">
        <f t="shared" si="56"/>
        <v>0</v>
      </c>
    </row>
    <row r="969" spans="1:15" outlineLevel="2" x14ac:dyDescent="0.25">
      <c r="A969" s="207" t="str">
        <f>VLOOKUP(RIGHT(E969,3)+0,SchLocTable!$A$2:$B$47,2,FALSE)</f>
        <v>High Horizons Magnet</v>
      </c>
      <c r="B969" s="207" t="str">
        <f>VLOOKUP(VALUE(D969),$D$3:F$106,3,FALSE)</f>
        <v>Kindergarten Teachers</v>
      </c>
      <c r="C969" s="751" t="s">
        <v>246</v>
      </c>
      <c r="D969" s="751" t="s">
        <v>424</v>
      </c>
      <c r="E969" s="751" t="s">
        <v>451</v>
      </c>
      <c r="F969" s="751" t="s">
        <v>257</v>
      </c>
      <c r="G969" s="752" t="s">
        <v>1681</v>
      </c>
      <c r="H969" s="753">
        <v>51140</v>
      </c>
      <c r="I969" s="754">
        <v>2000</v>
      </c>
      <c r="J969" s="754">
        <v>0</v>
      </c>
      <c r="K969" s="754">
        <v>0</v>
      </c>
      <c r="L969" s="754">
        <v>0</v>
      </c>
      <c r="M969" s="754">
        <f t="shared" si="55"/>
        <v>0</v>
      </c>
      <c r="N969" s="756">
        <v>2000</v>
      </c>
      <c r="O969" s="720">
        <f t="shared" si="56"/>
        <v>0</v>
      </c>
    </row>
    <row r="970" spans="1:15" outlineLevel="2" x14ac:dyDescent="0.25">
      <c r="A970" s="207" t="str">
        <f>VLOOKUP(RIGHT(E970,3)+0,SchLocTable!$A$2:$B$47,2,FALSE)</f>
        <v>High Horizons Magnet</v>
      </c>
      <c r="B970" s="207" t="str">
        <f>VLOOKUP(VALUE(D970),$D$3:F$106,3,FALSE)</f>
        <v>Kindergarten Teachers</v>
      </c>
      <c r="C970" s="755" t="s">
        <v>246</v>
      </c>
      <c r="D970" s="751" t="s">
        <v>424</v>
      </c>
      <c r="E970" s="751" t="s">
        <v>451</v>
      </c>
      <c r="F970" s="751" t="s">
        <v>254</v>
      </c>
      <c r="G970" s="752" t="s">
        <v>1681</v>
      </c>
      <c r="H970" s="753">
        <v>52360</v>
      </c>
      <c r="I970" s="754">
        <v>2926.78</v>
      </c>
      <c r="J970" s="754">
        <v>0</v>
      </c>
      <c r="K970" s="754">
        <v>0</v>
      </c>
      <c r="L970" s="754">
        <v>508.41</v>
      </c>
      <c r="M970" s="754">
        <f t="shared" si="55"/>
        <v>508.41</v>
      </c>
      <c r="N970" s="756">
        <v>2926.78</v>
      </c>
      <c r="O970" s="720">
        <f t="shared" si="56"/>
        <v>0</v>
      </c>
    </row>
    <row r="971" spans="1:15" outlineLevel="2" x14ac:dyDescent="0.25">
      <c r="A971" s="207" t="str">
        <f>VLOOKUP(RIGHT(E971,3)+0,SchLocTable!$A$2:$B$47,2,FALSE)</f>
        <v>High Horizons Magnet</v>
      </c>
      <c r="B971" s="207" t="str">
        <f>VLOOKUP(VALUE(D971),$D$3:F$106,3,FALSE)</f>
        <v>Kindergarten Teachers</v>
      </c>
      <c r="C971" s="751" t="s">
        <v>246</v>
      </c>
      <c r="D971" s="751" t="s">
        <v>424</v>
      </c>
      <c r="E971" s="751" t="s">
        <v>451</v>
      </c>
      <c r="F971" s="751" t="s">
        <v>259</v>
      </c>
      <c r="G971" s="752" t="s">
        <v>1681</v>
      </c>
      <c r="H971" s="753">
        <v>52917</v>
      </c>
      <c r="I971" s="754">
        <v>63553.98</v>
      </c>
      <c r="J971" s="754">
        <v>0</v>
      </c>
      <c r="K971" s="754">
        <v>0</v>
      </c>
      <c r="L971" s="754">
        <v>15131.9</v>
      </c>
      <c r="M971" s="754">
        <f t="shared" si="55"/>
        <v>15131.9</v>
      </c>
      <c r="N971" s="756">
        <v>63553.98</v>
      </c>
      <c r="O971" s="720">
        <f t="shared" si="56"/>
        <v>0</v>
      </c>
    </row>
    <row r="972" spans="1:15" outlineLevel="2" x14ac:dyDescent="0.25">
      <c r="A972" s="207" t="str">
        <f>VLOOKUP(RIGHT(E972,3)+0,SchLocTable!$A$2:$B$47,2,FALSE)</f>
        <v>Multicultural Magnet</v>
      </c>
      <c r="B972" s="207" t="str">
        <f>VLOOKUP(VALUE(D972),$D$3:F$106,3,FALSE)</f>
        <v>Kindergarten Teachers</v>
      </c>
      <c r="C972" s="751" t="s">
        <v>246</v>
      </c>
      <c r="D972" s="751" t="s">
        <v>424</v>
      </c>
      <c r="E972" s="751" t="s">
        <v>452</v>
      </c>
      <c r="F972" s="751" t="s">
        <v>248</v>
      </c>
      <c r="G972" s="752">
        <v>2</v>
      </c>
      <c r="H972" s="753">
        <v>51000</v>
      </c>
      <c r="I972" s="754">
        <v>113460.28</v>
      </c>
      <c r="J972" s="754">
        <v>0</v>
      </c>
      <c r="K972" s="754">
        <v>0</v>
      </c>
      <c r="L972" s="754">
        <v>30068.23</v>
      </c>
      <c r="M972" s="754">
        <f t="shared" si="55"/>
        <v>30068.23</v>
      </c>
      <c r="N972" s="756">
        <v>113460.28</v>
      </c>
      <c r="O972" s="720">
        <f t="shared" si="56"/>
        <v>0</v>
      </c>
    </row>
    <row r="973" spans="1:15" outlineLevel="2" x14ac:dyDescent="0.25">
      <c r="A973" s="207" t="str">
        <f>VLOOKUP(RIGHT(E973,3)+0,SchLocTable!$A$2:$B$47,2,FALSE)</f>
        <v>Multicultural Magnet</v>
      </c>
      <c r="B973" s="207" t="str">
        <f>VLOOKUP(VALUE(D973),$D$3:F$106,3,FALSE)</f>
        <v>Kindergarten Teachers</v>
      </c>
      <c r="C973" s="751" t="s">
        <v>246</v>
      </c>
      <c r="D973" s="751" t="s">
        <v>424</v>
      </c>
      <c r="E973" s="751" t="s">
        <v>452</v>
      </c>
      <c r="F973" s="751" t="s">
        <v>254</v>
      </c>
      <c r="G973" s="752" t="s">
        <v>1681</v>
      </c>
      <c r="H973" s="753">
        <v>52360</v>
      </c>
      <c r="I973" s="754">
        <v>1616.64</v>
      </c>
      <c r="J973" s="754">
        <v>0</v>
      </c>
      <c r="K973" s="754">
        <v>0</v>
      </c>
      <c r="L973" s="754">
        <v>407.46</v>
      </c>
      <c r="M973" s="754">
        <f t="shared" si="55"/>
        <v>407.46</v>
      </c>
      <c r="N973" s="756">
        <v>1616.64</v>
      </c>
      <c r="O973" s="720">
        <f t="shared" si="56"/>
        <v>0</v>
      </c>
    </row>
    <row r="974" spans="1:15" outlineLevel="2" x14ac:dyDescent="0.25">
      <c r="A974" s="207" t="str">
        <f>VLOOKUP(RIGHT(E974,3)+0,SchLocTable!$A$2:$B$47,2,FALSE)</f>
        <v>Multicultural Magnet</v>
      </c>
      <c r="B974" s="207" t="str">
        <f>VLOOKUP(VALUE(D974),$D$3:F$106,3,FALSE)</f>
        <v>Kindergarten Teachers</v>
      </c>
      <c r="C974" s="751" t="s">
        <v>246</v>
      </c>
      <c r="D974" s="751" t="s">
        <v>424</v>
      </c>
      <c r="E974" s="751" t="s">
        <v>452</v>
      </c>
      <c r="F974" s="751" t="s">
        <v>259</v>
      </c>
      <c r="G974" s="752" t="s">
        <v>1681</v>
      </c>
      <c r="H974" s="753">
        <v>52917</v>
      </c>
      <c r="I974" s="754">
        <v>6681.12</v>
      </c>
      <c r="J974" s="754">
        <v>0</v>
      </c>
      <c r="K974" s="754">
        <v>0</v>
      </c>
      <c r="L974" s="754">
        <v>6681.12</v>
      </c>
      <c r="M974" s="754">
        <f t="shared" si="55"/>
        <v>6681.12</v>
      </c>
      <c r="N974" s="756">
        <v>6681.12</v>
      </c>
      <c r="O974" s="720">
        <f t="shared" si="56"/>
        <v>0</v>
      </c>
    </row>
    <row r="975" spans="1:15" outlineLevel="2" x14ac:dyDescent="0.25">
      <c r="A975" s="207" t="e">
        <f>VLOOKUP(RIGHT(E975,3)+0,SchLocTable!$A$2:$B$47,2,FALSE)</f>
        <v>#N/A</v>
      </c>
      <c r="B975" s="207" t="str">
        <f>VLOOKUP(VALUE(D975),$D$3:F$106,3,FALSE)</f>
        <v>Bilingual Education</v>
      </c>
      <c r="C975" s="751" t="s">
        <v>246</v>
      </c>
      <c r="D975" s="751" t="s">
        <v>453</v>
      </c>
      <c r="E975" s="751" t="s">
        <v>1497</v>
      </c>
      <c r="F975" s="751" t="s">
        <v>248</v>
      </c>
      <c r="G975" s="752">
        <v>5</v>
      </c>
      <c r="H975" s="753">
        <v>51000</v>
      </c>
      <c r="I975" s="754">
        <v>478270.01</v>
      </c>
      <c r="J975" s="754">
        <v>0</v>
      </c>
      <c r="K975" s="754">
        <v>0</v>
      </c>
      <c r="L975" s="754">
        <v>95963.05</v>
      </c>
      <c r="M975" s="754">
        <f t="shared" si="55"/>
        <v>95963.05</v>
      </c>
      <c r="N975" s="756">
        <v>478270.01</v>
      </c>
      <c r="O975" s="720">
        <f t="shared" si="56"/>
        <v>0</v>
      </c>
    </row>
    <row r="976" spans="1:15" outlineLevel="2" x14ac:dyDescent="0.25">
      <c r="A976" s="207" t="e">
        <f>VLOOKUP(RIGHT(E976,3)+0,SchLocTable!$A$2:$B$47,2,FALSE)</f>
        <v>#N/A</v>
      </c>
      <c r="B976" s="207" t="str">
        <f>VLOOKUP(VALUE(D976),$D$3:F$106,3,FALSE)</f>
        <v>Bilingual Education</v>
      </c>
      <c r="C976" s="751" t="s">
        <v>246</v>
      </c>
      <c r="D976" s="751" t="s">
        <v>453</v>
      </c>
      <c r="E976" s="751" t="s">
        <v>1497</v>
      </c>
      <c r="F976" s="751" t="s">
        <v>257</v>
      </c>
      <c r="G976" s="752" t="s">
        <v>1681</v>
      </c>
      <c r="H976" s="753">
        <v>51140</v>
      </c>
      <c r="I976" s="754">
        <v>5800</v>
      </c>
      <c r="J976" s="754">
        <v>0</v>
      </c>
      <c r="K976" s="754">
        <v>0</v>
      </c>
      <c r="L976" s="754">
        <v>0</v>
      </c>
      <c r="M976" s="754">
        <f t="shared" si="55"/>
        <v>0</v>
      </c>
      <c r="N976" s="756">
        <v>5800</v>
      </c>
      <c r="O976" s="720">
        <f t="shared" si="56"/>
        <v>0</v>
      </c>
    </row>
    <row r="977" spans="1:15" outlineLevel="2" x14ac:dyDescent="0.25">
      <c r="A977" s="207" t="e">
        <f>VLOOKUP(RIGHT(E977,3)+0,SchLocTable!$A$2:$B$47,2,FALSE)</f>
        <v>#N/A</v>
      </c>
      <c r="B977" s="207" t="str">
        <f>VLOOKUP(VALUE(D977),$D$3:F$106,3,FALSE)</f>
        <v>Bilingual Education</v>
      </c>
      <c r="C977" s="751" t="s">
        <v>246</v>
      </c>
      <c r="D977" s="751" t="s">
        <v>453</v>
      </c>
      <c r="E977" s="751" t="s">
        <v>1497</v>
      </c>
      <c r="F977" s="751" t="s">
        <v>254</v>
      </c>
      <c r="G977" s="752" t="s">
        <v>1681</v>
      </c>
      <c r="H977" s="753">
        <v>52360</v>
      </c>
      <c r="I977" s="754">
        <v>6822.28</v>
      </c>
      <c r="J977" s="754">
        <v>0</v>
      </c>
      <c r="K977" s="754">
        <v>0</v>
      </c>
      <c r="L977" s="754">
        <v>1278.83</v>
      </c>
      <c r="M977" s="754">
        <f t="shared" si="55"/>
        <v>1278.83</v>
      </c>
      <c r="N977" s="756">
        <v>6822.28</v>
      </c>
      <c r="O977" s="720">
        <f t="shared" si="56"/>
        <v>0</v>
      </c>
    </row>
    <row r="978" spans="1:15" outlineLevel="2" x14ac:dyDescent="0.25">
      <c r="A978" s="207" t="e">
        <f>VLOOKUP(RIGHT(E978,3)+0,SchLocTable!$A$2:$B$47,2,FALSE)</f>
        <v>#N/A</v>
      </c>
      <c r="B978" s="207" t="str">
        <f>VLOOKUP(VALUE(D978),$D$3:F$106,3,FALSE)</f>
        <v>Bilingual Education</v>
      </c>
      <c r="C978" s="751" t="s">
        <v>246</v>
      </c>
      <c r="D978" s="751" t="s">
        <v>453</v>
      </c>
      <c r="E978" s="751" t="s">
        <v>1497</v>
      </c>
      <c r="F978" s="751" t="s">
        <v>259</v>
      </c>
      <c r="G978" s="752" t="s">
        <v>1681</v>
      </c>
      <c r="H978" s="753">
        <v>52917</v>
      </c>
      <c r="I978" s="754">
        <v>110913.18</v>
      </c>
      <c r="J978" s="754">
        <v>0</v>
      </c>
      <c r="K978" s="754">
        <v>0</v>
      </c>
      <c r="L978" s="754">
        <v>26407.9</v>
      </c>
      <c r="M978" s="754">
        <f t="shared" si="55"/>
        <v>26407.9</v>
      </c>
      <c r="N978" s="756">
        <v>110913.18</v>
      </c>
      <c r="O978" s="720">
        <f t="shared" si="56"/>
        <v>0</v>
      </c>
    </row>
    <row r="979" spans="1:15" outlineLevel="2" x14ac:dyDescent="0.25">
      <c r="A979" s="207" t="str">
        <f>VLOOKUP(RIGHT(E979,3)+0,SchLocTable!$A$2:$B$47,2,FALSE)</f>
        <v>Barnum</v>
      </c>
      <c r="B979" s="207" t="str">
        <f>VLOOKUP(VALUE(D979),$D$3:F$106,3,FALSE)</f>
        <v>Bilingual Education</v>
      </c>
      <c r="C979" s="751" t="s">
        <v>246</v>
      </c>
      <c r="D979" s="751" t="s">
        <v>453</v>
      </c>
      <c r="E979" s="751" t="s">
        <v>456</v>
      </c>
      <c r="F979" s="751" t="s">
        <v>248</v>
      </c>
      <c r="G979" s="752">
        <v>4</v>
      </c>
      <c r="H979" s="753">
        <v>51000</v>
      </c>
      <c r="I979" s="754">
        <v>286580.55</v>
      </c>
      <c r="J979" s="754">
        <v>0</v>
      </c>
      <c r="K979" s="754">
        <v>0</v>
      </c>
      <c r="L979" s="754">
        <v>57345.9</v>
      </c>
      <c r="M979" s="754">
        <f t="shared" si="55"/>
        <v>57345.9</v>
      </c>
      <c r="N979" s="756">
        <v>286580.55</v>
      </c>
      <c r="O979" s="720">
        <f t="shared" si="56"/>
        <v>0</v>
      </c>
    </row>
    <row r="980" spans="1:15" outlineLevel="2" x14ac:dyDescent="0.25">
      <c r="A980" s="207" t="str">
        <f>VLOOKUP(RIGHT(E980,3)+0,SchLocTable!$A$2:$B$47,2,FALSE)</f>
        <v>Barnum</v>
      </c>
      <c r="B980" s="207" t="str">
        <f>VLOOKUP(VALUE(D980),$D$3:F$106,3,FALSE)</f>
        <v>Bilingual Education</v>
      </c>
      <c r="C980" s="751" t="s">
        <v>246</v>
      </c>
      <c r="D980" s="751" t="s">
        <v>453</v>
      </c>
      <c r="E980" s="751" t="s">
        <v>456</v>
      </c>
      <c r="F980" s="751" t="s">
        <v>254</v>
      </c>
      <c r="G980" s="752" t="s">
        <v>1681</v>
      </c>
      <c r="H980" s="753">
        <v>52360</v>
      </c>
      <c r="I980" s="754">
        <v>4102.3100000000004</v>
      </c>
      <c r="J980" s="754">
        <v>0</v>
      </c>
      <c r="K980" s="754">
        <v>0</v>
      </c>
      <c r="L980" s="754">
        <v>778.41</v>
      </c>
      <c r="M980" s="754">
        <f t="shared" si="55"/>
        <v>778.41</v>
      </c>
      <c r="N980" s="756">
        <v>4102.3100000000004</v>
      </c>
      <c r="O980" s="720">
        <f t="shared" si="56"/>
        <v>0</v>
      </c>
    </row>
    <row r="981" spans="1:15" outlineLevel="2" x14ac:dyDescent="0.25">
      <c r="A981" s="207" t="str">
        <f>VLOOKUP(RIGHT(E981,3)+0,SchLocTable!$A$2:$B$47,2,FALSE)</f>
        <v>Barnum</v>
      </c>
      <c r="B981" s="207" t="str">
        <f>VLOOKUP(VALUE(D981),$D$3:F$106,3,FALSE)</f>
        <v>Bilingual Education</v>
      </c>
      <c r="C981" s="751" t="s">
        <v>246</v>
      </c>
      <c r="D981" s="751" t="s">
        <v>453</v>
      </c>
      <c r="E981" s="751" t="s">
        <v>456</v>
      </c>
      <c r="F981" s="751" t="s">
        <v>292</v>
      </c>
      <c r="G981" s="752" t="s">
        <v>1681</v>
      </c>
      <c r="H981" s="753">
        <v>52385</v>
      </c>
      <c r="I981" s="754">
        <v>0</v>
      </c>
      <c r="J981" s="754">
        <v>0</v>
      </c>
      <c r="K981" s="754">
        <v>0</v>
      </c>
      <c r="L981" s="754">
        <v>0</v>
      </c>
      <c r="M981" s="754">
        <f t="shared" si="55"/>
        <v>0</v>
      </c>
      <c r="N981" s="756">
        <v>0</v>
      </c>
      <c r="O981" s="720">
        <f t="shared" si="56"/>
        <v>0</v>
      </c>
    </row>
    <row r="982" spans="1:15" outlineLevel="2" x14ac:dyDescent="0.25">
      <c r="A982" s="207" t="str">
        <f>VLOOKUP(RIGHT(E982,3)+0,SchLocTable!$A$2:$B$47,2,FALSE)</f>
        <v>Barnum</v>
      </c>
      <c r="B982" s="207" t="str">
        <f>VLOOKUP(VALUE(D982),$D$3:F$106,3,FALSE)</f>
        <v>Bilingual Education</v>
      </c>
      <c r="C982" s="751" t="s">
        <v>246</v>
      </c>
      <c r="D982" s="751" t="s">
        <v>453</v>
      </c>
      <c r="E982" s="751" t="s">
        <v>456</v>
      </c>
      <c r="F982" s="751" t="s">
        <v>259</v>
      </c>
      <c r="G982" s="752" t="s">
        <v>1681</v>
      </c>
      <c r="H982" s="753">
        <v>52917</v>
      </c>
      <c r="I982" s="754">
        <v>52166.1</v>
      </c>
      <c r="J982" s="754">
        <v>0</v>
      </c>
      <c r="K982" s="754">
        <v>0</v>
      </c>
      <c r="L982" s="754">
        <v>12420.5</v>
      </c>
      <c r="M982" s="754">
        <f t="shared" si="55"/>
        <v>12420.5</v>
      </c>
      <c r="N982" s="756">
        <v>52166.1</v>
      </c>
      <c r="O982" s="720">
        <f t="shared" si="56"/>
        <v>0</v>
      </c>
    </row>
    <row r="983" spans="1:15" outlineLevel="2" x14ac:dyDescent="0.25">
      <c r="A983" s="207" t="str">
        <f>VLOOKUP(RIGHT(E983,3)+0,SchLocTable!$A$2:$B$47,2,FALSE)</f>
        <v>Beardsley</v>
      </c>
      <c r="B983" s="207" t="str">
        <f>VLOOKUP(VALUE(D983),$D$3:F$106,3,FALSE)</f>
        <v>Bilingual Education</v>
      </c>
      <c r="C983" s="751" t="s">
        <v>246</v>
      </c>
      <c r="D983" s="751" t="s">
        <v>453</v>
      </c>
      <c r="E983" s="751" t="s">
        <v>1399</v>
      </c>
      <c r="F983" s="751" t="s">
        <v>248</v>
      </c>
      <c r="G983" s="752" t="s">
        <v>1681</v>
      </c>
      <c r="H983" s="753">
        <v>51000</v>
      </c>
      <c r="I983" s="754">
        <v>0</v>
      </c>
      <c r="J983" s="754">
        <v>0</v>
      </c>
      <c r="K983" s="754">
        <v>0</v>
      </c>
      <c r="L983" s="754">
        <v>0</v>
      </c>
      <c r="M983" s="754">
        <f t="shared" si="55"/>
        <v>0</v>
      </c>
      <c r="N983" s="756">
        <v>0</v>
      </c>
      <c r="O983" s="720">
        <f t="shared" si="56"/>
        <v>0</v>
      </c>
    </row>
    <row r="984" spans="1:15" outlineLevel="2" x14ac:dyDescent="0.25">
      <c r="A984" s="207" t="str">
        <f>VLOOKUP(RIGHT(E984,3)+0,SchLocTable!$A$2:$B$47,2,FALSE)</f>
        <v>Beardsley</v>
      </c>
      <c r="B984" s="207" t="str">
        <f>VLOOKUP(VALUE(D984),$D$3:F$106,3,FALSE)</f>
        <v>Bilingual Education</v>
      </c>
      <c r="C984" s="751" t="s">
        <v>246</v>
      </c>
      <c r="D984" s="751" t="s">
        <v>453</v>
      </c>
      <c r="E984" s="751" t="s">
        <v>1399</v>
      </c>
      <c r="F984" s="751" t="s">
        <v>254</v>
      </c>
      <c r="G984" s="752" t="s">
        <v>1681</v>
      </c>
      <c r="H984" s="753">
        <v>52360</v>
      </c>
      <c r="I984" s="754">
        <v>0</v>
      </c>
      <c r="J984" s="754">
        <v>0</v>
      </c>
      <c r="K984" s="754">
        <v>0</v>
      </c>
      <c r="L984" s="754">
        <v>0</v>
      </c>
      <c r="M984" s="754">
        <f t="shared" si="55"/>
        <v>0</v>
      </c>
      <c r="N984" s="756">
        <v>0</v>
      </c>
      <c r="O984" s="720">
        <f t="shared" si="56"/>
        <v>0</v>
      </c>
    </row>
    <row r="985" spans="1:15" outlineLevel="2" x14ac:dyDescent="0.25">
      <c r="A985" s="207" t="str">
        <f>VLOOKUP(RIGHT(E985,3)+0,SchLocTable!$A$2:$B$47,2,FALSE)</f>
        <v>Beardsley</v>
      </c>
      <c r="B985" s="207" t="str">
        <f>VLOOKUP(VALUE(D985),$D$3:F$106,3,FALSE)</f>
        <v>Bilingual Education</v>
      </c>
      <c r="C985" s="751" t="s">
        <v>246</v>
      </c>
      <c r="D985" s="751" t="s">
        <v>453</v>
      </c>
      <c r="E985" s="751" t="s">
        <v>1399</v>
      </c>
      <c r="F985" s="751" t="s">
        <v>259</v>
      </c>
      <c r="G985" s="752" t="s">
        <v>1681</v>
      </c>
      <c r="H985" s="753">
        <v>52917</v>
      </c>
      <c r="I985" s="754">
        <v>0</v>
      </c>
      <c r="J985" s="754">
        <v>0</v>
      </c>
      <c r="K985" s="754">
        <v>0</v>
      </c>
      <c r="L985" s="754">
        <v>0</v>
      </c>
      <c r="M985" s="754">
        <f t="shared" si="55"/>
        <v>0</v>
      </c>
      <c r="N985" s="756">
        <v>0</v>
      </c>
      <c r="O985" s="720">
        <f t="shared" si="56"/>
        <v>0</v>
      </c>
    </row>
    <row r="986" spans="1:15" outlineLevel="2" x14ac:dyDescent="0.25">
      <c r="A986" s="207" t="str">
        <f>VLOOKUP(RIGHT(E986,3)+0,SchLocTable!$A$2:$B$47,2,FALSE)</f>
        <v>Black Rock</v>
      </c>
      <c r="B986" s="207" t="str">
        <f>VLOOKUP(VALUE(D986),$D$3:F$106,3,FALSE)</f>
        <v>Bilingual Education</v>
      </c>
      <c r="C986" s="751" t="s">
        <v>246</v>
      </c>
      <c r="D986" s="751" t="s">
        <v>453</v>
      </c>
      <c r="E986" s="751" t="s">
        <v>457</v>
      </c>
      <c r="F986" s="751" t="s">
        <v>248</v>
      </c>
      <c r="G986" s="752">
        <v>1</v>
      </c>
      <c r="H986" s="753">
        <v>51000</v>
      </c>
      <c r="I986" s="754">
        <v>94517.23</v>
      </c>
      <c r="J986" s="754">
        <v>0</v>
      </c>
      <c r="K986" s="754">
        <v>0</v>
      </c>
      <c r="L986" s="754">
        <v>18106.75</v>
      </c>
      <c r="M986" s="754">
        <f t="shared" si="55"/>
        <v>18106.75</v>
      </c>
      <c r="N986" s="756">
        <v>94517.23</v>
      </c>
      <c r="O986" s="720">
        <f t="shared" si="56"/>
        <v>0</v>
      </c>
    </row>
    <row r="987" spans="1:15" outlineLevel="2" x14ac:dyDescent="0.25">
      <c r="A987" s="207" t="str">
        <f>VLOOKUP(RIGHT(E987,3)+0,SchLocTable!$A$2:$B$47,2,FALSE)</f>
        <v>Black Rock</v>
      </c>
      <c r="B987" s="207" t="str">
        <f>VLOOKUP(VALUE(D987),$D$3:F$106,3,FALSE)</f>
        <v>Bilingual Education</v>
      </c>
      <c r="C987" s="751" t="s">
        <v>246</v>
      </c>
      <c r="D987" s="751" t="s">
        <v>453</v>
      </c>
      <c r="E987" s="751" t="s">
        <v>457</v>
      </c>
      <c r="F987" s="751" t="s">
        <v>254</v>
      </c>
      <c r="G987" s="752" t="s">
        <v>1681</v>
      </c>
      <c r="H987" s="753">
        <v>52360</v>
      </c>
      <c r="I987" s="754">
        <v>1341.48</v>
      </c>
      <c r="J987" s="754">
        <v>0</v>
      </c>
      <c r="K987" s="754">
        <v>0</v>
      </c>
      <c r="L987" s="754">
        <v>233.53</v>
      </c>
      <c r="M987" s="754">
        <f t="shared" si="55"/>
        <v>233.53</v>
      </c>
      <c r="N987" s="756">
        <v>1341.48</v>
      </c>
      <c r="O987" s="720">
        <f t="shared" si="56"/>
        <v>0</v>
      </c>
    </row>
    <row r="988" spans="1:15" outlineLevel="2" x14ac:dyDescent="0.25">
      <c r="A988" s="207" t="str">
        <f>VLOOKUP(RIGHT(E988,3)+0,SchLocTable!$A$2:$B$47,2,FALSE)</f>
        <v>Black Rock</v>
      </c>
      <c r="B988" s="207" t="str">
        <f>VLOOKUP(VALUE(D988),$D$3:F$106,3,FALSE)</f>
        <v>Bilingual Education</v>
      </c>
      <c r="C988" s="755" t="s">
        <v>246</v>
      </c>
      <c r="D988" s="751" t="s">
        <v>453</v>
      </c>
      <c r="E988" s="751" t="s">
        <v>457</v>
      </c>
      <c r="F988" s="751" t="s">
        <v>259</v>
      </c>
      <c r="G988" s="752" t="s">
        <v>1681</v>
      </c>
      <c r="H988" s="753">
        <v>52917</v>
      </c>
      <c r="I988" s="754">
        <v>28478.1</v>
      </c>
      <c r="J988" s="754">
        <v>0</v>
      </c>
      <c r="K988" s="754">
        <v>0</v>
      </c>
      <c r="L988" s="754">
        <v>6780.5</v>
      </c>
      <c r="M988" s="754">
        <f t="shared" si="55"/>
        <v>6780.5</v>
      </c>
      <c r="N988" s="756">
        <v>28478.1</v>
      </c>
      <c r="O988" s="720">
        <f t="shared" si="56"/>
        <v>0</v>
      </c>
    </row>
    <row r="989" spans="1:15" outlineLevel="2" x14ac:dyDescent="0.25">
      <c r="A989" s="207" t="str">
        <f>VLOOKUP(RIGHT(E989,3)+0,SchLocTable!$A$2:$B$47,2,FALSE)</f>
        <v>Bryant</v>
      </c>
      <c r="B989" s="207" t="str">
        <f>VLOOKUP(VALUE(D989),$D$3:F$106,3,FALSE)</f>
        <v>Bilingual Education</v>
      </c>
      <c r="C989" s="751" t="s">
        <v>246</v>
      </c>
      <c r="D989" s="751" t="s">
        <v>453</v>
      </c>
      <c r="E989" s="751" t="s">
        <v>458</v>
      </c>
      <c r="F989" s="751" t="s">
        <v>248</v>
      </c>
      <c r="G989" s="752" t="s">
        <v>1681</v>
      </c>
      <c r="H989" s="753">
        <v>51000</v>
      </c>
      <c r="I989" s="754">
        <v>10003.14</v>
      </c>
      <c r="J989" s="754">
        <v>0</v>
      </c>
      <c r="K989" s="754">
        <v>0</v>
      </c>
      <c r="L989" s="754">
        <v>10003.14</v>
      </c>
      <c r="M989" s="754">
        <f t="shared" si="55"/>
        <v>10003.14</v>
      </c>
      <c r="N989" s="756">
        <v>10003.14</v>
      </c>
      <c r="O989" s="720">
        <f t="shared" si="56"/>
        <v>0</v>
      </c>
    </row>
    <row r="990" spans="1:15" outlineLevel="2" x14ac:dyDescent="0.25">
      <c r="A990" s="207" t="str">
        <f>VLOOKUP(RIGHT(E990,3)+0,SchLocTable!$A$2:$B$47,2,FALSE)</f>
        <v>Bryant</v>
      </c>
      <c r="B990" s="207" t="str">
        <f>VLOOKUP(VALUE(D990),$D$3:F$106,3,FALSE)</f>
        <v>Bilingual Education</v>
      </c>
      <c r="C990" s="751" t="s">
        <v>246</v>
      </c>
      <c r="D990" s="751" t="s">
        <v>453</v>
      </c>
      <c r="E990" s="751" t="s">
        <v>458</v>
      </c>
      <c r="F990" s="751" t="s">
        <v>254</v>
      </c>
      <c r="G990" s="752" t="s">
        <v>1681</v>
      </c>
      <c r="H990" s="753">
        <v>52360</v>
      </c>
      <c r="I990" s="754">
        <v>145.04</v>
      </c>
      <c r="J990" s="754">
        <v>0</v>
      </c>
      <c r="K990" s="754">
        <v>0</v>
      </c>
      <c r="L990" s="754">
        <v>145.04</v>
      </c>
      <c r="M990" s="754">
        <f t="shared" si="55"/>
        <v>145.04</v>
      </c>
      <c r="N990" s="756">
        <v>145.04</v>
      </c>
      <c r="O990" s="720">
        <f t="shared" si="56"/>
        <v>0</v>
      </c>
    </row>
    <row r="991" spans="1:15" outlineLevel="2" x14ac:dyDescent="0.25">
      <c r="A991" s="207" t="str">
        <f>VLOOKUP(RIGHT(E991,3)+0,SchLocTable!$A$2:$B$47,2,FALSE)</f>
        <v>Bryant</v>
      </c>
      <c r="B991" s="207" t="str">
        <f>VLOOKUP(VALUE(D991),$D$3:F$106,3,FALSE)</f>
        <v>Bilingual Education</v>
      </c>
      <c r="C991" s="751" t="s">
        <v>246</v>
      </c>
      <c r="D991" s="751" t="s">
        <v>453</v>
      </c>
      <c r="E991" s="751" t="s">
        <v>458</v>
      </c>
      <c r="F991" s="751" t="s">
        <v>259</v>
      </c>
      <c r="G991" s="752" t="s">
        <v>1681</v>
      </c>
      <c r="H991" s="753">
        <v>52917</v>
      </c>
      <c r="I991" s="754">
        <v>0</v>
      </c>
      <c r="J991" s="754">
        <v>0</v>
      </c>
      <c r="K991" s="754">
        <v>0</v>
      </c>
      <c r="L991" s="754">
        <v>0</v>
      </c>
      <c r="M991" s="754">
        <f t="shared" si="55"/>
        <v>0</v>
      </c>
      <c r="N991" s="756">
        <v>0</v>
      </c>
      <c r="O991" s="720">
        <f t="shared" si="56"/>
        <v>0</v>
      </c>
    </row>
    <row r="992" spans="1:15" outlineLevel="2" x14ac:dyDescent="0.25">
      <c r="A992" s="207" t="str">
        <f>VLOOKUP(RIGHT(E992,3)+0,SchLocTable!$A$2:$B$47,2,FALSE)</f>
        <v>Columbus</v>
      </c>
      <c r="B992" s="207" t="str">
        <f>VLOOKUP(VALUE(D992),$D$3:F$106,3,FALSE)</f>
        <v>Bilingual Education</v>
      </c>
      <c r="C992" s="751" t="s">
        <v>246</v>
      </c>
      <c r="D992" s="751" t="s">
        <v>453</v>
      </c>
      <c r="E992" s="751" t="s">
        <v>459</v>
      </c>
      <c r="F992" s="751" t="s">
        <v>248</v>
      </c>
      <c r="G992" s="752">
        <v>5</v>
      </c>
      <c r="H992" s="753">
        <v>51000</v>
      </c>
      <c r="I992" s="754">
        <v>319393.58</v>
      </c>
      <c r="J992" s="754">
        <v>0</v>
      </c>
      <c r="K992" s="754">
        <v>0</v>
      </c>
      <c r="L992" s="754">
        <v>70623.02</v>
      </c>
      <c r="M992" s="754">
        <f t="shared" si="55"/>
        <v>70623.02</v>
      </c>
      <c r="N992" s="756">
        <v>319393.58</v>
      </c>
      <c r="O992" s="720">
        <f t="shared" si="56"/>
        <v>0</v>
      </c>
    </row>
    <row r="993" spans="1:15" outlineLevel="2" x14ac:dyDescent="0.25">
      <c r="A993" s="207" t="str">
        <f>VLOOKUP(RIGHT(E993,3)+0,SchLocTable!$A$2:$B$47,2,FALSE)</f>
        <v>Columbus</v>
      </c>
      <c r="B993" s="207" t="str">
        <f>VLOOKUP(VALUE(D993),$D$3:F$106,3,FALSE)</f>
        <v>Bilingual Education</v>
      </c>
      <c r="C993" s="755" t="s">
        <v>246</v>
      </c>
      <c r="D993" s="751" t="s">
        <v>453</v>
      </c>
      <c r="E993" s="751" t="s">
        <v>459</v>
      </c>
      <c r="F993" s="751" t="s">
        <v>257</v>
      </c>
      <c r="G993" s="752" t="s">
        <v>1681</v>
      </c>
      <c r="H993" s="753">
        <v>51140</v>
      </c>
      <c r="I993" s="754">
        <v>1100</v>
      </c>
      <c r="J993" s="754">
        <v>0</v>
      </c>
      <c r="K993" s="754">
        <v>0</v>
      </c>
      <c r="L993" s="754">
        <v>0</v>
      </c>
      <c r="M993" s="754">
        <f t="shared" si="55"/>
        <v>0</v>
      </c>
      <c r="N993" s="756">
        <v>1100</v>
      </c>
      <c r="O993" s="720">
        <f t="shared" si="56"/>
        <v>0</v>
      </c>
    </row>
    <row r="994" spans="1:15" outlineLevel="2" x14ac:dyDescent="0.25">
      <c r="A994" s="207" t="str">
        <f>VLOOKUP(RIGHT(E994,3)+0,SchLocTable!$A$2:$B$47,2,FALSE)</f>
        <v>Columbus</v>
      </c>
      <c r="B994" s="207" t="str">
        <f>VLOOKUP(VALUE(D994),$D$3:F$106,3,FALSE)</f>
        <v>Bilingual Education</v>
      </c>
      <c r="C994" s="751" t="s">
        <v>246</v>
      </c>
      <c r="D994" s="751" t="s">
        <v>453</v>
      </c>
      <c r="E994" s="751" t="s">
        <v>459</v>
      </c>
      <c r="F994" s="751" t="s">
        <v>254</v>
      </c>
      <c r="G994" s="752" t="s">
        <v>1681</v>
      </c>
      <c r="H994" s="753">
        <v>52360</v>
      </c>
      <c r="I994" s="754">
        <v>4549.13</v>
      </c>
      <c r="J994" s="754">
        <v>0</v>
      </c>
      <c r="K994" s="754">
        <v>0</v>
      </c>
      <c r="L994" s="754">
        <v>941.96</v>
      </c>
      <c r="M994" s="754">
        <f t="shared" si="55"/>
        <v>941.96</v>
      </c>
      <c r="N994" s="756">
        <v>4549.13</v>
      </c>
      <c r="O994" s="720">
        <f t="shared" si="56"/>
        <v>0</v>
      </c>
    </row>
    <row r="995" spans="1:15" outlineLevel="2" x14ac:dyDescent="0.25">
      <c r="A995" s="207" t="str">
        <f>VLOOKUP(RIGHT(E995,3)+0,SchLocTable!$A$2:$B$47,2,FALSE)</f>
        <v>Columbus</v>
      </c>
      <c r="B995" s="207" t="str">
        <f>VLOOKUP(VALUE(D995),$D$3:F$106,3,FALSE)</f>
        <v>Bilingual Education</v>
      </c>
      <c r="C995" s="751" t="s">
        <v>246</v>
      </c>
      <c r="D995" s="751" t="s">
        <v>453</v>
      </c>
      <c r="E995" s="751" t="s">
        <v>459</v>
      </c>
      <c r="F995" s="751" t="s">
        <v>259</v>
      </c>
      <c r="G995" s="752" t="s">
        <v>1681</v>
      </c>
      <c r="H995" s="753">
        <v>52917</v>
      </c>
      <c r="I995" s="754">
        <v>80547.600000000006</v>
      </c>
      <c r="J995" s="754">
        <v>0</v>
      </c>
      <c r="K995" s="754">
        <v>0</v>
      </c>
      <c r="L995" s="754">
        <v>19178</v>
      </c>
      <c r="M995" s="754">
        <f t="shared" si="55"/>
        <v>19178</v>
      </c>
      <c r="N995" s="756">
        <v>80547.600000000006</v>
      </c>
      <c r="O995" s="720">
        <f t="shared" si="56"/>
        <v>0</v>
      </c>
    </row>
    <row r="996" spans="1:15" outlineLevel="2" x14ac:dyDescent="0.25">
      <c r="A996" s="207" t="str">
        <f>VLOOKUP(RIGHT(E996,3)+0,SchLocTable!$A$2:$B$47,2,FALSE)</f>
        <v>Marin</v>
      </c>
      <c r="B996" s="207" t="str">
        <f>VLOOKUP(VALUE(D996),$D$3:F$106,3,FALSE)</f>
        <v>Bilingual Education</v>
      </c>
      <c r="C996" s="751" t="s">
        <v>246</v>
      </c>
      <c r="D996" s="751" t="s">
        <v>453</v>
      </c>
      <c r="E996" s="751" t="s">
        <v>460</v>
      </c>
      <c r="F996" s="751" t="s">
        <v>248</v>
      </c>
      <c r="G996" s="752">
        <v>9</v>
      </c>
      <c r="H996" s="753">
        <v>51000</v>
      </c>
      <c r="I996" s="754">
        <v>820884.58</v>
      </c>
      <c r="J996" s="754">
        <v>0</v>
      </c>
      <c r="K996" s="754">
        <v>0</v>
      </c>
      <c r="L996" s="754">
        <v>161250.29999999999</v>
      </c>
      <c r="M996" s="754">
        <f t="shared" si="55"/>
        <v>161250.29999999999</v>
      </c>
      <c r="N996" s="756">
        <v>820884.58</v>
      </c>
      <c r="O996" s="720">
        <f t="shared" si="56"/>
        <v>0</v>
      </c>
    </row>
    <row r="997" spans="1:15" outlineLevel="2" x14ac:dyDescent="0.25">
      <c r="A997" s="207" t="str">
        <f>VLOOKUP(RIGHT(E997,3)+0,SchLocTable!$A$2:$B$47,2,FALSE)</f>
        <v>Marin</v>
      </c>
      <c r="B997" s="207" t="str">
        <f>VLOOKUP(VALUE(D997),$D$3:F$106,3,FALSE)</f>
        <v>Bilingual Education</v>
      </c>
      <c r="C997" s="751" t="s">
        <v>246</v>
      </c>
      <c r="D997" s="751" t="s">
        <v>453</v>
      </c>
      <c r="E997" s="751" t="s">
        <v>460</v>
      </c>
      <c r="F997" s="751" t="s">
        <v>257</v>
      </c>
      <c r="G997" s="752" t="s">
        <v>1681</v>
      </c>
      <c r="H997" s="753">
        <v>51140</v>
      </c>
      <c r="I997" s="754">
        <v>4700</v>
      </c>
      <c r="J997" s="754">
        <v>0</v>
      </c>
      <c r="K997" s="754">
        <v>0</v>
      </c>
      <c r="L997" s="754">
        <v>0</v>
      </c>
      <c r="M997" s="754">
        <f t="shared" si="55"/>
        <v>0</v>
      </c>
      <c r="N997" s="756">
        <v>4700</v>
      </c>
      <c r="O997" s="720">
        <f t="shared" si="56"/>
        <v>0</v>
      </c>
    </row>
    <row r="998" spans="1:15" outlineLevel="2" x14ac:dyDescent="0.25">
      <c r="A998" s="207" t="str">
        <f>VLOOKUP(RIGHT(E998,3)+0,SchLocTable!$A$2:$B$47,2,FALSE)</f>
        <v>Marin</v>
      </c>
      <c r="B998" s="207" t="str">
        <f>VLOOKUP(VALUE(D998),$D$3:F$106,3,FALSE)</f>
        <v>Bilingual Education</v>
      </c>
      <c r="C998" s="751" t="s">
        <v>246</v>
      </c>
      <c r="D998" s="751" t="s">
        <v>453</v>
      </c>
      <c r="E998" s="751" t="s">
        <v>460</v>
      </c>
      <c r="F998" s="751" t="s">
        <v>254</v>
      </c>
      <c r="G998" s="752" t="s">
        <v>1681</v>
      </c>
      <c r="H998" s="753">
        <v>52360</v>
      </c>
      <c r="I998" s="754">
        <v>11659.26</v>
      </c>
      <c r="J998" s="754">
        <v>0</v>
      </c>
      <c r="K998" s="754">
        <v>0</v>
      </c>
      <c r="L998" s="754">
        <v>2094.56</v>
      </c>
      <c r="M998" s="754">
        <f t="shared" si="55"/>
        <v>2094.56</v>
      </c>
      <c r="N998" s="756">
        <v>11659.26</v>
      </c>
      <c r="O998" s="720">
        <f t="shared" si="56"/>
        <v>0</v>
      </c>
    </row>
    <row r="999" spans="1:15" outlineLevel="2" x14ac:dyDescent="0.25">
      <c r="A999" s="207" t="str">
        <f>VLOOKUP(RIGHT(E999,3)+0,SchLocTable!$A$2:$B$47,2,FALSE)</f>
        <v>Marin</v>
      </c>
      <c r="B999" s="207" t="str">
        <f>VLOOKUP(VALUE(D999),$D$3:F$106,3,FALSE)</f>
        <v>Bilingual Education</v>
      </c>
      <c r="C999" s="751" t="s">
        <v>246</v>
      </c>
      <c r="D999" s="751" t="s">
        <v>453</v>
      </c>
      <c r="E999" s="751" t="s">
        <v>460</v>
      </c>
      <c r="F999" s="751" t="s">
        <v>292</v>
      </c>
      <c r="G999" s="752" t="s">
        <v>1681</v>
      </c>
      <c r="H999" s="753">
        <v>52385</v>
      </c>
      <c r="I999" s="754">
        <v>2377.46</v>
      </c>
      <c r="J999" s="754">
        <v>0</v>
      </c>
      <c r="K999" s="754">
        <v>0</v>
      </c>
      <c r="L999" s="754">
        <v>404.92</v>
      </c>
      <c r="M999" s="754">
        <f t="shared" si="55"/>
        <v>404.92</v>
      </c>
      <c r="N999" s="756">
        <v>2377.46</v>
      </c>
      <c r="O999" s="720">
        <f t="shared" si="56"/>
        <v>0</v>
      </c>
    </row>
    <row r="1000" spans="1:15" outlineLevel="2" x14ac:dyDescent="0.25">
      <c r="A1000" s="207" t="str">
        <f>VLOOKUP(RIGHT(E1000,3)+0,SchLocTable!$A$2:$B$47,2,FALSE)</f>
        <v>Marin</v>
      </c>
      <c r="B1000" s="207" t="str">
        <f>VLOOKUP(VALUE(D1000),$D$3:F$106,3,FALSE)</f>
        <v>Bilingual Education</v>
      </c>
      <c r="C1000" s="751" t="s">
        <v>246</v>
      </c>
      <c r="D1000" s="751" t="s">
        <v>453</v>
      </c>
      <c r="E1000" s="751" t="s">
        <v>460</v>
      </c>
      <c r="F1000" s="751" t="s">
        <v>259</v>
      </c>
      <c r="G1000" s="752" t="s">
        <v>1681</v>
      </c>
      <c r="H1000" s="753">
        <v>52917</v>
      </c>
      <c r="I1000" s="754">
        <v>256171.55</v>
      </c>
      <c r="J1000" s="754">
        <v>0</v>
      </c>
      <c r="K1000" s="754">
        <v>0</v>
      </c>
      <c r="L1000" s="754">
        <v>57031.839999999997</v>
      </c>
      <c r="M1000" s="754">
        <f t="shared" si="55"/>
        <v>57031.839999999997</v>
      </c>
      <c r="N1000" s="756">
        <v>256171.55</v>
      </c>
      <c r="O1000" s="720">
        <f t="shared" si="56"/>
        <v>0</v>
      </c>
    </row>
    <row r="1001" spans="1:15" outlineLevel="2" x14ac:dyDescent="0.25">
      <c r="A1001" s="207" t="str">
        <f>VLOOKUP(RIGHT(E1001,3)+0,SchLocTable!$A$2:$B$47,2,FALSE)</f>
        <v>Batalla</v>
      </c>
      <c r="B1001" s="207" t="str">
        <f>VLOOKUP(VALUE(D1001),$D$3:F$106,3,FALSE)</f>
        <v>Bilingual Education</v>
      </c>
      <c r="C1001" s="751" t="s">
        <v>246</v>
      </c>
      <c r="D1001" s="751" t="s">
        <v>453</v>
      </c>
      <c r="E1001" s="751" t="s">
        <v>461</v>
      </c>
      <c r="F1001" s="751" t="s">
        <v>248</v>
      </c>
      <c r="G1001" s="752">
        <v>14</v>
      </c>
      <c r="H1001" s="753">
        <v>51000</v>
      </c>
      <c r="I1001" s="754">
        <v>1113429.25</v>
      </c>
      <c r="J1001" s="754">
        <v>0</v>
      </c>
      <c r="K1001" s="754">
        <v>0</v>
      </c>
      <c r="L1001" s="754">
        <v>224591.99</v>
      </c>
      <c r="M1001" s="754">
        <f t="shared" si="55"/>
        <v>224591.99</v>
      </c>
      <c r="N1001" s="756">
        <v>1113429.25</v>
      </c>
      <c r="O1001" s="720">
        <f t="shared" si="56"/>
        <v>0</v>
      </c>
    </row>
    <row r="1002" spans="1:15" outlineLevel="2" x14ac:dyDescent="0.25">
      <c r="A1002" s="207" t="str">
        <f>VLOOKUP(RIGHT(E1002,3)+0,SchLocTable!$A$2:$B$47,2,FALSE)</f>
        <v>Batalla</v>
      </c>
      <c r="B1002" s="207" t="str">
        <f>VLOOKUP(VALUE(D1002),$D$3:F$106,3,FALSE)</f>
        <v>Bilingual Education</v>
      </c>
      <c r="C1002" s="751" t="s">
        <v>246</v>
      </c>
      <c r="D1002" s="751" t="s">
        <v>453</v>
      </c>
      <c r="E1002" s="751" t="s">
        <v>461</v>
      </c>
      <c r="F1002" s="751" t="s">
        <v>257</v>
      </c>
      <c r="G1002" s="752" t="s">
        <v>1681</v>
      </c>
      <c r="H1002" s="753">
        <v>51140</v>
      </c>
      <c r="I1002" s="754">
        <v>3800</v>
      </c>
      <c r="J1002" s="754">
        <v>0</v>
      </c>
      <c r="K1002" s="754">
        <v>0</v>
      </c>
      <c r="L1002" s="754">
        <v>0</v>
      </c>
      <c r="M1002" s="754">
        <f t="shared" si="55"/>
        <v>0</v>
      </c>
      <c r="N1002" s="756">
        <v>3800</v>
      </c>
      <c r="O1002" s="720">
        <f t="shared" si="56"/>
        <v>0</v>
      </c>
    </row>
    <row r="1003" spans="1:15" outlineLevel="2" x14ac:dyDescent="0.25">
      <c r="A1003" s="207" t="str">
        <f>VLOOKUP(RIGHT(E1003,3)+0,SchLocTable!$A$2:$B$47,2,FALSE)</f>
        <v>Batalla</v>
      </c>
      <c r="B1003" s="207" t="str">
        <f>VLOOKUP(VALUE(D1003),$D$3:F$106,3,FALSE)</f>
        <v>Bilingual Education</v>
      </c>
      <c r="C1003" s="751" t="s">
        <v>246</v>
      </c>
      <c r="D1003" s="751" t="s">
        <v>453</v>
      </c>
      <c r="E1003" s="751" t="s">
        <v>461</v>
      </c>
      <c r="F1003" s="751" t="s">
        <v>254</v>
      </c>
      <c r="G1003" s="752" t="s">
        <v>1681</v>
      </c>
      <c r="H1003" s="753">
        <v>52360</v>
      </c>
      <c r="I1003" s="754">
        <v>15893.02</v>
      </c>
      <c r="J1003" s="754">
        <v>0</v>
      </c>
      <c r="K1003" s="754">
        <v>0</v>
      </c>
      <c r="L1003" s="754">
        <v>3004.88</v>
      </c>
      <c r="M1003" s="754">
        <f t="shared" si="55"/>
        <v>3004.88</v>
      </c>
      <c r="N1003" s="756">
        <v>15893.02</v>
      </c>
      <c r="O1003" s="720">
        <f t="shared" si="56"/>
        <v>0</v>
      </c>
    </row>
    <row r="1004" spans="1:15" outlineLevel="2" x14ac:dyDescent="0.25">
      <c r="A1004" s="207" t="str">
        <f>VLOOKUP(RIGHT(E1004,3)+0,SchLocTable!$A$2:$B$47,2,FALSE)</f>
        <v>Batalla</v>
      </c>
      <c r="B1004" s="207" t="str">
        <f>VLOOKUP(VALUE(D1004),$D$3:F$106,3,FALSE)</f>
        <v>Bilingual Education</v>
      </c>
      <c r="C1004" s="755" t="s">
        <v>246</v>
      </c>
      <c r="D1004" s="751" t="s">
        <v>453</v>
      </c>
      <c r="E1004" s="751" t="s">
        <v>461</v>
      </c>
      <c r="F1004" s="751" t="s">
        <v>292</v>
      </c>
      <c r="G1004" s="752" t="s">
        <v>1681</v>
      </c>
      <c r="H1004" s="753">
        <v>52385</v>
      </c>
      <c r="I1004" s="754">
        <v>3044.2</v>
      </c>
      <c r="J1004" s="754">
        <v>0</v>
      </c>
      <c r="K1004" s="754">
        <v>0</v>
      </c>
      <c r="L1004" s="754">
        <v>519.25</v>
      </c>
      <c r="M1004" s="754">
        <f t="shared" si="55"/>
        <v>519.25</v>
      </c>
      <c r="N1004" s="756">
        <v>3044.2</v>
      </c>
      <c r="O1004" s="720">
        <f t="shared" si="56"/>
        <v>0</v>
      </c>
    </row>
    <row r="1005" spans="1:15" outlineLevel="2" x14ac:dyDescent="0.25">
      <c r="A1005" s="207" t="str">
        <f>VLOOKUP(RIGHT(E1005,3)+0,SchLocTable!$A$2:$B$47,2,FALSE)</f>
        <v>Batalla</v>
      </c>
      <c r="B1005" s="207" t="str">
        <f>VLOOKUP(VALUE(D1005),$D$3:F$106,3,FALSE)</f>
        <v>Bilingual Education</v>
      </c>
      <c r="C1005" s="751" t="s">
        <v>246</v>
      </c>
      <c r="D1005" s="751" t="s">
        <v>453</v>
      </c>
      <c r="E1005" s="751" t="s">
        <v>461</v>
      </c>
      <c r="F1005" s="751" t="s">
        <v>806</v>
      </c>
      <c r="G1005" s="752" t="s">
        <v>1681</v>
      </c>
      <c r="H1005" s="753">
        <v>52397</v>
      </c>
      <c r="I1005" s="754">
        <v>0</v>
      </c>
      <c r="J1005" s="754">
        <v>0</v>
      </c>
      <c r="K1005" s="754">
        <v>0</v>
      </c>
      <c r="L1005" s="754">
        <v>0</v>
      </c>
      <c r="M1005" s="754">
        <f t="shared" si="55"/>
        <v>0</v>
      </c>
      <c r="N1005" s="756">
        <v>0</v>
      </c>
      <c r="O1005" s="720">
        <f t="shared" si="56"/>
        <v>0</v>
      </c>
    </row>
    <row r="1006" spans="1:15" outlineLevel="2" x14ac:dyDescent="0.25">
      <c r="A1006" s="207" t="str">
        <f>VLOOKUP(RIGHT(E1006,3)+0,SchLocTable!$A$2:$B$47,2,FALSE)</f>
        <v>Batalla</v>
      </c>
      <c r="B1006" s="207" t="str">
        <f>VLOOKUP(VALUE(D1006),$D$3:F$106,3,FALSE)</f>
        <v>Bilingual Education</v>
      </c>
      <c r="C1006" s="751" t="s">
        <v>246</v>
      </c>
      <c r="D1006" s="751" t="s">
        <v>453</v>
      </c>
      <c r="E1006" s="751" t="s">
        <v>461</v>
      </c>
      <c r="F1006" s="751" t="s">
        <v>259</v>
      </c>
      <c r="G1006" s="752" t="s">
        <v>1681</v>
      </c>
      <c r="H1006" s="753">
        <v>52917</v>
      </c>
      <c r="I1006" s="754">
        <v>244635.72</v>
      </c>
      <c r="J1006" s="754">
        <v>0</v>
      </c>
      <c r="K1006" s="754">
        <v>0</v>
      </c>
      <c r="L1006" s="754">
        <v>58246.6</v>
      </c>
      <c r="M1006" s="754">
        <f t="shared" si="55"/>
        <v>58246.6</v>
      </c>
      <c r="N1006" s="756">
        <v>244635.72</v>
      </c>
      <c r="O1006" s="720">
        <f t="shared" si="56"/>
        <v>0</v>
      </c>
    </row>
    <row r="1007" spans="1:15" outlineLevel="2" x14ac:dyDescent="0.25">
      <c r="A1007" s="207" t="str">
        <f>VLOOKUP(RIGHT(E1007,3)+0,SchLocTable!$A$2:$B$47,2,FALSE)</f>
        <v>Madison</v>
      </c>
      <c r="B1007" s="207" t="str">
        <f>VLOOKUP(VALUE(D1007),$D$3:F$106,3,FALSE)</f>
        <v>Bilingual Education</v>
      </c>
      <c r="C1007" s="751" t="s">
        <v>246</v>
      </c>
      <c r="D1007" s="751" t="s">
        <v>453</v>
      </c>
      <c r="E1007" s="751" t="s">
        <v>462</v>
      </c>
      <c r="F1007" s="751" t="s">
        <v>248</v>
      </c>
      <c r="G1007" s="752">
        <v>1</v>
      </c>
      <c r="H1007" s="753">
        <v>51000</v>
      </c>
      <c r="I1007" s="754">
        <v>103153.2</v>
      </c>
      <c r="J1007" s="754">
        <v>0</v>
      </c>
      <c r="K1007" s="754">
        <v>0</v>
      </c>
      <c r="L1007" s="754">
        <v>19761.150000000001</v>
      </c>
      <c r="M1007" s="754">
        <f t="shared" si="55"/>
        <v>19761.150000000001</v>
      </c>
      <c r="N1007" s="756">
        <v>103153.2</v>
      </c>
      <c r="O1007" s="720">
        <f t="shared" si="56"/>
        <v>0</v>
      </c>
    </row>
    <row r="1008" spans="1:15" outlineLevel="2" x14ac:dyDescent="0.25">
      <c r="A1008" s="207" t="str">
        <f>VLOOKUP(RIGHT(E1008,3)+0,SchLocTable!$A$2:$B$47,2,FALSE)</f>
        <v>Madison</v>
      </c>
      <c r="B1008" s="207" t="str">
        <f>VLOOKUP(VALUE(D1008),$D$3:F$106,3,FALSE)</f>
        <v>Bilingual Education</v>
      </c>
      <c r="C1008" s="751" t="s">
        <v>246</v>
      </c>
      <c r="D1008" s="751" t="s">
        <v>453</v>
      </c>
      <c r="E1008" s="751" t="s">
        <v>462</v>
      </c>
      <c r="F1008" s="751" t="s">
        <v>257</v>
      </c>
      <c r="G1008" s="752" t="s">
        <v>1681</v>
      </c>
      <c r="H1008" s="753">
        <v>51140</v>
      </c>
      <c r="I1008" s="754">
        <v>1300</v>
      </c>
      <c r="J1008" s="754">
        <v>0</v>
      </c>
      <c r="K1008" s="754">
        <v>0</v>
      </c>
      <c r="L1008" s="754">
        <v>0</v>
      </c>
      <c r="M1008" s="754">
        <f t="shared" si="55"/>
        <v>0</v>
      </c>
      <c r="N1008" s="756">
        <v>1300</v>
      </c>
      <c r="O1008" s="720">
        <f t="shared" si="56"/>
        <v>0</v>
      </c>
    </row>
    <row r="1009" spans="1:15" outlineLevel="2" x14ac:dyDescent="0.25">
      <c r="A1009" s="207" t="str">
        <f>VLOOKUP(RIGHT(E1009,3)+0,SchLocTable!$A$2:$B$47,2,FALSE)</f>
        <v>Madison</v>
      </c>
      <c r="B1009" s="207" t="str">
        <f>VLOOKUP(VALUE(D1009),$D$3:F$106,3,FALSE)</f>
        <v>Bilingual Education</v>
      </c>
      <c r="C1009" s="751" t="s">
        <v>246</v>
      </c>
      <c r="D1009" s="751" t="s">
        <v>453</v>
      </c>
      <c r="E1009" s="751" t="s">
        <v>462</v>
      </c>
      <c r="F1009" s="751" t="s">
        <v>254</v>
      </c>
      <c r="G1009" s="752" t="s">
        <v>1681</v>
      </c>
      <c r="H1009" s="753">
        <v>52360</v>
      </c>
      <c r="I1009" s="754">
        <v>1483.68</v>
      </c>
      <c r="J1009" s="754">
        <v>0</v>
      </c>
      <c r="K1009" s="754">
        <v>0</v>
      </c>
      <c r="L1009" s="754">
        <v>274.5</v>
      </c>
      <c r="M1009" s="754">
        <f t="shared" si="55"/>
        <v>274.5</v>
      </c>
      <c r="N1009" s="756">
        <v>1483.68</v>
      </c>
      <c r="O1009" s="720">
        <f t="shared" si="56"/>
        <v>0</v>
      </c>
    </row>
    <row r="1010" spans="1:15" outlineLevel="1" x14ac:dyDescent="0.25">
      <c r="A1010" s="207" t="str">
        <f>VLOOKUP(RIGHT(E1010,3)+0,SchLocTable!$A$2:$B$47,2,FALSE)</f>
        <v>Madison</v>
      </c>
      <c r="B1010" s="207" t="str">
        <f>VLOOKUP(VALUE(D1010),$D$3:F$106,3,FALSE)</f>
        <v>Bilingual Education</v>
      </c>
      <c r="C1010" s="751" t="s">
        <v>246</v>
      </c>
      <c r="D1010" s="751" t="s">
        <v>453</v>
      </c>
      <c r="E1010" s="751" t="s">
        <v>462</v>
      </c>
      <c r="F1010" s="751" t="s">
        <v>259</v>
      </c>
      <c r="G1010" s="752" t="s">
        <v>1681</v>
      </c>
      <c r="H1010" s="753">
        <v>52917</v>
      </c>
      <c r="I1010" s="754">
        <v>11844</v>
      </c>
      <c r="J1010" s="754">
        <v>0</v>
      </c>
      <c r="K1010" s="754">
        <v>0</v>
      </c>
      <c r="L1010" s="754">
        <v>2820</v>
      </c>
      <c r="M1010" s="754">
        <f t="shared" si="55"/>
        <v>2820</v>
      </c>
      <c r="N1010" s="756">
        <v>11844</v>
      </c>
      <c r="O1010" s="720">
        <f t="shared" si="56"/>
        <v>0</v>
      </c>
    </row>
    <row r="1011" spans="1:15" outlineLevel="2" x14ac:dyDescent="0.25">
      <c r="A1011" s="207" t="str">
        <f>VLOOKUP(RIGHT(E1011,3)+0,SchLocTable!$A$2:$B$47,2,FALSE)</f>
        <v>Read</v>
      </c>
      <c r="B1011" s="207" t="str">
        <f>VLOOKUP(VALUE(D1011),$D$3:F$106,3,FALSE)</f>
        <v>Bilingual Education</v>
      </c>
      <c r="C1011" s="751" t="s">
        <v>246</v>
      </c>
      <c r="D1011" s="751" t="s">
        <v>453</v>
      </c>
      <c r="E1011" s="751" t="s">
        <v>2107</v>
      </c>
      <c r="F1011" s="751" t="s">
        <v>248</v>
      </c>
      <c r="G1011" s="752">
        <v>1</v>
      </c>
      <c r="H1011" s="753">
        <v>51000</v>
      </c>
      <c r="I1011" s="754">
        <v>67253.7</v>
      </c>
      <c r="J1011" s="754">
        <v>0</v>
      </c>
      <c r="K1011" s="754">
        <v>0</v>
      </c>
      <c r="L1011" s="754">
        <v>12883.85</v>
      </c>
      <c r="M1011" s="754">
        <f t="shared" si="55"/>
        <v>12883.85</v>
      </c>
      <c r="N1011" s="756">
        <v>67253.7</v>
      </c>
      <c r="O1011" s="720">
        <f t="shared" si="56"/>
        <v>0</v>
      </c>
    </row>
    <row r="1012" spans="1:15" outlineLevel="2" x14ac:dyDescent="0.25">
      <c r="A1012" s="207" t="str">
        <f>VLOOKUP(RIGHT(E1012,3)+0,SchLocTable!$A$2:$B$47,2,FALSE)</f>
        <v>Read</v>
      </c>
      <c r="B1012" s="207" t="str">
        <f>VLOOKUP(VALUE(D1012),$D$3:F$106,3,FALSE)</f>
        <v>Bilingual Education</v>
      </c>
      <c r="C1012" s="751" t="s">
        <v>246</v>
      </c>
      <c r="D1012" s="751" t="s">
        <v>453</v>
      </c>
      <c r="E1012" s="751" t="s">
        <v>2107</v>
      </c>
      <c r="F1012" s="751" t="s">
        <v>257</v>
      </c>
      <c r="G1012" s="752" t="s">
        <v>1681</v>
      </c>
      <c r="H1012" s="753">
        <v>51140</v>
      </c>
      <c r="I1012" s="754">
        <v>1300</v>
      </c>
      <c r="J1012" s="754">
        <v>0</v>
      </c>
      <c r="K1012" s="754">
        <v>0</v>
      </c>
      <c r="L1012" s="754">
        <v>0</v>
      </c>
      <c r="M1012" s="754">
        <f t="shared" si="55"/>
        <v>0</v>
      </c>
      <c r="N1012" s="756">
        <v>1300</v>
      </c>
      <c r="O1012" s="720">
        <f t="shared" si="56"/>
        <v>0</v>
      </c>
    </row>
    <row r="1013" spans="1:15" outlineLevel="2" x14ac:dyDescent="0.25">
      <c r="A1013" s="207" t="str">
        <f>VLOOKUP(RIGHT(E1013,3)+0,SchLocTable!$A$2:$B$47,2,FALSE)</f>
        <v>Read</v>
      </c>
      <c r="B1013" s="207" t="str">
        <f>VLOOKUP(VALUE(D1013),$D$3:F$106,3,FALSE)</f>
        <v>Bilingual Education</v>
      </c>
      <c r="C1013" s="751" t="s">
        <v>246</v>
      </c>
      <c r="D1013" s="751" t="s">
        <v>453</v>
      </c>
      <c r="E1013" s="751" t="s">
        <v>2107</v>
      </c>
      <c r="F1013" s="751" t="s">
        <v>254</v>
      </c>
      <c r="G1013" s="752" t="s">
        <v>1681</v>
      </c>
      <c r="H1013" s="753">
        <v>52360</v>
      </c>
      <c r="I1013" s="754">
        <v>946.43</v>
      </c>
      <c r="J1013" s="754">
        <v>0</v>
      </c>
      <c r="K1013" s="754">
        <v>0</v>
      </c>
      <c r="L1013" s="754">
        <v>158.07</v>
      </c>
      <c r="M1013" s="754">
        <f t="shared" si="55"/>
        <v>158.07</v>
      </c>
      <c r="N1013" s="756">
        <v>946.43</v>
      </c>
      <c r="O1013" s="720">
        <f t="shared" si="56"/>
        <v>0</v>
      </c>
    </row>
    <row r="1014" spans="1:15" outlineLevel="2" x14ac:dyDescent="0.25">
      <c r="A1014" s="207" t="str">
        <f>VLOOKUP(RIGHT(E1014,3)+0,SchLocTable!$A$2:$B$47,2,FALSE)</f>
        <v>Read</v>
      </c>
      <c r="B1014" s="207" t="str">
        <f>VLOOKUP(VALUE(D1014),$D$3:F$106,3,FALSE)</f>
        <v>Bilingual Education</v>
      </c>
      <c r="C1014" s="751" t="s">
        <v>246</v>
      </c>
      <c r="D1014" s="751" t="s">
        <v>453</v>
      </c>
      <c r="E1014" s="751" t="s">
        <v>2107</v>
      </c>
      <c r="F1014" s="751" t="s">
        <v>259</v>
      </c>
      <c r="G1014" s="752" t="s">
        <v>1681</v>
      </c>
      <c r="H1014" s="753">
        <v>52917</v>
      </c>
      <c r="I1014" s="754">
        <v>6675.9</v>
      </c>
      <c r="J1014" s="754">
        <v>0</v>
      </c>
      <c r="K1014" s="754">
        <v>0</v>
      </c>
      <c r="L1014" s="754">
        <v>6675.9</v>
      </c>
      <c r="M1014" s="754">
        <f t="shared" si="55"/>
        <v>6675.9</v>
      </c>
      <c r="N1014" s="756">
        <v>6675.9</v>
      </c>
      <c r="O1014" s="720">
        <f t="shared" si="56"/>
        <v>0</v>
      </c>
    </row>
    <row r="1015" spans="1:15" outlineLevel="2" x14ac:dyDescent="0.25">
      <c r="A1015" s="207" t="str">
        <f>VLOOKUP(RIGHT(E1015,3)+0,SchLocTable!$A$2:$B$47,2,FALSE)</f>
        <v>Roosevelt</v>
      </c>
      <c r="B1015" s="207" t="str">
        <f>VLOOKUP(VALUE(D1015),$D$3:F$106,3,FALSE)</f>
        <v>Bilingual Education</v>
      </c>
      <c r="C1015" s="751" t="s">
        <v>246</v>
      </c>
      <c r="D1015" s="751" t="s">
        <v>453</v>
      </c>
      <c r="E1015" s="751" t="s">
        <v>463</v>
      </c>
      <c r="F1015" s="751" t="s">
        <v>248</v>
      </c>
      <c r="G1015" s="752">
        <v>3</v>
      </c>
      <c r="H1015" s="753">
        <v>51000</v>
      </c>
      <c r="I1015" s="754">
        <v>290567.12</v>
      </c>
      <c r="J1015" s="754">
        <v>0</v>
      </c>
      <c r="K1015" s="754">
        <v>0</v>
      </c>
      <c r="L1015" s="754">
        <v>55664.2</v>
      </c>
      <c r="M1015" s="754">
        <f t="shared" si="55"/>
        <v>55664.2</v>
      </c>
      <c r="N1015" s="756">
        <v>290567.12</v>
      </c>
      <c r="O1015" s="720">
        <f t="shared" si="56"/>
        <v>0</v>
      </c>
    </row>
    <row r="1016" spans="1:15" outlineLevel="2" x14ac:dyDescent="0.25">
      <c r="A1016" s="207" t="str">
        <f>VLOOKUP(RIGHT(E1016,3)+0,SchLocTable!$A$2:$B$47,2,FALSE)</f>
        <v>Roosevelt</v>
      </c>
      <c r="B1016" s="207" t="str">
        <f>VLOOKUP(VALUE(D1016),$D$3:F$106,3,FALSE)</f>
        <v>Bilingual Education</v>
      </c>
      <c r="C1016" s="751" t="s">
        <v>246</v>
      </c>
      <c r="D1016" s="751" t="s">
        <v>453</v>
      </c>
      <c r="E1016" s="751" t="s">
        <v>463</v>
      </c>
      <c r="F1016" s="751" t="s">
        <v>257</v>
      </c>
      <c r="G1016" s="752" t="s">
        <v>1681</v>
      </c>
      <c r="H1016" s="753">
        <v>51140</v>
      </c>
      <c r="I1016" s="754">
        <v>2200</v>
      </c>
      <c r="J1016" s="754">
        <v>0</v>
      </c>
      <c r="K1016" s="754">
        <v>0</v>
      </c>
      <c r="L1016" s="754">
        <v>0</v>
      </c>
      <c r="M1016" s="754">
        <f t="shared" si="55"/>
        <v>0</v>
      </c>
      <c r="N1016" s="756">
        <v>2200</v>
      </c>
      <c r="O1016" s="720">
        <f t="shared" si="56"/>
        <v>0</v>
      </c>
    </row>
    <row r="1017" spans="1:15" outlineLevel="2" x14ac:dyDescent="0.25">
      <c r="A1017" s="207" t="str">
        <f>VLOOKUP(RIGHT(E1017,3)+0,SchLocTable!$A$2:$B$47,2,FALSE)</f>
        <v>Roosevelt</v>
      </c>
      <c r="B1017" s="207" t="str">
        <f>VLOOKUP(VALUE(D1017),$D$3:F$106,3,FALSE)</f>
        <v>Bilingual Education</v>
      </c>
      <c r="C1017" s="755" t="s">
        <v>246</v>
      </c>
      <c r="D1017" s="751" t="s">
        <v>453</v>
      </c>
      <c r="E1017" s="751" t="s">
        <v>463</v>
      </c>
      <c r="F1017" s="751" t="s">
        <v>254</v>
      </c>
      <c r="G1017" s="752" t="s">
        <v>1681</v>
      </c>
      <c r="H1017" s="753">
        <v>52360</v>
      </c>
      <c r="I1017" s="754">
        <v>3879</v>
      </c>
      <c r="J1017" s="754">
        <v>0</v>
      </c>
      <c r="K1017" s="754">
        <v>0</v>
      </c>
      <c r="L1017" s="754">
        <v>472.91</v>
      </c>
      <c r="M1017" s="754">
        <f t="shared" si="55"/>
        <v>472.91</v>
      </c>
      <c r="N1017" s="756">
        <v>3879</v>
      </c>
      <c r="O1017" s="720">
        <f t="shared" si="56"/>
        <v>0</v>
      </c>
    </row>
    <row r="1018" spans="1:15" outlineLevel="2" x14ac:dyDescent="0.25">
      <c r="A1018" s="207" t="str">
        <f>VLOOKUP(RIGHT(E1018,3)+0,SchLocTable!$A$2:$B$47,2,FALSE)</f>
        <v>Roosevelt</v>
      </c>
      <c r="B1018" s="207" t="str">
        <f>VLOOKUP(VALUE(D1018),$D$3:F$106,3,FALSE)</f>
        <v>Bilingual Education</v>
      </c>
      <c r="C1018" s="751" t="s">
        <v>246</v>
      </c>
      <c r="D1018" s="751" t="s">
        <v>453</v>
      </c>
      <c r="E1018" s="751" t="s">
        <v>463</v>
      </c>
      <c r="F1018" s="751" t="s">
        <v>259</v>
      </c>
      <c r="G1018" s="752" t="s">
        <v>1681</v>
      </c>
      <c r="H1018" s="753">
        <v>52917</v>
      </c>
      <c r="I1018" s="754">
        <v>58763.88</v>
      </c>
      <c r="J1018" s="754">
        <v>0</v>
      </c>
      <c r="K1018" s="754">
        <v>0</v>
      </c>
      <c r="L1018" s="754">
        <v>13991.4</v>
      </c>
      <c r="M1018" s="754">
        <f t="shared" si="55"/>
        <v>13991.4</v>
      </c>
      <c r="N1018" s="756">
        <v>58763.88</v>
      </c>
      <c r="O1018" s="720">
        <f t="shared" si="56"/>
        <v>0</v>
      </c>
    </row>
    <row r="1019" spans="1:15" outlineLevel="2" x14ac:dyDescent="0.25">
      <c r="A1019" s="207" t="str">
        <f>VLOOKUP(RIGHT(E1019,3)+0,SchLocTable!$A$2:$B$47,2,FALSE)</f>
        <v>Waltersville</v>
      </c>
      <c r="B1019" s="207" t="str">
        <f>VLOOKUP(VALUE(D1019),$D$3:F$106,3,FALSE)</f>
        <v>Bilingual Education</v>
      </c>
      <c r="C1019" s="755" t="s">
        <v>246</v>
      </c>
      <c r="D1019" s="751" t="s">
        <v>453</v>
      </c>
      <c r="E1019" s="751" t="s">
        <v>1400</v>
      </c>
      <c r="F1019" s="751" t="s">
        <v>248</v>
      </c>
      <c r="G1019" s="752">
        <v>1</v>
      </c>
      <c r="H1019" s="753">
        <v>51000</v>
      </c>
      <c r="I1019" s="754">
        <v>103153.2</v>
      </c>
      <c r="J1019" s="754">
        <v>0</v>
      </c>
      <c r="K1019" s="754">
        <v>0</v>
      </c>
      <c r="L1019" s="754">
        <v>19761.150000000001</v>
      </c>
      <c r="M1019" s="754">
        <f t="shared" si="55"/>
        <v>19761.150000000001</v>
      </c>
      <c r="N1019" s="756">
        <v>103153.2</v>
      </c>
      <c r="O1019" s="720">
        <f t="shared" si="56"/>
        <v>0</v>
      </c>
    </row>
    <row r="1020" spans="1:15" outlineLevel="2" x14ac:dyDescent="0.25">
      <c r="A1020" s="207" t="str">
        <f>VLOOKUP(RIGHT(E1020,3)+0,SchLocTable!$A$2:$B$47,2,FALSE)</f>
        <v>Waltersville</v>
      </c>
      <c r="B1020" s="207" t="str">
        <f>VLOOKUP(VALUE(D1020),$D$3:F$106,3,FALSE)</f>
        <v>Bilingual Education</v>
      </c>
      <c r="C1020" s="751" t="s">
        <v>246</v>
      </c>
      <c r="D1020" s="751" t="s">
        <v>453</v>
      </c>
      <c r="E1020" s="751" t="s">
        <v>1400</v>
      </c>
      <c r="F1020" s="751" t="s">
        <v>257</v>
      </c>
      <c r="G1020" s="752" t="s">
        <v>1681</v>
      </c>
      <c r="H1020" s="753">
        <v>51140</v>
      </c>
      <c r="I1020" s="754">
        <v>1100</v>
      </c>
      <c r="J1020" s="754">
        <v>0</v>
      </c>
      <c r="K1020" s="754">
        <v>0</v>
      </c>
      <c r="L1020" s="754">
        <v>0</v>
      </c>
      <c r="M1020" s="754">
        <f t="shared" si="55"/>
        <v>0</v>
      </c>
      <c r="N1020" s="756">
        <v>1100</v>
      </c>
      <c r="O1020" s="720">
        <f t="shared" si="56"/>
        <v>0</v>
      </c>
    </row>
    <row r="1021" spans="1:15" outlineLevel="2" x14ac:dyDescent="0.25">
      <c r="A1021" s="207" t="str">
        <f>VLOOKUP(RIGHT(E1021,3)+0,SchLocTable!$A$2:$B$47,2,FALSE)</f>
        <v>Waltersville</v>
      </c>
      <c r="B1021" s="207" t="str">
        <f>VLOOKUP(VALUE(D1021),$D$3:F$106,3,FALSE)</f>
        <v>Bilingual Education</v>
      </c>
      <c r="C1021" s="751" t="s">
        <v>246</v>
      </c>
      <c r="D1021" s="751" t="s">
        <v>453</v>
      </c>
      <c r="E1021" s="751" t="s">
        <v>1400</v>
      </c>
      <c r="F1021" s="751" t="s">
        <v>254</v>
      </c>
      <c r="G1021" s="752" t="s">
        <v>1681</v>
      </c>
      <c r="H1021" s="753">
        <v>52360</v>
      </c>
      <c r="I1021" s="754">
        <v>1483.12</v>
      </c>
      <c r="J1021" s="754">
        <v>0</v>
      </c>
      <c r="K1021" s="754">
        <v>0</v>
      </c>
      <c r="L1021" s="754">
        <v>273.94</v>
      </c>
      <c r="M1021" s="754">
        <f t="shared" si="55"/>
        <v>273.94</v>
      </c>
      <c r="N1021" s="756">
        <v>1483.12</v>
      </c>
      <c r="O1021" s="720">
        <f t="shared" si="56"/>
        <v>0</v>
      </c>
    </row>
    <row r="1022" spans="1:15" outlineLevel="2" x14ac:dyDescent="0.25">
      <c r="A1022" s="207" t="str">
        <f>VLOOKUP(RIGHT(E1022,3)+0,SchLocTable!$A$2:$B$47,2,FALSE)</f>
        <v>Waltersville</v>
      </c>
      <c r="B1022" s="207" t="str">
        <f>VLOOKUP(VALUE(D1022),$D$3:F$106,3,FALSE)</f>
        <v>Bilingual Education</v>
      </c>
      <c r="C1022" s="751" t="s">
        <v>246</v>
      </c>
      <c r="D1022" s="751" t="s">
        <v>453</v>
      </c>
      <c r="E1022" s="751" t="s">
        <v>1400</v>
      </c>
      <c r="F1022" s="751" t="s">
        <v>259</v>
      </c>
      <c r="G1022" s="752" t="s">
        <v>1681</v>
      </c>
      <c r="H1022" s="753">
        <v>52917</v>
      </c>
      <c r="I1022" s="754">
        <v>12722.64</v>
      </c>
      <c r="J1022" s="754">
        <v>0</v>
      </c>
      <c r="K1022" s="754">
        <v>0</v>
      </c>
      <c r="L1022" s="754">
        <v>3029.2</v>
      </c>
      <c r="M1022" s="754">
        <f t="shared" si="55"/>
        <v>3029.2</v>
      </c>
      <c r="N1022" s="756">
        <v>12722.64</v>
      </c>
      <c r="O1022" s="720">
        <f t="shared" si="56"/>
        <v>0</v>
      </c>
    </row>
    <row r="1023" spans="1:15" outlineLevel="2" x14ac:dyDescent="0.25">
      <c r="A1023" s="207" t="str">
        <f>VLOOKUP(RIGHT(E1023,3)+0,SchLocTable!$A$2:$B$47,2,FALSE)</f>
        <v>Claytor</v>
      </c>
      <c r="B1023" s="207" t="str">
        <f>VLOOKUP(VALUE(D1023),$D$3:F$106,3,FALSE)</f>
        <v>Bilingual Education</v>
      </c>
      <c r="C1023" s="751" t="s">
        <v>246</v>
      </c>
      <c r="D1023" s="751" t="s">
        <v>453</v>
      </c>
      <c r="E1023" s="751" t="s">
        <v>1401</v>
      </c>
      <c r="F1023" s="751" t="s">
        <v>248</v>
      </c>
      <c r="G1023" s="752">
        <v>1</v>
      </c>
      <c r="H1023" s="753">
        <v>51000</v>
      </c>
      <c r="I1023" s="754">
        <v>66996.09</v>
      </c>
      <c r="J1023" s="754">
        <v>0</v>
      </c>
      <c r="K1023" s="754">
        <v>0</v>
      </c>
      <c r="L1023" s="754">
        <v>15951.45</v>
      </c>
      <c r="M1023" s="754">
        <f t="shared" ref="M1023:M1086" si="57">SUM(J1023:L1023)</f>
        <v>15951.45</v>
      </c>
      <c r="N1023" s="756">
        <v>66996.09</v>
      </c>
      <c r="O1023" s="720">
        <f t="shared" ref="O1023:O1086" si="58">I1023-N1023</f>
        <v>0</v>
      </c>
    </row>
    <row r="1024" spans="1:15" outlineLevel="2" x14ac:dyDescent="0.25">
      <c r="A1024" s="207" t="str">
        <f>VLOOKUP(RIGHT(E1024,3)+0,SchLocTable!$A$2:$B$47,2,FALSE)</f>
        <v>Claytor</v>
      </c>
      <c r="B1024" s="207" t="str">
        <f>VLOOKUP(VALUE(D1024),$D$3:F$106,3,FALSE)</f>
        <v>Bilingual Education</v>
      </c>
      <c r="C1024" s="751" t="s">
        <v>246</v>
      </c>
      <c r="D1024" s="751" t="s">
        <v>453</v>
      </c>
      <c r="E1024" s="751" t="s">
        <v>1401</v>
      </c>
      <c r="F1024" s="751" t="s">
        <v>254</v>
      </c>
      <c r="G1024" s="752" t="s">
        <v>1681</v>
      </c>
      <c r="H1024" s="753">
        <v>52360</v>
      </c>
      <c r="I1024" s="754">
        <v>935.8</v>
      </c>
      <c r="J1024" s="754">
        <v>0</v>
      </c>
      <c r="K1024" s="754">
        <v>0</v>
      </c>
      <c r="L1024" s="754">
        <v>195.65</v>
      </c>
      <c r="M1024" s="754">
        <f t="shared" si="57"/>
        <v>195.65</v>
      </c>
      <c r="N1024" s="756">
        <v>935.8</v>
      </c>
      <c r="O1024" s="720">
        <f t="shared" si="58"/>
        <v>0</v>
      </c>
    </row>
    <row r="1025" spans="1:15" outlineLevel="2" x14ac:dyDescent="0.25">
      <c r="A1025" s="207" t="str">
        <f>VLOOKUP(RIGHT(E1025,3)+0,SchLocTable!$A$2:$B$47,2,FALSE)</f>
        <v>Claytor</v>
      </c>
      <c r="B1025" s="207" t="str">
        <f>VLOOKUP(VALUE(D1025),$D$3:F$106,3,FALSE)</f>
        <v>Bilingual Education</v>
      </c>
      <c r="C1025" s="751" t="s">
        <v>246</v>
      </c>
      <c r="D1025" s="751" t="s">
        <v>453</v>
      </c>
      <c r="E1025" s="751" t="s">
        <v>1401</v>
      </c>
      <c r="F1025" s="751" t="s">
        <v>259</v>
      </c>
      <c r="G1025" s="752" t="s">
        <v>1681</v>
      </c>
      <c r="H1025" s="753">
        <v>52917</v>
      </c>
      <c r="I1025" s="754">
        <v>35075.879999999997</v>
      </c>
      <c r="J1025" s="754">
        <v>0</v>
      </c>
      <c r="K1025" s="754">
        <v>0</v>
      </c>
      <c r="L1025" s="754">
        <v>8351.4</v>
      </c>
      <c r="M1025" s="754">
        <f t="shared" si="57"/>
        <v>8351.4</v>
      </c>
      <c r="N1025" s="756">
        <v>35075.879999999997</v>
      </c>
      <c r="O1025" s="720">
        <f t="shared" si="58"/>
        <v>0</v>
      </c>
    </row>
    <row r="1026" spans="1:15" outlineLevel="2" x14ac:dyDescent="0.25">
      <c r="A1026" s="207" t="str">
        <f>VLOOKUP(RIGHT(E1026,3)+0,SchLocTable!$A$2:$B$47,2,FALSE)</f>
        <v>Johnson</v>
      </c>
      <c r="B1026" s="207" t="str">
        <f>VLOOKUP(VALUE(D1026),$D$3:F$106,3,FALSE)</f>
        <v>Bilingual Education</v>
      </c>
      <c r="C1026" s="751" t="s">
        <v>246</v>
      </c>
      <c r="D1026" s="751" t="s">
        <v>453</v>
      </c>
      <c r="E1026" s="751" t="s">
        <v>464</v>
      </c>
      <c r="F1026" s="751" t="s">
        <v>248</v>
      </c>
      <c r="G1026" s="752">
        <v>4</v>
      </c>
      <c r="H1026" s="753">
        <v>51000</v>
      </c>
      <c r="I1026" s="754">
        <v>344622.49</v>
      </c>
      <c r="J1026" s="754">
        <v>0</v>
      </c>
      <c r="K1026" s="754">
        <v>0</v>
      </c>
      <c r="L1026" s="754">
        <v>72454.7</v>
      </c>
      <c r="M1026" s="754">
        <f t="shared" si="57"/>
        <v>72454.7</v>
      </c>
      <c r="N1026" s="756">
        <v>344622.49</v>
      </c>
      <c r="O1026" s="720">
        <f t="shared" si="58"/>
        <v>0</v>
      </c>
    </row>
    <row r="1027" spans="1:15" outlineLevel="2" x14ac:dyDescent="0.25">
      <c r="A1027" s="207" t="str">
        <f>VLOOKUP(RIGHT(E1027,3)+0,SchLocTable!$A$2:$B$47,2,FALSE)</f>
        <v>Johnson</v>
      </c>
      <c r="B1027" s="207" t="str">
        <f>VLOOKUP(VALUE(D1027),$D$3:F$106,3,FALSE)</f>
        <v>Bilingual Education</v>
      </c>
      <c r="C1027" s="751" t="s">
        <v>246</v>
      </c>
      <c r="D1027" s="751" t="s">
        <v>453</v>
      </c>
      <c r="E1027" s="751" t="s">
        <v>464</v>
      </c>
      <c r="F1027" s="751" t="s">
        <v>257</v>
      </c>
      <c r="G1027" s="752" t="s">
        <v>1681</v>
      </c>
      <c r="H1027" s="753">
        <v>51140</v>
      </c>
      <c r="I1027" s="754">
        <v>900</v>
      </c>
      <c r="J1027" s="754">
        <v>0</v>
      </c>
      <c r="K1027" s="754">
        <v>0</v>
      </c>
      <c r="L1027" s="754">
        <v>0</v>
      </c>
      <c r="M1027" s="754">
        <f t="shared" si="57"/>
        <v>0</v>
      </c>
      <c r="N1027" s="756">
        <v>900</v>
      </c>
      <c r="O1027" s="720">
        <f t="shared" si="58"/>
        <v>0</v>
      </c>
    </row>
    <row r="1028" spans="1:15" outlineLevel="2" x14ac:dyDescent="0.25">
      <c r="A1028" s="207" t="str">
        <f>VLOOKUP(RIGHT(E1028,3)+0,SchLocTable!$A$2:$B$47,2,FALSE)</f>
        <v>Johnson</v>
      </c>
      <c r="B1028" s="207" t="str">
        <f>VLOOKUP(VALUE(D1028),$D$3:F$106,3,FALSE)</f>
        <v>Bilingual Education</v>
      </c>
      <c r="C1028" s="751" t="s">
        <v>246</v>
      </c>
      <c r="D1028" s="751" t="s">
        <v>453</v>
      </c>
      <c r="E1028" s="751" t="s">
        <v>464</v>
      </c>
      <c r="F1028" s="751" t="s">
        <v>254</v>
      </c>
      <c r="G1028" s="752" t="s">
        <v>1681</v>
      </c>
      <c r="H1028" s="753">
        <v>52360</v>
      </c>
      <c r="I1028" s="754">
        <v>4878.8900000000003</v>
      </c>
      <c r="J1028" s="754">
        <v>0</v>
      </c>
      <c r="K1028" s="754">
        <v>0</v>
      </c>
      <c r="L1028" s="754">
        <v>932.46</v>
      </c>
      <c r="M1028" s="754">
        <f t="shared" si="57"/>
        <v>932.46</v>
      </c>
      <c r="N1028" s="756">
        <v>4878.8900000000003</v>
      </c>
      <c r="O1028" s="720">
        <f t="shared" si="58"/>
        <v>0</v>
      </c>
    </row>
    <row r="1029" spans="1:15" outlineLevel="2" x14ac:dyDescent="0.25">
      <c r="A1029" s="207" t="str">
        <f>VLOOKUP(RIGHT(E1029,3)+0,SchLocTable!$A$2:$B$47,2,FALSE)</f>
        <v>Johnson</v>
      </c>
      <c r="B1029" s="207" t="str">
        <f>VLOOKUP(VALUE(D1029),$D$3:F$106,3,FALSE)</f>
        <v>Bilingual Education</v>
      </c>
      <c r="C1029" s="751" t="s">
        <v>246</v>
      </c>
      <c r="D1029" s="751" t="s">
        <v>453</v>
      </c>
      <c r="E1029" s="751" t="s">
        <v>464</v>
      </c>
      <c r="F1029" s="751" t="s">
        <v>259</v>
      </c>
      <c r="G1029" s="752" t="s">
        <v>1681</v>
      </c>
      <c r="H1029" s="753">
        <v>52917</v>
      </c>
      <c r="I1029" s="754">
        <v>115753.68</v>
      </c>
      <c r="J1029" s="754">
        <v>0</v>
      </c>
      <c r="K1029" s="754">
        <v>0</v>
      </c>
      <c r="L1029" s="754">
        <v>27560.400000000001</v>
      </c>
      <c r="M1029" s="754">
        <f t="shared" si="57"/>
        <v>27560.400000000001</v>
      </c>
      <c r="N1029" s="756">
        <v>115753.68</v>
      </c>
      <c r="O1029" s="720">
        <f t="shared" si="58"/>
        <v>0</v>
      </c>
    </row>
    <row r="1030" spans="1:15" outlineLevel="2" x14ac:dyDescent="0.25">
      <c r="A1030" s="207" t="str">
        <f>VLOOKUP(RIGHT(E1030,3)+0,SchLocTable!$A$2:$B$47,2,FALSE)</f>
        <v>Winthrop</v>
      </c>
      <c r="B1030" s="207" t="str">
        <f>VLOOKUP(VALUE(D1030),$D$3:F$106,3,FALSE)</f>
        <v>Bilingual Education</v>
      </c>
      <c r="C1030" s="755" t="s">
        <v>246</v>
      </c>
      <c r="D1030" s="751" t="s">
        <v>453</v>
      </c>
      <c r="E1030" s="751" t="s">
        <v>465</v>
      </c>
      <c r="F1030" s="751" t="s">
        <v>248</v>
      </c>
      <c r="G1030" s="752">
        <v>1</v>
      </c>
      <c r="H1030" s="753">
        <v>51000</v>
      </c>
      <c r="I1030" s="754">
        <v>70291.22</v>
      </c>
      <c r="J1030" s="754">
        <v>0</v>
      </c>
      <c r="K1030" s="754">
        <v>0</v>
      </c>
      <c r="L1030" s="754">
        <v>13465.75</v>
      </c>
      <c r="M1030" s="754">
        <f t="shared" si="57"/>
        <v>13465.75</v>
      </c>
      <c r="N1030" s="756">
        <v>70291.22</v>
      </c>
      <c r="O1030" s="720">
        <f t="shared" si="58"/>
        <v>0</v>
      </c>
    </row>
    <row r="1031" spans="1:15" outlineLevel="2" x14ac:dyDescent="0.25">
      <c r="A1031" s="207" t="str">
        <f>VLOOKUP(RIGHT(E1031,3)+0,SchLocTable!$A$2:$B$47,2,FALSE)</f>
        <v>Winthrop</v>
      </c>
      <c r="B1031" s="207" t="str">
        <f>VLOOKUP(VALUE(D1031),$D$3:F$106,3,FALSE)</f>
        <v>Bilingual Education</v>
      </c>
      <c r="C1031" s="755" t="s">
        <v>246</v>
      </c>
      <c r="D1031" s="751" t="s">
        <v>453</v>
      </c>
      <c r="E1031" s="751" t="s">
        <v>465</v>
      </c>
      <c r="F1031" s="751" t="s">
        <v>254</v>
      </c>
      <c r="G1031" s="752" t="s">
        <v>1681</v>
      </c>
      <c r="H1031" s="753">
        <v>52360</v>
      </c>
      <c r="I1031" s="754">
        <v>990.21</v>
      </c>
      <c r="J1031" s="754">
        <v>0</v>
      </c>
      <c r="K1031" s="754">
        <v>0</v>
      </c>
      <c r="L1031" s="754">
        <v>166.24</v>
      </c>
      <c r="M1031" s="754">
        <f t="shared" si="57"/>
        <v>166.24</v>
      </c>
      <c r="N1031" s="756">
        <v>990.21</v>
      </c>
      <c r="O1031" s="720">
        <f t="shared" si="58"/>
        <v>0</v>
      </c>
    </row>
    <row r="1032" spans="1:15" outlineLevel="2" x14ac:dyDescent="0.25">
      <c r="A1032" s="207" t="str">
        <f>VLOOKUP(RIGHT(E1032,3)+0,SchLocTable!$A$2:$B$47,2,FALSE)</f>
        <v>Winthrop</v>
      </c>
      <c r="B1032" s="207" t="str">
        <f>VLOOKUP(VALUE(D1032),$D$3:F$106,3,FALSE)</f>
        <v>Bilingual Education</v>
      </c>
      <c r="C1032" s="751" t="s">
        <v>246</v>
      </c>
      <c r="D1032" s="751" t="s">
        <v>453</v>
      </c>
      <c r="E1032" s="751" t="s">
        <v>465</v>
      </c>
      <c r="F1032" s="751" t="s">
        <v>259</v>
      </c>
      <c r="G1032" s="752" t="s">
        <v>1681</v>
      </c>
      <c r="H1032" s="753">
        <v>52917</v>
      </c>
      <c r="I1032" s="754">
        <v>28478.1</v>
      </c>
      <c r="J1032" s="754">
        <v>0</v>
      </c>
      <c r="K1032" s="754">
        <v>0</v>
      </c>
      <c r="L1032" s="754">
        <v>6780.5</v>
      </c>
      <c r="M1032" s="754">
        <f t="shared" si="57"/>
        <v>6780.5</v>
      </c>
      <c r="N1032" s="756">
        <v>28478.1</v>
      </c>
      <c r="O1032" s="720">
        <f t="shared" si="58"/>
        <v>0</v>
      </c>
    </row>
    <row r="1033" spans="1:15" outlineLevel="2" x14ac:dyDescent="0.25">
      <c r="A1033" s="207" t="str">
        <f>VLOOKUP(RIGHT(E1033,3)+0,SchLocTable!$A$2:$B$47,2,FALSE)</f>
        <v>Blackham</v>
      </c>
      <c r="B1033" s="207" t="str">
        <f>VLOOKUP(VALUE(D1033),$D$3:F$106,3,FALSE)</f>
        <v>Bilingual Education</v>
      </c>
      <c r="C1033" s="751" t="s">
        <v>246</v>
      </c>
      <c r="D1033" s="751" t="s">
        <v>453</v>
      </c>
      <c r="E1033" s="751" t="s">
        <v>466</v>
      </c>
      <c r="F1033" s="751" t="s">
        <v>248</v>
      </c>
      <c r="G1033" s="752">
        <v>3</v>
      </c>
      <c r="H1033" s="753">
        <v>51000</v>
      </c>
      <c r="I1033" s="754">
        <v>309459.63</v>
      </c>
      <c r="J1033" s="754">
        <v>0</v>
      </c>
      <c r="K1033" s="754">
        <v>0</v>
      </c>
      <c r="L1033" s="754">
        <v>59283.47</v>
      </c>
      <c r="M1033" s="754">
        <f t="shared" si="57"/>
        <v>59283.47</v>
      </c>
      <c r="N1033" s="756">
        <v>309459.63</v>
      </c>
      <c r="O1033" s="720">
        <f t="shared" si="58"/>
        <v>0</v>
      </c>
    </row>
    <row r="1034" spans="1:15" outlineLevel="2" x14ac:dyDescent="0.25">
      <c r="A1034" s="207" t="str">
        <f>VLOOKUP(RIGHT(E1034,3)+0,SchLocTable!$A$2:$B$47,2,FALSE)</f>
        <v>Blackham</v>
      </c>
      <c r="B1034" s="207" t="str">
        <f>VLOOKUP(VALUE(D1034),$D$3:F$106,3,FALSE)</f>
        <v>Bilingual Education</v>
      </c>
      <c r="C1034" s="751" t="s">
        <v>246</v>
      </c>
      <c r="D1034" s="751" t="s">
        <v>453</v>
      </c>
      <c r="E1034" s="751" t="s">
        <v>466</v>
      </c>
      <c r="F1034" s="751" t="s">
        <v>257</v>
      </c>
      <c r="G1034" s="752" t="s">
        <v>1681</v>
      </c>
      <c r="H1034" s="753">
        <v>51140</v>
      </c>
      <c r="I1034" s="754">
        <v>3200</v>
      </c>
      <c r="J1034" s="754">
        <v>0</v>
      </c>
      <c r="K1034" s="754">
        <v>0</v>
      </c>
      <c r="L1034" s="754">
        <v>0</v>
      </c>
      <c r="M1034" s="754">
        <f t="shared" si="57"/>
        <v>0</v>
      </c>
      <c r="N1034" s="756">
        <v>3200</v>
      </c>
      <c r="O1034" s="720">
        <f t="shared" si="58"/>
        <v>0</v>
      </c>
    </row>
    <row r="1035" spans="1:15" outlineLevel="2" x14ac:dyDescent="0.25">
      <c r="A1035" s="207" t="str">
        <f>VLOOKUP(RIGHT(E1035,3)+0,SchLocTable!$A$2:$B$47,2,FALSE)</f>
        <v>Blackham</v>
      </c>
      <c r="B1035" s="207" t="str">
        <f>VLOOKUP(VALUE(D1035),$D$3:F$106,3,FALSE)</f>
        <v>Bilingual Education</v>
      </c>
      <c r="C1035" s="751" t="s">
        <v>246</v>
      </c>
      <c r="D1035" s="751" t="s">
        <v>453</v>
      </c>
      <c r="E1035" s="751" t="s">
        <v>466</v>
      </c>
      <c r="F1035" s="751" t="s">
        <v>254</v>
      </c>
      <c r="G1035" s="752" t="s">
        <v>1681</v>
      </c>
      <c r="H1035" s="753">
        <v>52360</v>
      </c>
      <c r="I1035" s="754">
        <v>4380.22</v>
      </c>
      <c r="J1035" s="754">
        <v>0</v>
      </c>
      <c r="K1035" s="754">
        <v>0</v>
      </c>
      <c r="L1035" s="754">
        <v>752.67</v>
      </c>
      <c r="M1035" s="754">
        <f t="shared" si="57"/>
        <v>752.67</v>
      </c>
      <c r="N1035" s="756">
        <v>4380.22</v>
      </c>
      <c r="O1035" s="720">
        <f t="shared" si="58"/>
        <v>0</v>
      </c>
    </row>
    <row r="1036" spans="1:15" outlineLevel="2" x14ac:dyDescent="0.25">
      <c r="A1036" s="207" t="str">
        <f>VLOOKUP(RIGHT(E1036,3)+0,SchLocTable!$A$2:$B$47,2,FALSE)</f>
        <v>Blackham</v>
      </c>
      <c r="B1036" s="207" t="str">
        <f>VLOOKUP(VALUE(D1036),$D$3:F$106,3,FALSE)</f>
        <v>Bilingual Education</v>
      </c>
      <c r="C1036" s="751" t="s">
        <v>246</v>
      </c>
      <c r="D1036" s="751" t="s">
        <v>453</v>
      </c>
      <c r="E1036" s="751" t="s">
        <v>466</v>
      </c>
      <c r="F1036" s="751" t="s">
        <v>259</v>
      </c>
      <c r="G1036" s="752" t="s">
        <v>1681</v>
      </c>
      <c r="H1036" s="753">
        <v>52917</v>
      </c>
      <c r="I1036" s="754">
        <v>105227.64</v>
      </c>
      <c r="J1036" s="754">
        <v>0</v>
      </c>
      <c r="K1036" s="754">
        <v>0</v>
      </c>
      <c r="L1036" s="754">
        <v>25054.2</v>
      </c>
      <c r="M1036" s="754">
        <f t="shared" si="57"/>
        <v>25054.2</v>
      </c>
      <c r="N1036" s="756">
        <v>105227.64</v>
      </c>
      <c r="O1036" s="720">
        <f t="shared" si="58"/>
        <v>0</v>
      </c>
    </row>
    <row r="1037" spans="1:15" outlineLevel="2" x14ac:dyDescent="0.25">
      <c r="A1037" s="207" t="str">
        <f>VLOOKUP(RIGHT(E1037,3)+0,SchLocTable!$A$2:$B$47,2,FALSE)</f>
        <v>Curiale</v>
      </c>
      <c r="B1037" s="207" t="str">
        <f>VLOOKUP(VALUE(D1037),$D$3:F$106,3,FALSE)</f>
        <v>Bilingual Education</v>
      </c>
      <c r="C1037" s="751" t="s">
        <v>246</v>
      </c>
      <c r="D1037" s="751" t="s">
        <v>453</v>
      </c>
      <c r="E1037" s="751" t="s">
        <v>467</v>
      </c>
      <c r="F1037" s="751" t="s">
        <v>248</v>
      </c>
      <c r="G1037" s="752">
        <v>2</v>
      </c>
      <c r="H1037" s="753">
        <v>51000</v>
      </c>
      <c r="I1037" s="754">
        <v>213440.05</v>
      </c>
      <c r="J1037" s="754">
        <v>0</v>
      </c>
      <c r="K1037" s="754">
        <v>0</v>
      </c>
      <c r="L1037" s="754">
        <v>45669.65</v>
      </c>
      <c r="M1037" s="754">
        <f t="shared" si="57"/>
        <v>45669.65</v>
      </c>
      <c r="N1037" s="756">
        <v>213440.05</v>
      </c>
      <c r="O1037" s="720">
        <f t="shared" si="58"/>
        <v>0</v>
      </c>
    </row>
    <row r="1038" spans="1:15" outlineLevel="2" x14ac:dyDescent="0.25">
      <c r="A1038" s="207" t="str">
        <f>VLOOKUP(RIGHT(E1038,3)+0,SchLocTable!$A$2:$B$47,2,FALSE)</f>
        <v>Curiale</v>
      </c>
      <c r="B1038" s="207" t="str">
        <f>VLOOKUP(VALUE(D1038),$D$3:F$106,3,FALSE)</f>
        <v>Bilingual Education</v>
      </c>
      <c r="C1038" s="751" t="s">
        <v>246</v>
      </c>
      <c r="D1038" s="751" t="s">
        <v>453</v>
      </c>
      <c r="E1038" s="751" t="s">
        <v>467</v>
      </c>
      <c r="F1038" s="751" t="s">
        <v>257</v>
      </c>
      <c r="G1038" s="752" t="s">
        <v>1681</v>
      </c>
      <c r="H1038" s="753">
        <v>51140</v>
      </c>
      <c r="I1038" s="754">
        <v>2200</v>
      </c>
      <c r="J1038" s="754">
        <v>0</v>
      </c>
      <c r="K1038" s="754">
        <v>0</v>
      </c>
      <c r="L1038" s="754">
        <v>0</v>
      </c>
      <c r="M1038" s="754">
        <f t="shared" si="57"/>
        <v>0</v>
      </c>
      <c r="N1038" s="756">
        <v>2200</v>
      </c>
      <c r="O1038" s="720">
        <f t="shared" si="58"/>
        <v>0</v>
      </c>
    </row>
    <row r="1039" spans="1:15" outlineLevel="2" x14ac:dyDescent="0.25">
      <c r="A1039" s="207" t="str">
        <f>VLOOKUP(RIGHT(E1039,3)+0,SchLocTable!$A$2:$B$47,2,FALSE)</f>
        <v>Curiale</v>
      </c>
      <c r="B1039" s="207" t="str">
        <f>VLOOKUP(VALUE(D1039),$D$3:F$106,3,FALSE)</f>
        <v>Bilingual Education</v>
      </c>
      <c r="C1039" s="751" t="s">
        <v>246</v>
      </c>
      <c r="D1039" s="751" t="s">
        <v>453</v>
      </c>
      <c r="E1039" s="751" t="s">
        <v>467</v>
      </c>
      <c r="F1039" s="751" t="s">
        <v>254</v>
      </c>
      <c r="G1039" s="752" t="s">
        <v>1681</v>
      </c>
      <c r="H1039" s="753">
        <v>52360</v>
      </c>
      <c r="I1039" s="754">
        <v>3023.58</v>
      </c>
      <c r="J1039" s="754">
        <v>0</v>
      </c>
      <c r="K1039" s="754">
        <v>0</v>
      </c>
      <c r="L1039" s="754">
        <v>590.91</v>
      </c>
      <c r="M1039" s="754">
        <f t="shared" si="57"/>
        <v>590.91</v>
      </c>
      <c r="N1039" s="756">
        <v>3023.58</v>
      </c>
      <c r="O1039" s="720">
        <f t="shared" si="58"/>
        <v>0</v>
      </c>
    </row>
    <row r="1040" spans="1:15" outlineLevel="2" x14ac:dyDescent="0.25">
      <c r="A1040" s="207" t="str">
        <f>VLOOKUP(RIGHT(E1040,3)+0,SchLocTable!$A$2:$B$47,2,FALSE)</f>
        <v>Curiale</v>
      </c>
      <c r="B1040" s="207" t="str">
        <f>VLOOKUP(VALUE(D1040),$D$3:F$106,3,FALSE)</f>
        <v>Bilingual Education</v>
      </c>
      <c r="C1040" s="751" t="s">
        <v>246</v>
      </c>
      <c r="D1040" s="751" t="s">
        <v>453</v>
      </c>
      <c r="E1040" s="751" t="s">
        <v>467</v>
      </c>
      <c r="F1040" s="751" t="s">
        <v>259</v>
      </c>
      <c r="G1040" s="752" t="s">
        <v>1681</v>
      </c>
      <c r="H1040" s="753">
        <v>52917</v>
      </c>
      <c r="I1040" s="754">
        <v>70151.759999999995</v>
      </c>
      <c r="J1040" s="754">
        <v>0</v>
      </c>
      <c r="K1040" s="754">
        <v>0</v>
      </c>
      <c r="L1040" s="754">
        <v>16702.8</v>
      </c>
      <c r="M1040" s="754">
        <f t="shared" si="57"/>
        <v>16702.8</v>
      </c>
      <c r="N1040" s="756">
        <v>70151.759999999995</v>
      </c>
      <c r="O1040" s="720">
        <f t="shared" si="58"/>
        <v>0</v>
      </c>
    </row>
    <row r="1041" spans="1:15" outlineLevel="2" x14ac:dyDescent="0.25">
      <c r="A1041" s="207" t="str">
        <f>VLOOKUP(RIGHT(E1041,3)+0,SchLocTable!$A$2:$B$47,2,FALSE)</f>
        <v>Multicultural Magnet</v>
      </c>
      <c r="B1041" s="207" t="str">
        <f>VLOOKUP(VALUE(D1041),$D$3:F$106,3,FALSE)</f>
        <v>Bilingual Education</v>
      </c>
      <c r="C1041" s="751" t="s">
        <v>246</v>
      </c>
      <c r="D1041" s="751" t="s">
        <v>453</v>
      </c>
      <c r="E1041" s="751" t="s">
        <v>468</v>
      </c>
      <c r="F1041" s="751" t="s">
        <v>248</v>
      </c>
      <c r="G1041" s="752">
        <v>4</v>
      </c>
      <c r="H1041" s="753">
        <v>51000</v>
      </c>
      <c r="I1041" s="754">
        <v>341004.59</v>
      </c>
      <c r="J1041" s="754">
        <v>0</v>
      </c>
      <c r="K1041" s="754">
        <v>0</v>
      </c>
      <c r="L1041" s="754">
        <v>65326.55</v>
      </c>
      <c r="M1041" s="754">
        <f t="shared" si="57"/>
        <v>65326.55</v>
      </c>
      <c r="N1041" s="756">
        <v>341004.59</v>
      </c>
      <c r="O1041" s="720">
        <f t="shared" si="58"/>
        <v>0</v>
      </c>
    </row>
    <row r="1042" spans="1:15" outlineLevel="2" x14ac:dyDescent="0.25">
      <c r="A1042" s="207" t="str">
        <f>VLOOKUP(RIGHT(E1042,3)+0,SchLocTable!$A$2:$B$47,2,FALSE)</f>
        <v>Multicultural Magnet</v>
      </c>
      <c r="B1042" s="207" t="str">
        <f>VLOOKUP(VALUE(D1042),$D$3:F$106,3,FALSE)</f>
        <v>Bilingual Education</v>
      </c>
      <c r="C1042" s="751" t="s">
        <v>246</v>
      </c>
      <c r="D1042" s="751" t="s">
        <v>453</v>
      </c>
      <c r="E1042" s="751" t="s">
        <v>468</v>
      </c>
      <c r="F1042" s="751" t="s">
        <v>257</v>
      </c>
      <c r="G1042" s="752" t="s">
        <v>1681</v>
      </c>
      <c r="H1042" s="753">
        <v>51140</v>
      </c>
      <c r="I1042" s="754">
        <v>2200</v>
      </c>
      <c r="J1042" s="754">
        <v>0</v>
      </c>
      <c r="K1042" s="754">
        <v>0</v>
      </c>
      <c r="L1042" s="754">
        <v>0</v>
      </c>
      <c r="M1042" s="754">
        <f t="shared" si="57"/>
        <v>0</v>
      </c>
      <c r="N1042" s="756">
        <v>2200</v>
      </c>
      <c r="O1042" s="720">
        <f t="shared" si="58"/>
        <v>0</v>
      </c>
    </row>
    <row r="1043" spans="1:15" outlineLevel="2" x14ac:dyDescent="0.25">
      <c r="A1043" s="207" t="str">
        <f>VLOOKUP(RIGHT(E1043,3)+0,SchLocTable!$A$2:$B$47,2,FALSE)</f>
        <v>Multicultural Magnet</v>
      </c>
      <c r="B1043" s="207" t="str">
        <f>VLOOKUP(VALUE(D1043),$D$3:F$106,3,FALSE)</f>
        <v>Bilingual Education</v>
      </c>
      <c r="C1043" s="755" t="s">
        <v>246</v>
      </c>
      <c r="D1043" s="751" t="s">
        <v>453</v>
      </c>
      <c r="E1043" s="751" t="s">
        <v>468</v>
      </c>
      <c r="F1043" s="751" t="s">
        <v>254</v>
      </c>
      <c r="G1043" s="752" t="s">
        <v>1681</v>
      </c>
      <c r="H1043" s="753">
        <v>52360</v>
      </c>
      <c r="I1043" s="754">
        <v>4815.24</v>
      </c>
      <c r="J1043" s="754">
        <v>0</v>
      </c>
      <c r="K1043" s="754">
        <v>0</v>
      </c>
      <c r="L1043" s="754">
        <v>817.91</v>
      </c>
      <c r="M1043" s="754">
        <f t="shared" si="57"/>
        <v>817.91</v>
      </c>
      <c r="N1043" s="756">
        <v>4815.24</v>
      </c>
      <c r="O1043" s="720">
        <f t="shared" si="58"/>
        <v>0</v>
      </c>
    </row>
    <row r="1044" spans="1:15" outlineLevel="2" x14ac:dyDescent="0.25">
      <c r="A1044" s="207" t="str">
        <f>VLOOKUP(RIGHT(E1044,3)+0,SchLocTable!$A$2:$B$47,2,FALSE)</f>
        <v>Multicultural Magnet</v>
      </c>
      <c r="B1044" s="207" t="str">
        <f>VLOOKUP(VALUE(D1044),$D$3:F$106,3,FALSE)</f>
        <v>Bilingual Education</v>
      </c>
      <c r="C1044" s="751" t="s">
        <v>246</v>
      </c>
      <c r="D1044" s="751" t="s">
        <v>453</v>
      </c>
      <c r="E1044" s="751" t="s">
        <v>468</v>
      </c>
      <c r="F1044" s="751" t="s">
        <v>259</v>
      </c>
      <c r="G1044" s="752" t="s">
        <v>1681</v>
      </c>
      <c r="H1044" s="753">
        <v>52917</v>
      </c>
      <c r="I1044" s="754">
        <v>127107.96</v>
      </c>
      <c r="J1044" s="754">
        <v>0</v>
      </c>
      <c r="K1044" s="754">
        <v>0</v>
      </c>
      <c r="L1044" s="754">
        <v>30263.8</v>
      </c>
      <c r="M1044" s="754">
        <f t="shared" si="57"/>
        <v>30263.8</v>
      </c>
      <c r="N1044" s="756">
        <v>127107.96</v>
      </c>
      <c r="O1044" s="720">
        <f t="shared" si="58"/>
        <v>0</v>
      </c>
    </row>
    <row r="1045" spans="1:15" outlineLevel="2" x14ac:dyDescent="0.25">
      <c r="A1045" s="207" t="str">
        <f>VLOOKUP(RIGHT(E1045,3)+0,SchLocTable!$A$2:$B$47,2,FALSE)</f>
        <v>Bassick HS</v>
      </c>
      <c r="B1045" s="207" t="str">
        <f>VLOOKUP(VALUE(D1045),$D$3:F$106,3,FALSE)</f>
        <v>Bilingual Education</v>
      </c>
      <c r="C1045" s="751" t="s">
        <v>246</v>
      </c>
      <c r="D1045" s="751" t="s">
        <v>453</v>
      </c>
      <c r="E1045" s="751" t="s">
        <v>469</v>
      </c>
      <c r="F1045" s="751" t="s">
        <v>248</v>
      </c>
      <c r="G1045" s="752">
        <v>2</v>
      </c>
      <c r="H1045" s="753">
        <v>51000</v>
      </c>
      <c r="I1045" s="754">
        <v>61533.34</v>
      </c>
      <c r="J1045" s="754">
        <v>0</v>
      </c>
      <c r="K1045" s="754">
        <v>0</v>
      </c>
      <c r="L1045" s="754">
        <v>17404.54</v>
      </c>
      <c r="M1045" s="754">
        <f t="shared" si="57"/>
        <v>17404.54</v>
      </c>
      <c r="N1045" s="756">
        <v>61533.34</v>
      </c>
      <c r="O1045" s="720">
        <f t="shared" si="58"/>
        <v>0</v>
      </c>
    </row>
    <row r="1046" spans="1:15" outlineLevel="2" x14ac:dyDescent="0.25">
      <c r="A1046" s="207" t="str">
        <f>VLOOKUP(RIGHT(E1046,3)+0,SchLocTable!$A$2:$B$47,2,FALSE)</f>
        <v>Bassick HS</v>
      </c>
      <c r="B1046" s="207" t="str">
        <f>VLOOKUP(VALUE(D1046),$D$3:F$106,3,FALSE)</f>
        <v>Bilingual Education</v>
      </c>
      <c r="C1046" s="751" t="s">
        <v>246</v>
      </c>
      <c r="D1046" s="751" t="s">
        <v>453</v>
      </c>
      <c r="E1046" s="751" t="s">
        <v>469</v>
      </c>
      <c r="F1046" s="751" t="s">
        <v>257</v>
      </c>
      <c r="G1046" s="752" t="s">
        <v>1681</v>
      </c>
      <c r="H1046" s="753">
        <v>51140</v>
      </c>
      <c r="I1046" s="754">
        <v>2500</v>
      </c>
      <c r="J1046" s="754">
        <v>0</v>
      </c>
      <c r="K1046" s="754">
        <v>0</v>
      </c>
      <c r="L1046" s="754">
        <v>0</v>
      </c>
      <c r="M1046" s="754">
        <f t="shared" si="57"/>
        <v>0</v>
      </c>
      <c r="N1046" s="756">
        <v>2500</v>
      </c>
      <c r="O1046" s="720">
        <f t="shared" si="58"/>
        <v>0</v>
      </c>
    </row>
    <row r="1047" spans="1:15" outlineLevel="2" x14ac:dyDescent="0.25">
      <c r="A1047" s="207" t="str">
        <f>VLOOKUP(RIGHT(E1047,3)+0,SchLocTable!$A$2:$B$47,2,FALSE)</f>
        <v>Bassick HS</v>
      </c>
      <c r="B1047" s="207" t="str">
        <f>VLOOKUP(VALUE(D1047),$D$3:F$106,3,FALSE)</f>
        <v>Bilingual Education</v>
      </c>
      <c r="C1047" s="751" t="s">
        <v>246</v>
      </c>
      <c r="D1047" s="751" t="s">
        <v>453</v>
      </c>
      <c r="E1047" s="751" t="s">
        <v>469</v>
      </c>
      <c r="F1047" s="751" t="s">
        <v>252</v>
      </c>
      <c r="G1047" s="752" t="s">
        <v>1681</v>
      </c>
      <c r="H1047" s="753">
        <v>51154</v>
      </c>
      <c r="I1047" s="754">
        <v>0</v>
      </c>
      <c r="J1047" s="754">
        <v>0</v>
      </c>
      <c r="K1047" s="754">
        <v>0</v>
      </c>
      <c r="L1047" s="754">
        <v>0</v>
      </c>
      <c r="M1047" s="754">
        <f t="shared" si="57"/>
        <v>0</v>
      </c>
      <c r="N1047" s="756">
        <v>0</v>
      </c>
      <c r="O1047" s="720">
        <f t="shared" si="58"/>
        <v>0</v>
      </c>
    </row>
    <row r="1048" spans="1:15" outlineLevel="2" x14ac:dyDescent="0.25">
      <c r="A1048" s="207" t="str">
        <f>VLOOKUP(RIGHT(E1048,3)+0,SchLocTable!$A$2:$B$47,2,FALSE)</f>
        <v>Bassick HS</v>
      </c>
      <c r="B1048" s="207" t="str">
        <f>VLOOKUP(VALUE(D1048),$D$3:F$106,3,FALSE)</f>
        <v>Bilingual Education</v>
      </c>
      <c r="C1048" s="751" t="s">
        <v>246</v>
      </c>
      <c r="D1048" s="751" t="s">
        <v>453</v>
      </c>
      <c r="E1048" s="751" t="s">
        <v>469</v>
      </c>
      <c r="F1048" s="751" t="s">
        <v>254</v>
      </c>
      <c r="G1048" s="752" t="s">
        <v>1681</v>
      </c>
      <c r="H1048" s="753">
        <v>52360</v>
      </c>
      <c r="I1048" s="754">
        <v>856.58</v>
      </c>
      <c r="J1048" s="754">
        <v>0</v>
      </c>
      <c r="K1048" s="754">
        <v>0</v>
      </c>
      <c r="L1048" s="754">
        <v>216.71</v>
      </c>
      <c r="M1048" s="754">
        <f t="shared" si="57"/>
        <v>216.71</v>
      </c>
      <c r="N1048" s="756">
        <v>856.58</v>
      </c>
      <c r="O1048" s="720">
        <f t="shared" si="58"/>
        <v>0</v>
      </c>
    </row>
    <row r="1049" spans="1:15" outlineLevel="2" x14ac:dyDescent="0.25">
      <c r="A1049" s="207" t="str">
        <f>VLOOKUP(RIGHT(E1049,3)+0,SchLocTable!$A$2:$B$47,2,FALSE)</f>
        <v>Bassick HS</v>
      </c>
      <c r="B1049" s="207" t="str">
        <f>VLOOKUP(VALUE(D1049),$D$3:F$106,3,FALSE)</f>
        <v>Bilingual Education</v>
      </c>
      <c r="C1049" s="751" t="s">
        <v>246</v>
      </c>
      <c r="D1049" s="751" t="s">
        <v>453</v>
      </c>
      <c r="E1049" s="751" t="s">
        <v>469</v>
      </c>
      <c r="F1049" s="751" t="s">
        <v>259</v>
      </c>
      <c r="G1049" s="752" t="s">
        <v>1681</v>
      </c>
      <c r="H1049" s="753">
        <v>52917</v>
      </c>
      <c r="I1049" s="754">
        <v>35075.879999999997</v>
      </c>
      <c r="J1049" s="754">
        <v>0</v>
      </c>
      <c r="K1049" s="754">
        <v>0</v>
      </c>
      <c r="L1049" s="754">
        <v>8351.4</v>
      </c>
      <c r="M1049" s="754">
        <f t="shared" si="57"/>
        <v>8351.4</v>
      </c>
      <c r="N1049" s="756">
        <v>35075.879999999997</v>
      </c>
      <c r="O1049" s="720">
        <f t="shared" si="58"/>
        <v>0</v>
      </c>
    </row>
    <row r="1050" spans="1:15" outlineLevel="2" x14ac:dyDescent="0.25">
      <c r="A1050" s="207" t="str">
        <f>VLOOKUP(RIGHT(E1050,3)+0,SchLocTable!$A$2:$B$47,2,FALSE)</f>
        <v>Central HS</v>
      </c>
      <c r="B1050" s="207" t="str">
        <f>VLOOKUP(VALUE(D1050),$D$3:F$106,3,FALSE)</f>
        <v>Bilingual Education</v>
      </c>
      <c r="C1050" s="751" t="s">
        <v>246</v>
      </c>
      <c r="D1050" s="751" t="s">
        <v>453</v>
      </c>
      <c r="E1050" s="751" t="s">
        <v>470</v>
      </c>
      <c r="F1050" s="751" t="s">
        <v>248</v>
      </c>
      <c r="G1050" s="752">
        <v>3</v>
      </c>
      <c r="H1050" s="753">
        <v>51000</v>
      </c>
      <c r="I1050" s="754">
        <v>219664.73</v>
      </c>
      <c r="J1050" s="754">
        <v>0</v>
      </c>
      <c r="K1050" s="754">
        <v>0</v>
      </c>
      <c r="L1050" s="754">
        <v>39159.08</v>
      </c>
      <c r="M1050" s="754">
        <f t="shared" si="57"/>
        <v>39159.08</v>
      </c>
      <c r="N1050" s="756">
        <v>219664.73</v>
      </c>
      <c r="O1050" s="720">
        <f t="shared" si="58"/>
        <v>0</v>
      </c>
    </row>
    <row r="1051" spans="1:15" outlineLevel="2" x14ac:dyDescent="0.25">
      <c r="A1051" s="207" t="str">
        <f>VLOOKUP(RIGHT(E1051,3)+0,SchLocTable!$A$2:$B$47,2,FALSE)</f>
        <v>Central HS</v>
      </c>
      <c r="B1051" s="207" t="str">
        <f>VLOOKUP(VALUE(D1051),$D$3:F$106,3,FALSE)</f>
        <v>Bilingual Education</v>
      </c>
      <c r="C1051" s="751" t="s">
        <v>246</v>
      </c>
      <c r="D1051" s="751" t="s">
        <v>453</v>
      </c>
      <c r="E1051" s="751" t="s">
        <v>470</v>
      </c>
      <c r="F1051" s="751" t="s">
        <v>254</v>
      </c>
      <c r="G1051" s="752" t="s">
        <v>1681</v>
      </c>
      <c r="H1051" s="753">
        <v>52360</v>
      </c>
      <c r="I1051" s="754">
        <v>3125.61</v>
      </c>
      <c r="J1051" s="754">
        <v>0</v>
      </c>
      <c r="K1051" s="754">
        <v>0</v>
      </c>
      <c r="L1051" s="754">
        <v>508.28</v>
      </c>
      <c r="M1051" s="754">
        <f t="shared" si="57"/>
        <v>508.28</v>
      </c>
      <c r="N1051" s="756">
        <v>3125.61</v>
      </c>
      <c r="O1051" s="720">
        <f t="shared" si="58"/>
        <v>0</v>
      </c>
    </row>
    <row r="1052" spans="1:15" outlineLevel="2" x14ac:dyDescent="0.25">
      <c r="A1052" s="207" t="str">
        <f>VLOOKUP(RIGHT(E1052,3)+0,SchLocTable!$A$2:$B$47,2,FALSE)</f>
        <v>Central HS</v>
      </c>
      <c r="B1052" s="207" t="str">
        <f>VLOOKUP(VALUE(D1052),$D$3:F$106,3,FALSE)</f>
        <v>Bilingual Education</v>
      </c>
      <c r="C1052" s="751" t="s">
        <v>246</v>
      </c>
      <c r="D1052" s="751" t="s">
        <v>453</v>
      </c>
      <c r="E1052" s="751" t="s">
        <v>470</v>
      </c>
      <c r="F1052" s="751" t="s">
        <v>259</v>
      </c>
      <c r="G1052" s="752" t="s">
        <v>1681</v>
      </c>
      <c r="H1052" s="753">
        <v>52917</v>
      </c>
      <c r="I1052" s="754">
        <v>62761.88</v>
      </c>
      <c r="J1052" s="754">
        <v>0</v>
      </c>
      <c r="K1052" s="754">
        <v>0</v>
      </c>
      <c r="L1052" s="754">
        <v>14339.8</v>
      </c>
      <c r="M1052" s="754">
        <f t="shared" si="57"/>
        <v>14339.8</v>
      </c>
      <c r="N1052" s="756">
        <v>62761.88</v>
      </c>
      <c r="O1052" s="720">
        <f t="shared" si="58"/>
        <v>0</v>
      </c>
    </row>
    <row r="1053" spans="1:15" outlineLevel="2" x14ac:dyDescent="0.25">
      <c r="A1053" s="207" t="str">
        <f>VLOOKUP(RIGHT(E1053,3)+0,SchLocTable!$A$2:$B$47,2,FALSE)</f>
        <v>Harding HS</v>
      </c>
      <c r="B1053" s="207" t="str">
        <f>VLOOKUP(VALUE(D1053),$D$3:F$106,3,FALSE)</f>
        <v>Bilingual Education</v>
      </c>
      <c r="C1053" s="751" t="s">
        <v>246</v>
      </c>
      <c r="D1053" s="751" t="s">
        <v>453</v>
      </c>
      <c r="E1053" s="751" t="s">
        <v>471</v>
      </c>
      <c r="F1053" s="751" t="s">
        <v>248</v>
      </c>
      <c r="G1053" s="752">
        <v>7</v>
      </c>
      <c r="H1053" s="753">
        <v>51000</v>
      </c>
      <c r="I1053" s="754">
        <v>611914.80000000005</v>
      </c>
      <c r="J1053" s="754">
        <v>0</v>
      </c>
      <c r="K1053" s="754">
        <v>0</v>
      </c>
      <c r="L1053" s="754">
        <v>121565.5</v>
      </c>
      <c r="M1053" s="754">
        <f t="shared" si="57"/>
        <v>121565.5</v>
      </c>
      <c r="N1053" s="756">
        <v>611914.80000000005</v>
      </c>
      <c r="O1053" s="720">
        <f t="shared" si="58"/>
        <v>0</v>
      </c>
    </row>
    <row r="1054" spans="1:15" outlineLevel="2" x14ac:dyDescent="0.25">
      <c r="A1054" s="207" t="str">
        <f>VLOOKUP(RIGHT(E1054,3)+0,SchLocTable!$A$2:$B$47,2,FALSE)</f>
        <v>Harding HS</v>
      </c>
      <c r="B1054" s="207" t="str">
        <f>VLOOKUP(VALUE(D1054),$D$3:F$106,3,FALSE)</f>
        <v>Bilingual Education</v>
      </c>
      <c r="C1054" s="751" t="s">
        <v>246</v>
      </c>
      <c r="D1054" s="751" t="s">
        <v>453</v>
      </c>
      <c r="E1054" s="751" t="s">
        <v>471</v>
      </c>
      <c r="F1054" s="751" t="s">
        <v>257</v>
      </c>
      <c r="G1054" s="752" t="s">
        <v>1681</v>
      </c>
      <c r="H1054" s="753">
        <v>51140</v>
      </c>
      <c r="I1054" s="754">
        <v>7700</v>
      </c>
      <c r="J1054" s="754">
        <v>0</v>
      </c>
      <c r="K1054" s="754">
        <v>0</v>
      </c>
      <c r="L1054" s="754">
        <v>0</v>
      </c>
      <c r="M1054" s="754">
        <f t="shared" si="57"/>
        <v>0</v>
      </c>
      <c r="N1054" s="756">
        <v>7700</v>
      </c>
      <c r="O1054" s="720">
        <f t="shared" si="58"/>
        <v>0</v>
      </c>
    </row>
    <row r="1055" spans="1:15" outlineLevel="2" x14ac:dyDescent="0.25">
      <c r="A1055" s="207" t="str">
        <f>VLOOKUP(RIGHT(E1055,3)+0,SchLocTable!$A$2:$B$47,2,FALSE)</f>
        <v>Harding HS</v>
      </c>
      <c r="B1055" s="207" t="str">
        <f>VLOOKUP(VALUE(D1055),$D$3:F$106,3,FALSE)</f>
        <v>Bilingual Education</v>
      </c>
      <c r="C1055" s="751" t="s">
        <v>246</v>
      </c>
      <c r="D1055" s="751" t="s">
        <v>453</v>
      </c>
      <c r="E1055" s="751" t="s">
        <v>471</v>
      </c>
      <c r="F1055" s="751" t="s">
        <v>252</v>
      </c>
      <c r="G1055" s="752" t="s">
        <v>1681</v>
      </c>
      <c r="H1055" s="753">
        <v>51154</v>
      </c>
      <c r="I1055" s="754">
        <v>0</v>
      </c>
      <c r="J1055" s="754">
        <v>0</v>
      </c>
      <c r="K1055" s="754">
        <v>0</v>
      </c>
      <c r="L1055" s="754">
        <v>0</v>
      </c>
      <c r="M1055" s="754">
        <f t="shared" si="57"/>
        <v>0</v>
      </c>
      <c r="N1055" s="756">
        <v>0</v>
      </c>
      <c r="O1055" s="720">
        <f t="shared" si="58"/>
        <v>0</v>
      </c>
    </row>
    <row r="1056" spans="1:15" outlineLevel="2" x14ac:dyDescent="0.25">
      <c r="A1056" s="207" t="str">
        <f>VLOOKUP(RIGHT(E1056,3)+0,SchLocTable!$A$2:$B$47,2,FALSE)</f>
        <v>Harding HS</v>
      </c>
      <c r="B1056" s="207" t="str">
        <f>VLOOKUP(VALUE(D1056),$D$3:F$106,3,FALSE)</f>
        <v>Bilingual Education</v>
      </c>
      <c r="C1056" s="751" t="s">
        <v>246</v>
      </c>
      <c r="D1056" s="751" t="s">
        <v>453</v>
      </c>
      <c r="E1056" s="751" t="s">
        <v>471</v>
      </c>
      <c r="F1056" s="751" t="s">
        <v>254</v>
      </c>
      <c r="G1056" s="752" t="s">
        <v>1681</v>
      </c>
      <c r="H1056" s="753">
        <v>52360</v>
      </c>
      <c r="I1056" s="754">
        <v>8800.4500000000007</v>
      </c>
      <c r="J1056" s="754">
        <v>0</v>
      </c>
      <c r="K1056" s="754">
        <v>0</v>
      </c>
      <c r="L1056" s="754">
        <v>1690.39</v>
      </c>
      <c r="M1056" s="754">
        <f t="shared" si="57"/>
        <v>1690.39</v>
      </c>
      <c r="N1056" s="756">
        <v>8800.4500000000007</v>
      </c>
      <c r="O1056" s="720">
        <f t="shared" si="58"/>
        <v>0</v>
      </c>
    </row>
    <row r="1057" spans="1:15" outlineLevel="2" x14ac:dyDescent="0.25">
      <c r="A1057" s="207" t="str">
        <f>VLOOKUP(RIGHT(E1057,3)+0,SchLocTable!$A$2:$B$47,2,FALSE)</f>
        <v>Harding HS</v>
      </c>
      <c r="B1057" s="207" t="str">
        <f>VLOOKUP(VALUE(D1057),$D$3:F$106,3,FALSE)</f>
        <v>Bilingual Education</v>
      </c>
      <c r="C1057" s="751" t="s">
        <v>246</v>
      </c>
      <c r="D1057" s="751" t="s">
        <v>453</v>
      </c>
      <c r="E1057" s="751" t="s">
        <v>471</v>
      </c>
      <c r="F1057" s="751" t="s">
        <v>259</v>
      </c>
      <c r="G1057" s="752" t="s">
        <v>1681</v>
      </c>
      <c r="H1057" s="753">
        <v>52917</v>
      </c>
      <c r="I1057" s="754">
        <v>71486.52</v>
      </c>
      <c r="J1057" s="754">
        <v>0</v>
      </c>
      <c r="K1057" s="754">
        <v>0</v>
      </c>
      <c r="L1057" s="754">
        <v>17020.599999999999</v>
      </c>
      <c r="M1057" s="754">
        <f t="shared" si="57"/>
        <v>17020.599999999999</v>
      </c>
      <c r="N1057" s="756">
        <v>71486.52</v>
      </c>
      <c r="O1057" s="720">
        <f t="shared" si="58"/>
        <v>0</v>
      </c>
    </row>
    <row r="1058" spans="1:15" outlineLevel="2" x14ac:dyDescent="0.25">
      <c r="A1058" s="207" t="e">
        <f>VLOOKUP(RIGHT(E1058,3)+0,SchLocTable!$A$2:$B$47,2,FALSE)</f>
        <v>#N/A</v>
      </c>
      <c r="B1058" s="207" t="str">
        <f>VLOOKUP(VALUE(D1058),$D$3:F$106,3,FALSE)</f>
        <v>Bilingual Education</v>
      </c>
      <c r="C1058" s="751" t="s">
        <v>246</v>
      </c>
      <c r="D1058" s="751" t="s">
        <v>453</v>
      </c>
      <c r="E1058" s="751" t="s">
        <v>2184</v>
      </c>
      <c r="F1058" s="751" t="s">
        <v>248</v>
      </c>
      <c r="G1058" s="752">
        <v>1</v>
      </c>
      <c r="H1058" s="753">
        <v>51000</v>
      </c>
      <c r="I1058" s="754">
        <v>93652.800000000003</v>
      </c>
      <c r="J1058" s="754">
        <v>0</v>
      </c>
      <c r="K1058" s="754">
        <v>0</v>
      </c>
      <c r="L1058" s="754">
        <v>17941.150000000001</v>
      </c>
      <c r="M1058" s="754">
        <f t="shared" si="57"/>
        <v>17941.150000000001</v>
      </c>
      <c r="N1058" s="756">
        <v>93652.800000000003</v>
      </c>
      <c r="O1058" s="720">
        <f t="shared" si="58"/>
        <v>0</v>
      </c>
    </row>
    <row r="1059" spans="1:15" outlineLevel="2" x14ac:dyDescent="0.25">
      <c r="A1059" s="207" t="e">
        <f>VLOOKUP(RIGHT(E1059,3)+0,SchLocTable!$A$2:$B$47,2,FALSE)</f>
        <v>#N/A</v>
      </c>
      <c r="B1059" s="207" t="str">
        <f>VLOOKUP(VALUE(D1059),$D$3:F$106,3,FALSE)</f>
        <v>Bilingual Education</v>
      </c>
      <c r="C1059" s="751" t="s">
        <v>246</v>
      </c>
      <c r="D1059" s="751" t="s">
        <v>453</v>
      </c>
      <c r="E1059" s="751" t="s">
        <v>2184</v>
      </c>
      <c r="F1059" s="751" t="s">
        <v>254</v>
      </c>
      <c r="G1059" s="752" t="s">
        <v>1681</v>
      </c>
      <c r="H1059" s="753">
        <v>52360</v>
      </c>
      <c r="I1059" s="754">
        <v>245.02</v>
      </c>
      <c r="J1059" s="754">
        <v>0</v>
      </c>
      <c r="K1059" s="754">
        <v>0</v>
      </c>
      <c r="L1059" s="754">
        <v>245.02</v>
      </c>
      <c r="M1059" s="754">
        <f t="shared" si="57"/>
        <v>245.02</v>
      </c>
      <c r="N1059" s="756">
        <v>245.02</v>
      </c>
      <c r="O1059" s="720">
        <f t="shared" si="58"/>
        <v>0</v>
      </c>
    </row>
    <row r="1060" spans="1:15" outlineLevel="2" x14ac:dyDescent="0.25">
      <c r="A1060" s="207" t="e">
        <f>VLOOKUP(RIGHT(E1060,3)+0,SchLocTable!$A$2:$B$47,2,FALSE)</f>
        <v>#N/A</v>
      </c>
      <c r="B1060" s="207" t="str">
        <f>VLOOKUP(VALUE(D1060),$D$3:F$106,3,FALSE)</f>
        <v>Bilingual Education</v>
      </c>
      <c r="C1060" s="751" t="s">
        <v>246</v>
      </c>
      <c r="D1060" s="751" t="s">
        <v>453</v>
      </c>
      <c r="E1060" s="751" t="s">
        <v>2184</v>
      </c>
      <c r="F1060" s="751" t="s">
        <v>259</v>
      </c>
      <c r="G1060" s="752" t="s">
        <v>1681</v>
      </c>
      <c r="H1060" s="753">
        <v>52917</v>
      </c>
      <c r="I1060" s="754">
        <v>2820</v>
      </c>
      <c r="J1060" s="754">
        <v>0</v>
      </c>
      <c r="K1060" s="754">
        <v>0</v>
      </c>
      <c r="L1060" s="754">
        <v>2820</v>
      </c>
      <c r="M1060" s="754">
        <f t="shared" si="57"/>
        <v>2820</v>
      </c>
      <c r="N1060" s="756">
        <v>2820</v>
      </c>
      <c r="O1060" s="720">
        <f t="shared" si="58"/>
        <v>0</v>
      </c>
    </row>
    <row r="1061" spans="1:15" outlineLevel="2" x14ac:dyDescent="0.25">
      <c r="A1061" s="207" t="e">
        <f>VLOOKUP(RIGHT(E1061,3)+0,SchLocTable!$A$2:$B$47,2,FALSE)</f>
        <v>#N/A</v>
      </c>
      <c r="B1061" s="207" t="str">
        <f>VLOOKUP(VALUE(D1061),$D$3:F$106,3,FALSE)</f>
        <v>Bilingual Aides</v>
      </c>
      <c r="C1061" s="751" t="s">
        <v>246</v>
      </c>
      <c r="D1061" s="751" t="s">
        <v>2108</v>
      </c>
      <c r="E1061" s="751" t="s">
        <v>2109</v>
      </c>
      <c r="F1061" s="751" t="s">
        <v>257</v>
      </c>
      <c r="G1061" s="752" t="s">
        <v>1681</v>
      </c>
      <c r="H1061" s="753">
        <v>51140</v>
      </c>
      <c r="I1061" s="754">
        <v>2590</v>
      </c>
      <c r="J1061" s="754">
        <v>0</v>
      </c>
      <c r="K1061" s="754">
        <v>0</v>
      </c>
      <c r="L1061" s="754">
        <v>0</v>
      </c>
      <c r="M1061" s="754">
        <f t="shared" si="57"/>
        <v>0</v>
      </c>
      <c r="N1061" s="756">
        <v>2590</v>
      </c>
      <c r="O1061" s="720">
        <f t="shared" si="58"/>
        <v>0</v>
      </c>
    </row>
    <row r="1062" spans="1:15" outlineLevel="2" x14ac:dyDescent="0.25">
      <c r="A1062" s="207" t="e">
        <f>VLOOKUP(RIGHT(E1062,3)+0,SchLocTable!$A$2:$B$47,2,FALSE)</f>
        <v>#N/A</v>
      </c>
      <c r="B1062" s="207" t="str">
        <f>VLOOKUP(VALUE(D1062),$D$3:F$106,3,FALSE)</f>
        <v>Bilingual Aides</v>
      </c>
      <c r="C1062" s="751" t="s">
        <v>246</v>
      </c>
      <c r="D1062" s="751" t="s">
        <v>2108</v>
      </c>
      <c r="E1062" s="751" t="s">
        <v>2109</v>
      </c>
      <c r="F1062" s="751" t="s">
        <v>254</v>
      </c>
      <c r="G1062" s="752" t="s">
        <v>1681</v>
      </c>
      <c r="H1062" s="753">
        <v>52360</v>
      </c>
      <c r="I1062" s="754">
        <v>0</v>
      </c>
      <c r="J1062" s="754">
        <v>0</v>
      </c>
      <c r="K1062" s="754">
        <v>0</v>
      </c>
      <c r="L1062" s="754">
        <v>0</v>
      </c>
      <c r="M1062" s="754">
        <f t="shared" si="57"/>
        <v>0</v>
      </c>
      <c r="N1062" s="756">
        <v>0</v>
      </c>
      <c r="O1062" s="720">
        <f t="shared" si="58"/>
        <v>0</v>
      </c>
    </row>
    <row r="1063" spans="1:15" outlineLevel="2" x14ac:dyDescent="0.25">
      <c r="A1063" s="207" t="e">
        <f>VLOOKUP(RIGHT(E1063,3)+0,SchLocTable!$A$2:$B$47,2,FALSE)</f>
        <v>#N/A</v>
      </c>
      <c r="B1063" s="207" t="str">
        <f>VLOOKUP(VALUE(D1063),$D$3:F$106,3,FALSE)</f>
        <v>Bilingual Aides</v>
      </c>
      <c r="C1063" s="751" t="s">
        <v>246</v>
      </c>
      <c r="D1063" s="751" t="s">
        <v>2108</v>
      </c>
      <c r="E1063" s="751" t="s">
        <v>2109</v>
      </c>
      <c r="F1063" s="751" t="s">
        <v>331</v>
      </c>
      <c r="G1063" s="752" t="s">
        <v>1681</v>
      </c>
      <c r="H1063" s="753">
        <v>52504</v>
      </c>
      <c r="I1063" s="754">
        <v>0</v>
      </c>
      <c r="J1063" s="754">
        <v>0</v>
      </c>
      <c r="K1063" s="754">
        <v>0</v>
      </c>
      <c r="L1063" s="754">
        <v>0</v>
      </c>
      <c r="M1063" s="754">
        <f t="shared" si="57"/>
        <v>0</v>
      </c>
      <c r="N1063" s="756">
        <v>0</v>
      </c>
      <c r="O1063" s="720">
        <f t="shared" si="58"/>
        <v>0</v>
      </c>
    </row>
    <row r="1064" spans="1:15" outlineLevel="2" x14ac:dyDescent="0.25">
      <c r="A1064" s="207" t="str">
        <f>VLOOKUP(RIGHT(E1064,3)+0,SchLocTable!$A$2:$B$47,2,FALSE)</f>
        <v>Columbus</v>
      </c>
      <c r="B1064" s="207" t="str">
        <f>VLOOKUP(VALUE(D1064),$D$3:F$106,3,FALSE)</f>
        <v>Bilingual Aides</v>
      </c>
      <c r="C1064" s="751" t="s">
        <v>246</v>
      </c>
      <c r="D1064" s="751" t="s">
        <v>2108</v>
      </c>
      <c r="E1064" s="751" t="s">
        <v>2110</v>
      </c>
      <c r="F1064" s="751" t="s">
        <v>257</v>
      </c>
      <c r="G1064" s="752" t="s">
        <v>1681</v>
      </c>
      <c r="H1064" s="753">
        <v>51140</v>
      </c>
      <c r="I1064" s="754">
        <v>1800</v>
      </c>
      <c r="J1064" s="754">
        <v>0</v>
      </c>
      <c r="K1064" s="754">
        <v>0</v>
      </c>
      <c r="L1064" s="754">
        <v>0</v>
      </c>
      <c r="M1064" s="754">
        <f t="shared" si="57"/>
        <v>0</v>
      </c>
      <c r="N1064" s="756">
        <v>1800</v>
      </c>
      <c r="O1064" s="720">
        <f t="shared" si="58"/>
        <v>0</v>
      </c>
    </row>
    <row r="1065" spans="1:15" outlineLevel="2" x14ac:dyDescent="0.25">
      <c r="A1065" s="207" t="str">
        <f>VLOOKUP(RIGHT(E1065,3)+0,SchLocTable!$A$2:$B$47,2,FALSE)</f>
        <v>Columbus</v>
      </c>
      <c r="B1065" s="207" t="str">
        <f>VLOOKUP(VALUE(D1065),$D$3:F$106,3,FALSE)</f>
        <v>Bilingual Aides</v>
      </c>
      <c r="C1065" s="751" t="s">
        <v>246</v>
      </c>
      <c r="D1065" s="751" t="s">
        <v>2108</v>
      </c>
      <c r="E1065" s="751" t="s">
        <v>2110</v>
      </c>
      <c r="F1065" s="751" t="s">
        <v>254</v>
      </c>
      <c r="G1065" s="752" t="s">
        <v>1681</v>
      </c>
      <c r="H1065" s="753">
        <v>52360</v>
      </c>
      <c r="I1065" s="754">
        <v>0</v>
      </c>
      <c r="J1065" s="754">
        <v>0</v>
      </c>
      <c r="K1065" s="754">
        <v>0</v>
      </c>
      <c r="L1065" s="754">
        <v>0</v>
      </c>
      <c r="M1065" s="754">
        <f t="shared" si="57"/>
        <v>0</v>
      </c>
      <c r="N1065" s="756">
        <v>0</v>
      </c>
      <c r="O1065" s="720">
        <f t="shared" si="58"/>
        <v>0</v>
      </c>
    </row>
    <row r="1066" spans="1:15" outlineLevel="2" x14ac:dyDescent="0.25">
      <c r="A1066" s="207" t="str">
        <f>VLOOKUP(RIGHT(E1066,3)+0,SchLocTable!$A$2:$B$47,2,FALSE)</f>
        <v>Columbus</v>
      </c>
      <c r="B1066" s="207" t="str">
        <f>VLOOKUP(VALUE(D1066),$D$3:F$106,3,FALSE)</f>
        <v>Bilingual Aides</v>
      </c>
      <c r="C1066" s="751" t="s">
        <v>246</v>
      </c>
      <c r="D1066" s="751" t="s">
        <v>2108</v>
      </c>
      <c r="E1066" s="751" t="s">
        <v>2110</v>
      </c>
      <c r="F1066" s="751" t="s">
        <v>331</v>
      </c>
      <c r="G1066" s="752" t="s">
        <v>1681</v>
      </c>
      <c r="H1066" s="753">
        <v>52504</v>
      </c>
      <c r="I1066" s="754">
        <v>0</v>
      </c>
      <c r="J1066" s="754">
        <v>0</v>
      </c>
      <c r="K1066" s="754">
        <v>0</v>
      </c>
      <c r="L1066" s="754">
        <v>0</v>
      </c>
      <c r="M1066" s="754">
        <f t="shared" si="57"/>
        <v>0</v>
      </c>
      <c r="N1066" s="756">
        <v>0</v>
      </c>
      <c r="O1066" s="720">
        <f t="shared" si="58"/>
        <v>0</v>
      </c>
    </row>
    <row r="1067" spans="1:15" outlineLevel="2" x14ac:dyDescent="0.25">
      <c r="A1067" s="207" t="str">
        <f>VLOOKUP(RIGHT(E1067,3)+0,SchLocTable!$A$2:$B$47,2,FALSE)</f>
        <v>Batalla</v>
      </c>
      <c r="B1067" s="207" t="str">
        <f>VLOOKUP(VALUE(D1067),$D$3:F$106,3,FALSE)</f>
        <v>Bilingual Aides</v>
      </c>
      <c r="C1067" s="751" t="s">
        <v>246</v>
      </c>
      <c r="D1067" s="751" t="s">
        <v>2108</v>
      </c>
      <c r="E1067" s="751" t="s">
        <v>2111</v>
      </c>
      <c r="F1067" s="751" t="s">
        <v>257</v>
      </c>
      <c r="G1067" s="752" t="s">
        <v>1681</v>
      </c>
      <c r="H1067" s="753">
        <v>51140</v>
      </c>
      <c r="I1067" s="754">
        <v>3600</v>
      </c>
      <c r="J1067" s="754">
        <v>0</v>
      </c>
      <c r="K1067" s="754">
        <v>0</v>
      </c>
      <c r="L1067" s="754">
        <v>0</v>
      </c>
      <c r="M1067" s="754">
        <f t="shared" si="57"/>
        <v>0</v>
      </c>
      <c r="N1067" s="756">
        <v>3600</v>
      </c>
      <c r="O1067" s="720">
        <f t="shared" si="58"/>
        <v>0</v>
      </c>
    </row>
    <row r="1068" spans="1:15" outlineLevel="2" x14ac:dyDescent="0.25">
      <c r="A1068" s="207" t="str">
        <f>VLOOKUP(RIGHT(E1068,3)+0,SchLocTable!$A$2:$B$47,2,FALSE)</f>
        <v>Batalla</v>
      </c>
      <c r="B1068" s="207" t="str">
        <f>VLOOKUP(VALUE(D1068),$D$3:F$106,3,FALSE)</f>
        <v>Bilingual Aides</v>
      </c>
      <c r="C1068" s="751" t="s">
        <v>246</v>
      </c>
      <c r="D1068" s="751" t="s">
        <v>2108</v>
      </c>
      <c r="E1068" s="751" t="s">
        <v>2111</v>
      </c>
      <c r="F1068" s="751" t="s">
        <v>254</v>
      </c>
      <c r="G1068" s="752" t="s">
        <v>1681</v>
      </c>
      <c r="H1068" s="753">
        <v>52360</v>
      </c>
      <c r="I1068" s="754">
        <v>0</v>
      </c>
      <c r="J1068" s="754">
        <v>0</v>
      </c>
      <c r="K1068" s="754">
        <v>0</v>
      </c>
      <c r="L1068" s="754">
        <v>0</v>
      </c>
      <c r="M1068" s="754">
        <f t="shared" si="57"/>
        <v>0</v>
      </c>
      <c r="N1068" s="756">
        <v>0</v>
      </c>
      <c r="O1068" s="720">
        <f t="shared" si="58"/>
        <v>0</v>
      </c>
    </row>
    <row r="1069" spans="1:15" outlineLevel="2" x14ac:dyDescent="0.25">
      <c r="A1069" s="207" t="str">
        <f>VLOOKUP(RIGHT(E1069,3)+0,SchLocTable!$A$2:$B$47,2,FALSE)</f>
        <v>Batalla</v>
      </c>
      <c r="B1069" s="207" t="str">
        <f>VLOOKUP(VALUE(D1069),$D$3:F$106,3,FALSE)</f>
        <v>Bilingual Aides</v>
      </c>
      <c r="C1069" s="755" t="s">
        <v>246</v>
      </c>
      <c r="D1069" s="751" t="s">
        <v>2108</v>
      </c>
      <c r="E1069" s="751" t="s">
        <v>2111</v>
      </c>
      <c r="F1069" s="751" t="s">
        <v>331</v>
      </c>
      <c r="G1069" s="752" t="s">
        <v>1681</v>
      </c>
      <c r="H1069" s="753">
        <v>52504</v>
      </c>
      <c r="I1069" s="754">
        <v>0</v>
      </c>
      <c r="J1069" s="754">
        <v>0</v>
      </c>
      <c r="K1069" s="754">
        <v>0</v>
      </c>
      <c r="L1069" s="754">
        <v>0</v>
      </c>
      <c r="M1069" s="754">
        <f t="shared" si="57"/>
        <v>0</v>
      </c>
      <c r="N1069" s="756">
        <v>0</v>
      </c>
      <c r="O1069" s="720">
        <f t="shared" si="58"/>
        <v>0</v>
      </c>
    </row>
    <row r="1070" spans="1:15" outlineLevel="2" x14ac:dyDescent="0.25">
      <c r="A1070" s="207" t="str">
        <f>VLOOKUP(RIGHT(E1070,3)+0,SchLocTable!$A$2:$B$47,2,FALSE)</f>
        <v>Roosevelt</v>
      </c>
      <c r="B1070" s="207" t="str">
        <f>VLOOKUP(VALUE(D1070),$D$3:F$106,3,FALSE)</f>
        <v>Bilingual Aides</v>
      </c>
      <c r="C1070" s="751" t="s">
        <v>246</v>
      </c>
      <c r="D1070" s="751" t="s">
        <v>2108</v>
      </c>
      <c r="E1070" s="751" t="s">
        <v>2112</v>
      </c>
      <c r="F1070" s="751" t="s">
        <v>257</v>
      </c>
      <c r="G1070" s="752" t="s">
        <v>1681</v>
      </c>
      <c r="H1070" s="753">
        <v>51140</v>
      </c>
      <c r="I1070" s="754">
        <v>1330</v>
      </c>
      <c r="J1070" s="754">
        <v>0</v>
      </c>
      <c r="K1070" s="754">
        <v>0</v>
      </c>
      <c r="L1070" s="754">
        <v>0</v>
      </c>
      <c r="M1070" s="754">
        <f t="shared" si="57"/>
        <v>0</v>
      </c>
      <c r="N1070" s="756">
        <v>1330</v>
      </c>
      <c r="O1070" s="720">
        <f t="shared" si="58"/>
        <v>0</v>
      </c>
    </row>
    <row r="1071" spans="1:15" outlineLevel="2" x14ac:dyDescent="0.25">
      <c r="A1071" s="207" t="str">
        <f>VLOOKUP(RIGHT(E1071,3)+0,SchLocTable!$A$2:$B$47,2,FALSE)</f>
        <v>Roosevelt</v>
      </c>
      <c r="B1071" s="207" t="str">
        <f>VLOOKUP(VALUE(D1071),$D$3:F$106,3,FALSE)</f>
        <v>Bilingual Aides</v>
      </c>
      <c r="C1071" s="751" t="s">
        <v>246</v>
      </c>
      <c r="D1071" s="751" t="s">
        <v>2108</v>
      </c>
      <c r="E1071" s="751" t="s">
        <v>2112</v>
      </c>
      <c r="F1071" s="751" t="s">
        <v>254</v>
      </c>
      <c r="G1071" s="752" t="s">
        <v>1681</v>
      </c>
      <c r="H1071" s="753">
        <v>52360</v>
      </c>
      <c r="I1071" s="754">
        <v>0</v>
      </c>
      <c r="J1071" s="754">
        <v>0</v>
      </c>
      <c r="K1071" s="754">
        <v>0</v>
      </c>
      <c r="L1071" s="754">
        <v>0</v>
      </c>
      <c r="M1071" s="754">
        <f t="shared" si="57"/>
        <v>0</v>
      </c>
      <c r="N1071" s="756">
        <v>0</v>
      </c>
      <c r="O1071" s="720">
        <f t="shared" si="58"/>
        <v>0</v>
      </c>
    </row>
    <row r="1072" spans="1:15" outlineLevel="2" x14ac:dyDescent="0.25">
      <c r="A1072" s="207" t="str">
        <f>VLOOKUP(RIGHT(E1072,3)+0,SchLocTable!$A$2:$B$47,2,FALSE)</f>
        <v>Roosevelt</v>
      </c>
      <c r="B1072" s="207" t="str">
        <f>VLOOKUP(VALUE(D1072),$D$3:F$106,3,FALSE)</f>
        <v>Bilingual Aides</v>
      </c>
      <c r="C1072" s="751" t="s">
        <v>246</v>
      </c>
      <c r="D1072" s="751" t="s">
        <v>2108</v>
      </c>
      <c r="E1072" s="751" t="s">
        <v>2112</v>
      </c>
      <c r="F1072" s="751" t="s">
        <v>331</v>
      </c>
      <c r="G1072" s="752" t="s">
        <v>1681</v>
      </c>
      <c r="H1072" s="753">
        <v>52504</v>
      </c>
      <c r="I1072" s="754">
        <v>0</v>
      </c>
      <c r="J1072" s="754">
        <v>0</v>
      </c>
      <c r="K1072" s="754">
        <v>0</v>
      </c>
      <c r="L1072" s="754">
        <v>0</v>
      </c>
      <c r="M1072" s="754">
        <f t="shared" si="57"/>
        <v>0</v>
      </c>
      <c r="N1072" s="756">
        <v>0</v>
      </c>
      <c r="O1072" s="720">
        <f t="shared" si="58"/>
        <v>0</v>
      </c>
    </row>
    <row r="1073" spans="1:15" outlineLevel="2" x14ac:dyDescent="0.25">
      <c r="A1073" s="207" t="str">
        <f>VLOOKUP(RIGHT(E1073,3)+0,SchLocTable!$A$2:$B$47,2,FALSE)</f>
        <v>Curiale</v>
      </c>
      <c r="B1073" s="207" t="str">
        <f>VLOOKUP(VALUE(D1073),$D$3:F$106,3,FALSE)</f>
        <v>Bilingual Aides</v>
      </c>
      <c r="C1073" s="751" t="s">
        <v>246</v>
      </c>
      <c r="D1073" s="751" t="s">
        <v>2108</v>
      </c>
      <c r="E1073" s="751" t="s">
        <v>2113</v>
      </c>
      <c r="F1073" s="751" t="s">
        <v>257</v>
      </c>
      <c r="G1073" s="752" t="s">
        <v>1681</v>
      </c>
      <c r="H1073" s="753">
        <v>51140</v>
      </c>
      <c r="I1073" s="754">
        <v>1800</v>
      </c>
      <c r="J1073" s="754">
        <v>0</v>
      </c>
      <c r="K1073" s="754">
        <v>0</v>
      </c>
      <c r="L1073" s="754">
        <v>0</v>
      </c>
      <c r="M1073" s="754">
        <f t="shared" si="57"/>
        <v>0</v>
      </c>
      <c r="N1073" s="756">
        <v>1800</v>
      </c>
      <c r="O1073" s="720">
        <f t="shared" si="58"/>
        <v>0</v>
      </c>
    </row>
    <row r="1074" spans="1:15" outlineLevel="2" x14ac:dyDescent="0.25">
      <c r="A1074" s="207" t="str">
        <f>VLOOKUP(RIGHT(E1074,3)+0,SchLocTable!$A$2:$B$47,2,FALSE)</f>
        <v>Curiale</v>
      </c>
      <c r="B1074" s="207" t="str">
        <f>VLOOKUP(VALUE(D1074),$D$3:F$106,3,FALSE)</f>
        <v>Bilingual Aides</v>
      </c>
      <c r="C1074" s="751" t="s">
        <v>246</v>
      </c>
      <c r="D1074" s="751" t="s">
        <v>2108</v>
      </c>
      <c r="E1074" s="751" t="s">
        <v>2113</v>
      </c>
      <c r="F1074" s="751" t="s">
        <v>254</v>
      </c>
      <c r="G1074" s="752" t="s">
        <v>1681</v>
      </c>
      <c r="H1074" s="753">
        <v>52360</v>
      </c>
      <c r="I1074" s="754">
        <v>0</v>
      </c>
      <c r="J1074" s="754">
        <v>0</v>
      </c>
      <c r="K1074" s="754">
        <v>0</v>
      </c>
      <c r="L1074" s="754">
        <v>0</v>
      </c>
      <c r="M1074" s="754">
        <f t="shared" si="57"/>
        <v>0</v>
      </c>
      <c r="N1074" s="756">
        <v>0</v>
      </c>
      <c r="O1074" s="720">
        <f t="shared" si="58"/>
        <v>0</v>
      </c>
    </row>
    <row r="1075" spans="1:15" outlineLevel="1" x14ac:dyDescent="0.25">
      <c r="A1075" s="207" t="str">
        <f>VLOOKUP(RIGHT(E1075,3)+0,SchLocTable!$A$2:$B$47,2,FALSE)</f>
        <v>Curiale</v>
      </c>
      <c r="B1075" s="207" t="str">
        <f>VLOOKUP(VALUE(D1075),$D$3:F$106,3,FALSE)</f>
        <v>Bilingual Aides</v>
      </c>
      <c r="C1075" s="751" t="s">
        <v>246</v>
      </c>
      <c r="D1075" s="751" t="s">
        <v>2108</v>
      </c>
      <c r="E1075" s="751" t="s">
        <v>2113</v>
      </c>
      <c r="F1075" s="751" t="s">
        <v>331</v>
      </c>
      <c r="G1075" s="752" t="s">
        <v>1681</v>
      </c>
      <c r="H1075" s="753">
        <v>52504</v>
      </c>
      <c r="I1075" s="754">
        <v>0</v>
      </c>
      <c r="J1075" s="754">
        <v>0</v>
      </c>
      <c r="K1075" s="754">
        <v>0</v>
      </c>
      <c r="L1075" s="754">
        <v>0</v>
      </c>
      <c r="M1075" s="754">
        <f t="shared" si="57"/>
        <v>0</v>
      </c>
      <c r="N1075" s="756">
        <v>0</v>
      </c>
      <c r="O1075" s="720">
        <f t="shared" si="58"/>
        <v>0</v>
      </c>
    </row>
    <row r="1076" spans="1:15" outlineLevel="2" x14ac:dyDescent="0.25">
      <c r="A1076" s="207" t="str">
        <f>VLOOKUP(RIGHT(E1076,3)+0,SchLocTable!$A$2:$B$47,2,FALSE)</f>
        <v>Physical Science HS</v>
      </c>
      <c r="B1076" s="207" t="str">
        <f>VLOOKUP(VALUE(D1076),$D$3:F$106,3,FALSE)</f>
        <v>World Languages</v>
      </c>
      <c r="C1076" s="751" t="s">
        <v>246</v>
      </c>
      <c r="D1076" s="751" t="s">
        <v>472</v>
      </c>
      <c r="E1076" s="751" t="s">
        <v>473</v>
      </c>
      <c r="F1076" s="751" t="s">
        <v>248</v>
      </c>
      <c r="G1076" s="752">
        <v>1</v>
      </c>
      <c r="H1076" s="753">
        <v>51000</v>
      </c>
      <c r="I1076" s="754">
        <v>103153.2</v>
      </c>
      <c r="J1076" s="754">
        <v>0</v>
      </c>
      <c r="K1076" s="754">
        <v>0</v>
      </c>
      <c r="L1076" s="754">
        <v>19761.150000000001</v>
      </c>
      <c r="M1076" s="754">
        <f t="shared" si="57"/>
        <v>19761.150000000001</v>
      </c>
      <c r="N1076" s="756">
        <v>103153.2</v>
      </c>
      <c r="O1076" s="720">
        <f t="shared" si="58"/>
        <v>0</v>
      </c>
    </row>
    <row r="1077" spans="1:15" outlineLevel="2" x14ac:dyDescent="0.25">
      <c r="A1077" s="207" t="str">
        <f>VLOOKUP(RIGHT(E1077,3)+0,SchLocTable!$A$2:$B$47,2,FALSE)</f>
        <v>Physical Science HS</v>
      </c>
      <c r="B1077" s="207" t="str">
        <f>VLOOKUP(VALUE(D1077),$D$3:F$106,3,FALSE)</f>
        <v>World Languages</v>
      </c>
      <c r="C1077" s="751" t="s">
        <v>246</v>
      </c>
      <c r="D1077" s="751" t="s">
        <v>472</v>
      </c>
      <c r="E1077" s="751" t="s">
        <v>473</v>
      </c>
      <c r="F1077" s="751" t="s">
        <v>257</v>
      </c>
      <c r="G1077" s="752" t="s">
        <v>1681</v>
      </c>
      <c r="H1077" s="753">
        <v>51140</v>
      </c>
      <c r="I1077" s="754">
        <v>900</v>
      </c>
      <c r="J1077" s="754">
        <v>0</v>
      </c>
      <c r="K1077" s="754">
        <v>0</v>
      </c>
      <c r="L1077" s="754">
        <v>0</v>
      </c>
      <c r="M1077" s="754">
        <f t="shared" si="57"/>
        <v>0</v>
      </c>
      <c r="N1077" s="756">
        <v>900</v>
      </c>
      <c r="O1077" s="720">
        <f t="shared" si="58"/>
        <v>0</v>
      </c>
    </row>
    <row r="1078" spans="1:15" outlineLevel="2" x14ac:dyDescent="0.25">
      <c r="A1078" s="207" t="str">
        <f>VLOOKUP(RIGHT(E1078,3)+0,SchLocTable!$A$2:$B$47,2,FALSE)</f>
        <v>Physical Science HS</v>
      </c>
      <c r="B1078" s="207" t="str">
        <f>VLOOKUP(VALUE(D1078),$D$3:F$106,3,FALSE)</f>
        <v>World Languages</v>
      </c>
      <c r="C1078" s="755" t="s">
        <v>246</v>
      </c>
      <c r="D1078" s="751" t="s">
        <v>472</v>
      </c>
      <c r="E1078" s="751" t="s">
        <v>473</v>
      </c>
      <c r="F1078" s="751" t="s">
        <v>254</v>
      </c>
      <c r="G1078" s="752" t="s">
        <v>1681</v>
      </c>
      <c r="H1078" s="753">
        <v>52360</v>
      </c>
      <c r="I1078" s="754">
        <v>1480.78</v>
      </c>
      <c r="J1078" s="754">
        <v>0</v>
      </c>
      <c r="K1078" s="754">
        <v>0</v>
      </c>
      <c r="L1078" s="754">
        <v>271.60000000000002</v>
      </c>
      <c r="M1078" s="754">
        <f t="shared" si="57"/>
        <v>271.60000000000002</v>
      </c>
      <c r="N1078" s="756">
        <v>1480.78</v>
      </c>
      <c r="O1078" s="720">
        <f t="shared" si="58"/>
        <v>0</v>
      </c>
    </row>
    <row r="1079" spans="1:15" outlineLevel="2" x14ac:dyDescent="0.25">
      <c r="A1079" s="207" t="str">
        <f>VLOOKUP(RIGHT(E1079,3)+0,SchLocTable!$A$2:$B$47,2,FALSE)</f>
        <v>Physical Science HS</v>
      </c>
      <c r="B1079" s="207" t="str">
        <f>VLOOKUP(VALUE(D1079),$D$3:F$106,3,FALSE)</f>
        <v>World Languages</v>
      </c>
      <c r="C1079" s="751" t="s">
        <v>246</v>
      </c>
      <c r="D1079" s="751" t="s">
        <v>472</v>
      </c>
      <c r="E1079" s="751" t="s">
        <v>473</v>
      </c>
      <c r="F1079" s="751" t="s">
        <v>259</v>
      </c>
      <c r="G1079" s="752" t="s">
        <v>1681</v>
      </c>
      <c r="H1079" s="753">
        <v>52917</v>
      </c>
      <c r="I1079" s="754">
        <v>11844</v>
      </c>
      <c r="J1079" s="754">
        <v>0</v>
      </c>
      <c r="K1079" s="754">
        <v>0</v>
      </c>
      <c r="L1079" s="754">
        <v>2820</v>
      </c>
      <c r="M1079" s="754">
        <f t="shared" si="57"/>
        <v>2820</v>
      </c>
      <c r="N1079" s="756">
        <v>11844</v>
      </c>
      <c r="O1079" s="720">
        <f t="shared" si="58"/>
        <v>0</v>
      </c>
    </row>
    <row r="1080" spans="1:15" outlineLevel="2" x14ac:dyDescent="0.25">
      <c r="A1080" s="207" t="str">
        <f>VLOOKUP(RIGHT(E1080,3)+0,SchLocTable!$A$2:$B$47,2,FALSE)</f>
        <v>Batalla</v>
      </c>
      <c r="B1080" s="207" t="str">
        <f>VLOOKUP(VALUE(D1080),$D$3:F$106,3,FALSE)</f>
        <v>World Languages</v>
      </c>
      <c r="C1080" s="755" t="s">
        <v>246</v>
      </c>
      <c r="D1080" s="751" t="s">
        <v>472</v>
      </c>
      <c r="E1080" s="751" t="s">
        <v>474</v>
      </c>
      <c r="F1080" s="751" t="s">
        <v>248</v>
      </c>
      <c r="G1080" s="752">
        <v>1</v>
      </c>
      <c r="H1080" s="753">
        <v>51000</v>
      </c>
      <c r="I1080" s="754">
        <v>93652.800000000003</v>
      </c>
      <c r="J1080" s="754">
        <v>0</v>
      </c>
      <c r="K1080" s="754">
        <v>0</v>
      </c>
      <c r="L1080" s="754">
        <v>17941.150000000001</v>
      </c>
      <c r="M1080" s="754">
        <f t="shared" si="57"/>
        <v>17941.150000000001</v>
      </c>
      <c r="N1080" s="756">
        <v>93652.800000000003</v>
      </c>
      <c r="O1080" s="720">
        <f t="shared" si="58"/>
        <v>0</v>
      </c>
    </row>
    <row r="1081" spans="1:15" outlineLevel="2" x14ac:dyDescent="0.25">
      <c r="A1081" s="207" t="str">
        <f>VLOOKUP(RIGHT(E1081,3)+0,SchLocTable!$A$2:$B$47,2,FALSE)</f>
        <v>Batalla</v>
      </c>
      <c r="B1081" s="207" t="str">
        <f>VLOOKUP(VALUE(D1081),$D$3:F$106,3,FALSE)</f>
        <v>World Languages</v>
      </c>
      <c r="C1081" s="751" t="s">
        <v>246</v>
      </c>
      <c r="D1081" s="751" t="s">
        <v>472</v>
      </c>
      <c r="E1081" s="751" t="s">
        <v>474</v>
      </c>
      <c r="F1081" s="751" t="s">
        <v>254</v>
      </c>
      <c r="G1081" s="752" t="s">
        <v>1681</v>
      </c>
      <c r="H1081" s="753">
        <v>52360</v>
      </c>
      <c r="I1081" s="754">
        <v>1345.93</v>
      </c>
      <c r="J1081" s="754">
        <v>0</v>
      </c>
      <c r="K1081" s="754">
        <v>0</v>
      </c>
      <c r="L1081" s="754">
        <v>248.11</v>
      </c>
      <c r="M1081" s="754">
        <f t="shared" si="57"/>
        <v>248.11</v>
      </c>
      <c r="N1081" s="756">
        <v>1345.93</v>
      </c>
      <c r="O1081" s="720">
        <f t="shared" si="58"/>
        <v>0</v>
      </c>
    </row>
    <row r="1082" spans="1:15" outlineLevel="2" x14ac:dyDescent="0.25">
      <c r="A1082" s="207" t="str">
        <f>VLOOKUP(RIGHT(E1082,3)+0,SchLocTable!$A$2:$B$47,2,FALSE)</f>
        <v>Batalla</v>
      </c>
      <c r="B1082" s="207" t="str">
        <f>VLOOKUP(VALUE(D1082),$D$3:F$106,3,FALSE)</f>
        <v>World Languages</v>
      </c>
      <c r="C1082" s="751" t="s">
        <v>246</v>
      </c>
      <c r="D1082" s="751" t="s">
        <v>472</v>
      </c>
      <c r="E1082" s="751" t="s">
        <v>474</v>
      </c>
      <c r="F1082" s="751" t="s">
        <v>259</v>
      </c>
      <c r="G1082" s="752" t="s">
        <v>1681</v>
      </c>
      <c r="H1082" s="753">
        <v>52917</v>
      </c>
      <c r="I1082" s="754">
        <v>11844</v>
      </c>
      <c r="J1082" s="754">
        <v>0</v>
      </c>
      <c r="K1082" s="754">
        <v>0</v>
      </c>
      <c r="L1082" s="754">
        <v>2820</v>
      </c>
      <c r="M1082" s="754">
        <f t="shared" si="57"/>
        <v>2820</v>
      </c>
      <c r="N1082" s="756">
        <v>11844</v>
      </c>
      <c r="O1082" s="720">
        <f t="shared" si="58"/>
        <v>0</v>
      </c>
    </row>
    <row r="1083" spans="1:15" outlineLevel="2" x14ac:dyDescent="0.25">
      <c r="A1083" s="207" t="str">
        <f>VLOOKUP(RIGHT(E1083,3)+0,SchLocTable!$A$2:$B$47,2,FALSE)</f>
        <v>Info Tech HS</v>
      </c>
      <c r="B1083" s="207" t="str">
        <f>VLOOKUP(VALUE(D1083),$D$3:F$106,3,FALSE)</f>
        <v>World Languages</v>
      </c>
      <c r="C1083" s="751" t="s">
        <v>246</v>
      </c>
      <c r="D1083" s="751" t="s">
        <v>472</v>
      </c>
      <c r="E1083" s="751" t="s">
        <v>475</v>
      </c>
      <c r="F1083" s="751" t="s">
        <v>248</v>
      </c>
      <c r="G1083" s="752">
        <v>1</v>
      </c>
      <c r="H1083" s="753">
        <v>51000</v>
      </c>
      <c r="I1083" s="754">
        <v>94517.23</v>
      </c>
      <c r="J1083" s="754">
        <v>0</v>
      </c>
      <c r="K1083" s="754">
        <v>0</v>
      </c>
      <c r="L1083" s="754">
        <v>18106.75</v>
      </c>
      <c r="M1083" s="754">
        <f t="shared" si="57"/>
        <v>18106.75</v>
      </c>
      <c r="N1083" s="756">
        <v>94517.23</v>
      </c>
      <c r="O1083" s="720">
        <f t="shared" si="58"/>
        <v>0</v>
      </c>
    </row>
    <row r="1084" spans="1:15" outlineLevel="2" x14ac:dyDescent="0.25">
      <c r="A1084" s="207" t="str">
        <f>VLOOKUP(RIGHT(E1084,3)+0,SchLocTable!$A$2:$B$47,2,FALSE)</f>
        <v>Info Tech HS</v>
      </c>
      <c r="B1084" s="207" t="str">
        <f>VLOOKUP(VALUE(D1084),$D$3:F$106,3,FALSE)</f>
        <v>World Languages</v>
      </c>
      <c r="C1084" s="751" t="s">
        <v>246</v>
      </c>
      <c r="D1084" s="751" t="s">
        <v>472</v>
      </c>
      <c r="E1084" s="751" t="s">
        <v>475</v>
      </c>
      <c r="F1084" s="751" t="s">
        <v>254</v>
      </c>
      <c r="G1084" s="752" t="s">
        <v>1681</v>
      </c>
      <c r="H1084" s="753">
        <v>52360</v>
      </c>
      <c r="I1084" s="754">
        <v>1358.46</v>
      </c>
      <c r="J1084" s="754">
        <v>0</v>
      </c>
      <c r="K1084" s="754">
        <v>0</v>
      </c>
      <c r="L1084" s="754">
        <v>250.51</v>
      </c>
      <c r="M1084" s="754">
        <f t="shared" si="57"/>
        <v>250.51</v>
      </c>
      <c r="N1084" s="756">
        <v>1358.46</v>
      </c>
      <c r="O1084" s="720">
        <f t="shared" si="58"/>
        <v>0</v>
      </c>
    </row>
    <row r="1085" spans="1:15" outlineLevel="2" x14ac:dyDescent="0.25">
      <c r="A1085" s="207" t="str">
        <f>VLOOKUP(RIGHT(E1085,3)+0,SchLocTable!$A$2:$B$47,2,FALSE)</f>
        <v>Info Tech HS</v>
      </c>
      <c r="B1085" s="207" t="str">
        <f>VLOOKUP(VALUE(D1085),$D$3:F$106,3,FALSE)</f>
        <v>World Languages</v>
      </c>
      <c r="C1085" s="751" t="s">
        <v>246</v>
      </c>
      <c r="D1085" s="751" t="s">
        <v>472</v>
      </c>
      <c r="E1085" s="751" t="s">
        <v>475</v>
      </c>
      <c r="F1085" s="751" t="s">
        <v>259</v>
      </c>
      <c r="G1085" s="752" t="s">
        <v>1681</v>
      </c>
      <c r="H1085" s="753">
        <v>52917</v>
      </c>
      <c r="I1085" s="754">
        <v>11844</v>
      </c>
      <c r="J1085" s="754">
        <v>0</v>
      </c>
      <c r="K1085" s="754">
        <v>0</v>
      </c>
      <c r="L1085" s="754">
        <v>2820</v>
      </c>
      <c r="M1085" s="754">
        <f t="shared" si="57"/>
        <v>2820</v>
      </c>
      <c r="N1085" s="756">
        <v>11844</v>
      </c>
      <c r="O1085" s="720">
        <f t="shared" si="58"/>
        <v>0</v>
      </c>
    </row>
    <row r="1086" spans="1:15" outlineLevel="2" x14ac:dyDescent="0.25">
      <c r="A1086" s="207" t="str">
        <f>VLOOKUP(RIGHT(E1086,3)+0,SchLocTable!$A$2:$B$47,2,FALSE)</f>
        <v>BMA HS</v>
      </c>
      <c r="B1086" s="207" t="str">
        <f>VLOOKUP(VALUE(D1086),$D$3:F$106,3,FALSE)</f>
        <v>World Languages</v>
      </c>
      <c r="C1086" s="751" t="s">
        <v>246</v>
      </c>
      <c r="D1086" s="751" t="s">
        <v>472</v>
      </c>
      <c r="E1086" s="751" t="s">
        <v>476</v>
      </c>
      <c r="F1086" s="751" t="s">
        <v>248</v>
      </c>
      <c r="G1086" s="752">
        <v>1</v>
      </c>
      <c r="H1086" s="753">
        <v>51000</v>
      </c>
      <c r="I1086" s="754">
        <v>49225</v>
      </c>
      <c r="J1086" s="754">
        <v>0</v>
      </c>
      <c r="K1086" s="754">
        <v>0</v>
      </c>
      <c r="L1086" s="754">
        <v>8500</v>
      </c>
      <c r="M1086" s="754">
        <f t="shared" si="57"/>
        <v>8500</v>
      </c>
      <c r="N1086" s="756">
        <v>49225</v>
      </c>
      <c r="O1086" s="720">
        <f t="shared" si="58"/>
        <v>0</v>
      </c>
    </row>
    <row r="1087" spans="1:15" outlineLevel="2" x14ac:dyDescent="0.25">
      <c r="A1087" s="207" t="str">
        <f>VLOOKUP(RIGHT(E1087,3)+0,SchLocTable!$A$2:$B$47,2,FALSE)</f>
        <v>BMA HS</v>
      </c>
      <c r="B1087" s="207" t="str">
        <f>VLOOKUP(VALUE(D1087),$D$3:F$106,3,FALSE)</f>
        <v>World Languages</v>
      </c>
      <c r="C1087" s="751" t="s">
        <v>246</v>
      </c>
      <c r="D1087" s="751" t="s">
        <v>472</v>
      </c>
      <c r="E1087" s="751" t="s">
        <v>476</v>
      </c>
      <c r="F1087" s="751" t="s">
        <v>254</v>
      </c>
      <c r="G1087" s="752" t="s">
        <v>1681</v>
      </c>
      <c r="H1087" s="753">
        <v>52360</v>
      </c>
      <c r="I1087" s="754">
        <v>704.12</v>
      </c>
      <c r="J1087" s="754">
        <v>0</v>
      </c>
      <c r="K1087" s="754">
        <v>0</v>
      </c>
      <c r="L1087" s="754">
        <v>113.61</v>
      </c>
      <c r="M1087" s="754">
        <f t="shared" ref="M1087:M1150" si="59">SUM(J1087:L1087)</f>
        <v>113.61</v>
      </c>
      <c r="N1087" s="756">
        <v>704.12</v>
      </c>
      <c r="O1087" s="720">
        <f t="shared" ref="O1087:O1150" si="60">I1087-N1087</f>
        <v>0</v>
      </c>
    </row>
    <row r="1088" spans="1:15" outlineLevel="2" x14ac:dyDescent="0.25">
      <c r="A1088" s="207" t="str">
        <f>VLOOKUP(RIGHT(E1088,3)+0,SchLocTable!$A$2:$B$47,2,FALSE)</f>
        <v>BMA HS</v>
      </c>
      <c r="B1088" s="207" t="str">
        <f>VLOOKUP(VALUE(D1088),$D$3:F$106,3,FALSE)</f>
        <v>World Languages</v>
      </c>
      <c r="C1088" s="751" t="s">
        <v>246</v>
      </c>
      <c r="D1088" s="751" t="s">
        <v>472</v>
      </c>
      <c r="E1088" s="751" t="s">
        <v>476</v>
      </c>
      <c r="F1088" s="751" t="s">
        <v>292</v>
      </c>
      <c r="G1088" s="752" t="s">
        <v>1681</v>
      </c>
      <c r="H1088" s="753">
        <v>52385</v>
      </c>
      <c r="I1088" s="754">
        <v>2824.11</v>
      </c>
      <c r="J1088" s="754">
        <v>0</v>
      </c>
      <c r="K1088" s="754">
        <v>0</v>
      </c>
      <c r="L1088" s="754">
        <v>485.77</v>
      </c>
      <c r="M1088" s="754">
        <f t="shared" si="59"/>
        <v>485.77</v>
      </c>
      <c r="N1088" s="756">
        <v>2824.11</v>
      </c>
      <c r="O1088" s="720">
        <f t="shared" si="60"/>
        <v>0</v>
      </c>
    </row>
    <row r="1089" spans="1:15" outlineLevel="2" x14ac:dyDescent="0.25">
      <c r="A1089" s="207" t="str">
        <f>VLOOKUP(RIGHT(E1089,3)+0,SchLocTable!$A$2:$B$47,2,FALSE)</f>
        <v>BMA HS</v>
      </c>
      <c r="B1089" s="207" t="str">
        <f>VLOOKUP(VALUE(D1089),$D$3:F$106,3,FALSE)</f>
        <v>World Languages</v>
      </c>
      <c r="C1089" s="751" t="s">
        <v>246</v>
      </c>
      <c r="D1089" s="751" t="s">
        <v>472</v>
      </c>
      <c r="E1089" s="751" t="s">
        <v>476</v>
      </c>
      <c r="F1089" s="751" t="s">
        <v>806</v>
      </c>
      <c r="G1089" s="752" t="s">
        <v>1681</v>
      </c>
      <c r="H1089" s="753">
        <v>52397</v>
      </c>
      <c r="I1089" s="754">
        <v>0</v>
      </c>
      <c r="J1089" s="754">
        <v>0</v>
      </c>
      <c r="K1089" s="754">
        <v>0</v>
      </c>
      <c r="L1089" s="754">
        <v>0</v>
      </c>
      <c r="M1089" s="754">
        <f t="shared" si="59"/>
        <v>0</v>
      </c>
      <c r="N1089" s="756">
        <v>0</v>
      </c>
      <c r="O1089" s="720">
        <f t="shared" si="60"/>
        <v>0</v>
      </c>
    </row>
    <row r="1090" spans="1:15" outlineLevel="2" x14ac:dyDescent="0.25">
      <c r="A1090" s="207" t="str">
        <f>VLOOKUP(RIGHT(E1090,3)+0,SchLocTable!$A$2:$B$47,2,FALSE)</f>
        <v>BMA HS</v>
      </c>
      <c r="B1090" s="207" t="str">
        <f>VLOOKUP(VALUE(D1090),$D$3:F$106,3,FALSE)</f>
        <v>World Languages</v>
      </c>
      <c r="C1090" s="751" t="s">
        <v>246</v>
      </c>
      <c r="D1090" s="751" t="s">
        <v>472</v>
      </c>
      <c r="E1090" s="751" t="s">
        <v>476</v>
      </c>
      <c r="F1090" s="751" t="s">
        <v>259</v>
      </c>
      <c r="G1090" s="752" t="s">
        <v>1681</v>
      </c>
      <c r="H1090" s="753">
        <v>52917</v>
      </c>
      <c r="I1090" s="754">
        <v>12506.83</v>
      </c>
      <c r="J1090" s="754">
        <v>0</v>
      </c>
      <c r="K1090" s="754">
        <v>0</v>
      </c>
      <c r="L1090" s="754">
        <v>2263.6799999999998</v>
      </c>
      <c r="M1090" s="754">
        <f t="shared" si="59"/>
        <v>2263.6799999999998</v>
      </c>
      <c r="N1090" s="756">
        <v>12506.83</v>
      </c>
      <c r="O1090" s="720">
        <f t="shared" si="60"/>
        <v>0</v>
      </c>
    </row>
    <row r="1091" spans="1:15" outlineLevel="2" x14ac:dyDescent="0.25">
      <c r="A1091" s="207" t="str">
        <f>VLOOKUP(RIGHT(E1091,3)+0,SchLocTable!$A$2:$B$47,2,FALSE)</f>
        <v>Zoo Science HS</v>
      </c>
      <c r="B1091" s="207" t="str">
        <f>VLOOKUP(VALUE(D1091),$D$3:F$106,3,FALSE)</f>
        <v>World Languages</v>
      </c>
      <c r="C1091" s="751" t="s">
        <v>246</v>
      </c>
      <c r="D1091" s="751" t="s">
        <v>472</v>
      </c>
      <c r="E1091" s="751" t="s">
        <v>477</v>
      </c>
      <c r="F1091" s="751" t="s">
        <v>248</v>
      </c>
      <c r="G1091" s="752">
        <v>2</v>
      </c>
      <c r="H1091" s="753">
        <v>51000</v>
      </c>
      <c r="I1091" s="754">
        <v>179345.11</v>
      </c>
      <c r="J1091" s="754">
        <v>0</v>
      </c>
      <c r="K1091" s="754">
        <v>0</v>
      </c>
      <c r="L1091" s="754">
        <v>34357.300000000003</v>
      </c>
      <c r="M1091" s="754">
        <f t="shared" si="59"/>
        <v>34357.300000000003</v>
      </c>
      <c r="N1091" s="756">
        <v>179345.11</v>
      </c>
      <c r="O1091" s="720">
        <f t="shared" si="60"/>
        <v>0</v>
      </c>
    </row>
    <row r="1092" spans="1:15" outlineLevel="2" x14ac:dyDescent="0.25">
      <c r="A1092" s="207" t="str">
        <f>VLOOKUP(RIGHT(E1092,3)+0,SchLocTable!$A$2:$B$47,2,FALSE)</f>
        <v>Zoo Science HS</v>
      </c>
      <c r="B1092" s="207" t="str">
        <f>VLOOKUP(VALUE(D1092),$D$3:F$106,3,FALSE)</f>
        <v>World Languages</v>
      </c>
      <c r="C1092" s="751" t="s">
        <v>246</v>
      </c>
      <c r="D1092" s="751" t="s">
        <v>472</v>
      </c>
      <c r="E1092" s="751" t="s">
        <v>477</v>
      </c>
      <c r="F1092" s="751" t="s">
        <v>254</v>
      </c>
      <c r="G1092" s="752" t="s">
        <v>1681</v>
      </c>
      <c r="H1092" s="753">
        <v>52360</v>
      </c>
      <c r="I1092" s="754">
        <v>2533.29</v>
      </c>
      <c r="J1092" s="754">
        <v>0</v>
      </c>
      <c r="K1092" s="754">
        <v>0</v>
      </c>
      <c r="L1092" s="754">
        <v>430.97</v>
      </c>
      <c r="M1092" s="754">
        <f t="shared" si="59"/>
        <v>430.97</v>
      </c>
      <c r="N1092" s="756">
        <v>2533.29</v>
      </c>
      <c r="O1092" s="720">
        <f t="shared" si="60"/>
        <v>0</v>
      </c>
    </row>
    <row r="1093" spans="1:15" outlineLevel="2" x14ac:dyDescent="0.25">
      <c r="A1093" s="207" t="str">
        <f>VLOOKUP(RIGHT(E1093,3)+0,SchLocTable!$A$2:$B$47,2,FALSE)</f>
        <v>Zoo Science HS</v>
      </c>
      <c r="B1093" s="207" t="str">
        <f>VLOOKUP(VALUE(D1093),$D$3:F$106,3,FALSE)</f>
        <v>World Languages</v>
      </c>
      <c r="C1093" s="751" t="s">
        <v>246</v>
      </c>
      <c r="D1093" s="751" t="s">
        <v>472</v>
      </c>
      <c r="E1093" s="751" t="s">
        <v>477</v>
      </c>
      <c r="F1093" s="751" t="s">
        <v>259</v>
      </c>
      <c r="G1093" s="752" t="s">
        <v>1681</v>
      </c>
      <c r="H1093" s="753">
        <v>52917</v>
      </c>
      <c r="I1093" s="754">
        <v>62993.279999999999</v>
      </c>
      <c r="J1093" s="754">
        <v>0</v>
      </c>
      <c r="K1093" s="754">
        <v>0</v>
      </c>
      <c r="L1093" s="754">
        <v>14998.4</v>
      </c>
      <c r="M1093" s="754">
        <f t="shared" si="59"/>
        <v>14998.4</v>
      </c>
      <c r="N1093" s="756">
        <v>62993.279999999999</v>
      </c>
      <c r="O1093" s="720">
        <f t="shared" si="60"/>
        <v>0</v>
      </c>
    </row>
    <row r="1094" spans="1:15" outlineLevel="2" x14ac:dyDescent="0.25">
      <c r="A1094" s="207" t="str">
        <f>VLOOKUP(RIGHT(E1094,3)+0,SchLocTable!$A$2:$B$47,2,FALSE)</f>
        <v>Multicultural Magnet</v>
      </c>
      <c r="B1094" s="207" t="str">
        <f>VLOOKUP(VALUE(D1094),$D$3:F$106,3,FALSE)</f>
        <v>World Languages</v>
      </c>
      <c r="C1094" s="751" t="s">
        <v>246</v>
      </c>
      <c r="D1094" s="751" t="s">
        <v>472</v>
      </c>
      <c r="E1094" s="751" t="s">
        <v>478</v>
      </c>
      <c r="F1094" s="751" t="s">
        <v>248</v>
      </c>
      <c r="G1094" s="752">
        <v>1</v>
      </c>
      <c r="H1094" s="753">
        <v>51000</v>
      </c>
      <c r="I1094" s="754">
        <v>78101.119999999995</v>
      </c>
      <c r="J1094" s="754">
        <v>0</v>
      </c>
      <c r="K1094" s="754">
        <v>0</v>
      </c>
      <c r="L1094" s="754">
        <v>14961.9</v>
      </c>
      <c r="M1094" s="754">
        <f t="shared" si="59"/>
        <v>14961.9</v>
      </c>
      <c r="N1094" s="756">
        <v>78101.119999999995</v>
      </c>
      <c r="O1094" s="720">
        <f t="shared" si="60"/>
        <v>0</v>
      </c>
    </row>
    <row r="1095" spans="1:15" outlineLevel="2" x14ac:dyDescent="0.25">
      <c r="A1095" s="207" t="str">
        <f>VLOOKUP(RIGHT(E1095,3)+0,SchLocTable!$A$2:$B$47,2,FALSE)</f>
        <v>Multicultural Magnet</v>
      </c>
      <c r="B1095" s="207" t="str">
        <f>VLOOKUP(VALUE(D1095),$D$3:F$106,3,FALSE)</f>
        <v>World Languages</v>
      </c>
      <c r="C1095" s="751" t="s">
        <v>246</v>
      </c>
      <c r="D1095" s="751" t="s">
        <v>472</v>
      </c>
      <c r="E1095" s="751" t="s">
        <v>478</v>
      </c>
      <c r="F1095" s="751" t="s">
        <v>254</v>
      </c>
      <c r="G1095" s="752" t="s">
        <v>1681</v>
      </c>
      <c r="H1095" s="753">
        <v>52360</v>
      </c>
      <c r="I1095" s="754">
        <v>1132.47</v>
      </c>
      <c r="J1095" s="754">
        <v>0</v>
      </c>
      <c r="K1095" s="754">
        <v>0</v>
      </c>
      <c r="L1095" s="754">
        <v>216.95</v>
      </c>
      <c r="M1095" s="754">
        <f t="shared" si="59"/>
        <v>216.95</v>
      </c>
      <c r="N1095" s="756">
        <v>1132.47</v>
      </c>
      <c r="O1095" s="720">
        <f t="shared" si="60"/>
        <v>0</v>
      </c>
    </row>
    <row r="1096" spans="1:15" outlineLevel="2" x14ac:dyDescent="0.25">
      <c r="A1096" s="207" t="str">
        <f>VLOOKUP(RIGHT(E1096,3)+0,SchLocTable!$A$2:$B$47,2,FALSE)</f>
        <v>Bassick HS</v>
      </c>
      <c r="B1096" s="207" t="str">
        <f>VLOOKUP(VALUE(D1096),$D$3:F$106,3,FALSE)</f>
        <v>World Languages</v>
      </c>
      <c r="C1096" s="751" t="s">
        <v>246</v>
      </c>
      <c r="D1096" s="751" t="s">
        <v>472</v>
      </c>
      <c r="E1096" s="751" t="s">
        <v>479</v>
      </c>
      <c r="F1096" s="751" t="s">
        <v>248</v>
      </c>
      <c r="G1096" s="752">
        <v>2</v>
      </c>
      <c r="H1096" s="753">
        <v>51000</v>
      </c>
      <c r="I1096" s="754">
        <v>235849.78</v>
      </c>
      <c r="J1096" s="754">
        <v>0</v>
      </c>
      <c r="K1096" s="754">
        <v>0</v>
      </c>
      <c r="L1096" s="754">
        <v>45181.95</v>
      </c>
      <c r="M1096" s="754">
        <f t="shared" si="59"/>
        <v>45181.95</v>
      </c>
      <c r="N1096" s="756">
        <v>235849.78</v>
      </c>
      <c r="O1096" s="720">
        <f t="shared" si="60"/>
        <v>0</v>
      </c>
    </row>
    <row r="1097" spans="1:15" outlineLevel="2" x14ac:dyDescent="0.25">
      <c r="A1097" s="207" t="str">
        <f>VLOOKUP(RIGHT(E1097,3)+0,SchLocTable!$A$2:$B$47,2,FALSE)</f>
        <v>Bassick HS</v>
      </c>
      <c r="B1097" s="207" t="str">
        <f>VLOOKUP(VALUE(D1097),$D$3:F$106,3,FALSE)</f>
        <v>World Languages</v>
      </c>
      <c r="C1097" s="751" t="s">
        <v>246</v>
      </c>
      <c r="D1097" s="751" t="s">
        <v>472</v>
      </c>
      <c r="E1097" s="751" t="s">
        <v>479</v>
      </c>
      <c r="F1097" s="751" t="s">
        <v>257</v>
      </c>
      <c r="G1097" s="752" t="s">
        <v>1681</v>
      </c>
      <c r="H1097" s="753">
        <v>51140</v>
      </c>
      <c r="I1097" s="754">
        <v>0</v>
      </c>
      <c r="J1097" s="754">
        <v>0</v>
      </c>
      <c r="K1097" s="754">
        <v>0</v>
      </c>
      <c r="L1097" s="754">
        <v>0</v>
      </c>
      <c r="M1097" s="754">
        <f t="shared" si="59"/>
        <v>0</v>
      </c>
      <c r="N1097" s="756">
        <v>0</v>
      </c>
      <c r="O1097" s="720">
        <f t="shared" si="60"/>
        <v>0</v>
      </c>
    </row>
    <row r="1098" spans="1:15" outlineLevel="2" x14ac:dyDescent="0.25">
      <c r="A1098" s="207" t="str">
        <f>VLOOKUP(RIGHT(E1098,3)+0,SchLocTable!$A$2:$B$47,2,FALSE)</f>
        <v>Bassick HS</v>
      </c>
      <c r="B1098" s="207" t="str">
        <f>VLOOKUP(VALUE(D1098),$D$3:F$106,3,FALSE)</f>
        <v>World Languages</v>
      </c>
      <c r="C1098" s="751" t="s">
        <v>246</v>
      </c>
      <c r="D1098" s="751" t="s">
        <v>472</v>
      </c>
      <c r="E1098" s="751" t="s">
        <v>479</v>
      </c>
      <c r="F1098" s="751" t="s">
        <v>254</v>
      </c>
      <c r="G1098" s="752" t="s">
        <v>1681</v>
      </c>
      <c r="H1098" s="753">
        <v>52360</v>
      </c>
      <c r="I1098" s="754">
        <v>3378.77</v>
      </c>
      <c r="J1098" s="754">
        <v>0</v>
      </c>
      <c r="K1098" s="754">
        <v>0</v>
      </c>
      <c r="L1098" s="754">
        <v>614.09</v>
      </c>
      <c r="M1098" s="754">
        <f t="shared" si="59"/>
        <v>614.09</v>
      </c>
      <c r="N1098" s="756">
        <v>3378.77</v>
      </c>
      <c r="O1098" s="720">
        <f t="shared" si="60"/>
        <v>0</v>
      </c>
    </row>
    <row r="1099" spans="1:15" outlineLevel="2" x14ac:dyDescent="0.25">
      <c r="A1099" s="207" t="str">
        <f>VLOOKUP(RIGHT(E1099,3)+0,SchLocTable!$A$2:$B$47,2,FALSE)</f>
        <v>Bassick HS</v>
      </c>
      <c r="B1099" s="207" t="str">
        <f>VLOOKUP(VALUE(D1099),$D$3:F$106,3,FALSE)</f>
        <v>World Languages</v>
      </c>
      <c r="C1099" s="751" t="s">
        <v>246</v>
      </c>
      <c r="D1099" s="751" t="s">
        <v>472</v>
      </c>
      <c r="E1099" s="751" t="s">
        <v>479</v>
      </c>
      <c r="F1099" s="751" t="s">
        <v>292</v>
      </c>
      <c r="G1099" s="752" t="s">
        <v>1681</v>
      </c>
      <c r="H1099" s="753">
        <v>52385</v>
      </c>
      <c r="I1099" s="754">
        <v>0</v>
      </c>
      <c r="J1099" s="754">
        <v>0</v>
      </c>
      <c r="K1099" s="754">
        <v>0</v>
      </c>
      <c r="L1099" s="754">
        <v>0</v>
      </c>
      <c r="M1099" s="754">
        <f t="shared" si="59"/>
        <v>0</v>
      </c>
      <c r="N1099" s="756">
        <v>0</v>
      </c>
      <c r="O1099" s="720">
        <f t="shared" si="60"/>
        <v>0</v>
      </c>
    </row>
    <row r="1100" spans="1:15" outlineLevel="2" x14ac:dyDescent="0.25">
      <c r="A1100" s="207" t="str">
        <f>VLOOKUP(RIGHT(E1100,3)+0,SchLocTable!$A$2:$B$47,2,FALSE)</f>
        <v>Bassick HS</v>
      </c>
      <c r="B1100" s="207" t="str">
        <f>VLOOKUP(VALUE(D1100),$D$3:F$106,3,FALSE)</f>
        <v>World Languages</v>
      </c>
      <c r="C1100" s="751" t="s">
        <v>246</v>
      </c>
      <c r="D1100" s="751" t="s">
        <v>472</v>
      </c>
      <c r="E1100" s="751" t="s">
        <v>479</v>
      </c>
      <c r="F1100" s="751" t="s">
        <v>259</v>
      </c>
      <c r="G1100" s="752" t="s">
        <v>1681</v>
      </c>
      <c r="H1100" s="753">
        <v>52917</v>
      </c>
      <c r="I1100" s="754">
        <v>40322.1</v>
      </c>
      <c r="J1100" s="754">
        <v>0</v>
      </c>
      <c r="K1100" s="754">
        <v>0</v>
      </c>
      <c r="L1100" s="754">
        <v>9600.5</v>
      </c>
      <c r="M1100" s="754">
        <f t="shared" si="59"/>
        <v>9600.5</v>
      </c>
      <c r="N1100" s="756">
        <v>40322.1</v>
      </c>
      <c r="O1100" s="720">
        <f t="shared" si="60"/>
        <v>0</v>
      </c>
    </row>
    <row r="1101" spans="1:15" outlineLevel="2" x14ac:dyDescent="0.25">
      <c r="A1101" s="207" t="str">
        <f>VLOOKUP(RIGHT(E1101,3)+0,SchLocTable!$A$2:$B$47,2,FALSE)</f>
        <v>Central HS</v>
      </c>
      <c r="B1101" s="207" t="str">
        <f>VLOOKUP(VALUE(D1101),$D$3:F$106,3,FALSE)</f>
        <v>World Languages</v>
      </c>
      <c r="C1101" s="751" t="s">
        <v>246</v>
      </c>
      <c r="D1101" s="751" t="s">
        <v>472</v>
      </c>
      <c r="E1101" s="751" t="s">
        <v>480</v>
      </c>
      <c r="F1101" s="751" t="s">
        <v>248</v>
      </c>
      <c r="G1101" s="752">
        <v>4</v>
      </c>
      <c r="H1101" s="753">
        <v>51000</v>
      </c>
      <c r="I1101" s="754">
        <v>326999.84000000003</v>
      </c>
      <c r="J1101" s="754">
        <v>0</v>
      </c>
      <c r="K1101" s="754">
        <v>0</v>
      </c>
      <c r="L1101" s="754">
        <v>65412.45</v>
      </c>
      <c r="M1101" s="754">
        <f t="shared" si="59"/>
        <v>65412.45</v>
      </c>
      <c r="N1101" s="756">
        <v>326999.84000000003</v>
      </c>
      <c r="O1101" s="720">
        <f t="shared" si="60"/>
        <v>0</v>
      </c>
    </row>
    <row r="1102" spans="1:15" outlineLevel="2" x14ac:dyDescent="0.25">
      <c r="A1102" s="207" t="str">
        <f>VLOOKUP(RIGHT(E1102,3)+0,SchLocTable!$A$2:$B$47,2,FALSE)</f>
        <v>Central HS</v>
      </c>
      <c r="B1102" s="207" t="str">
        <f>VLOOKUP(VALUE(D1102),$D$3:F$106,3,FALSE)</f>
        <v>World Languages</v>
      </c>
      <c r="C1102" s="751" t="s">
        <v>246</v>
      </c>
      <c r="D1102" s="751" t="s">
        <v>472</v>
      </c>
      <c r="E1102" s="751" t="s">
        <v>480</v>
      </c>
      <c r="F1102" s="751" t="s">
        <v>257</v>
      </c>
      <c r="G1102" s="752" t="s">
        <v>1681</v>
      </c>
      <c r="H1102" s="753">
        <v>51140</v>
      </c>
      <c r="I1102" s="754">
        <v>3100</v>
      </c>
      <c r="J1102" s="754">
        <v>0</v>
      </c>
      <c r="K1102" s="754">
        <v>0</v>
      </c>
      <c r="L1102" s="754">
        <v>0</v>
      </c>
      <c r="M1102" s="754">
        <f t="shared" si="59"/>
        <v>0</v>
      </c>
      <c r="N1102" s="756">
        <v>3100</v>
      </c>
      <c r="O1102" s="720">
        <f t="shared" si="60"/>
        <v>0</v>
      </c>
    </row>
    <row r="1103" spans="1:15" outlineLevel="2" x14ac:dyDescent="0.25">
      <c r="A1103" s="207" t="str">
        <f>VLOOKUP(RIGHT(E1103,3)+0,SchLocTable!$A$2:$B$47,2,FALSE)</f>
        <v>Central HS</v>
      </c>
      <c r="B1103" s="207" t="str">
        <f>VLOOKUP(VALUE(D1103),$D$3:F$106,3,FALSE)</f>
        <v>World Languages</v>
      </c>
      <c r="C1103" s="751" t="s">
        <v>246</v>
      </c>
      <c r="D1103" s="751" t="s">
        <v>472</v>
      </c>
      <c r="E1103" s="751" t="s">
        <v>480</v>
      </c>
      <c r="F1103" s="751" t="s">
        <v>252</v>
      </c>
      <c r="G1103" s="752" t="s">
        <v>1681</v>
      </c>
      <c r="H1103" s="753">
        <v>51154</v>
      </c>
      <c r="I1103" s="754">
        <v>0</v>
      </c>
      <c r="J1103" s="754">
        <v>0</v>
      </c>
      <c r="K1103" s="754">
        <v>0</v>
      </c>
      <c r="L1103" s="754">
        <v>0</v>
      </c>
      <c r="M1103" s="754">
        <f t="shared" si="59"/>
        <v>0</v>
      </c>
      <c r="N1103" s="756">
        <v>0</v>
      </c>
      <c r="O1103" s="720">
        <f t="shared" si="60"/>
        <v>0</v>
      </c>
    </row>
    <row r="1104" spans="1:15" outlineLevel="2" x14ac:dyDescent="0.25">
      <c r="A1104" s="207" t="str">
        <f>VLOOKUP(RIGHT(E1104,3)+0,SchLocTable!$A$2:$B$47,2,FALSE)</f>
        <v>Central HS</v>
      </c>
      <c r="B1104" s="207" t="str">
        <f>VLOOKUP(VALUE(D1104),$D$3:F$106,3,FALSE)</f>
        <v>World Languages</v>
      </c>
      <c r="C1104" s="751" t="s">
        <v>246</v>
      </c>
      <c r="D1104" s="751" t="s">
        <v>472</v>
      </c>
      <c r="E1104" s="751" t="s">
        <v>480</v>
      </c>
      <c r="F1104" s="751" t="s">
        <v>254</v>
      </c>
      <c r="G1104" s="752" t="s">
        <v>1681</v>
      </c>
      <c r="H1104" s="753">
        <v>52360</v>
      </c>
      <c r="I1104" s="754">
        <v>4407.28</v>
      </c>
      <c r="J1104" s="754">
        <v>0</v>
      </c>
      <c r="K1104" s="754">
        <v>0</v>
      </c>
      <c r="L1104" s="754">
        <v>614.26</v>
      </c>
      <c r="M1104" s="754">
        <f t="shared" si="59"/>
        <v>614.26</v>
      </c>
      <c r="N1104" s="756">
        <v>4407.28</v>
      </c>
      <c r="O1104" s="720">
        <f t="shared" si="60"/>
        <v>0</v>
      </c>
    </row>
    <row r="1105" spans="1:15" outlineLevel="2" x14ac:dyDescent="0.25">
      <c r="A1105" s="207" t="str">
        <f>VLOOKUP(RIGHT(E1105,3)+0,SchLocTable!$A$2:$B$47,2,FALSE)</f>
        <v>Central HS</v>
      </c>
      <c r="B1105" s="207" t="str">
        <f>VLOOKUP(VALUE(D1105),$D$3:F$106,3,FALSE)</f>
        <v>World Languages</v>
      </c>
      <c r="C1105" s="751" t="s">
        <v>246</v>
      </c>
      <c r="D1105" s="751" t="s">
        <v>472</v>
      </c>
      <c r="E1105" s="751" t="s">
        <v>480</v>
      </c>
      <c r="F1105" s="751" t="s">
        <v>259</v>
      </c>
      <c r="G1105" s="752" t="s">
        <v>1681</v>
      </c>
      <c r="H1105" s="753">
        <v>52917</v>
      </c>
      <c r="I1105" s="754">
        <v>75397.98</v>
      </c>
      <c r="J1105" s="754">
        <v>0</v>
      </c>
      <c r="K1105" s="754">
        <v>0</v>
      </c>
      <c r="L1105" s="754">
        <v>17951.900000000001</v>
      </c>
      <c r="M1105" s="754">
        <f t="shared" si="59"/>
        <v>17951.900000000001</v>
      </c>
      <c r="N1105" s="756">
        <v>75397.98</v>
      </c>
      <c r="O1105" s="720">
        <f t="shared" si="60"/>
        <v>0</v>
      </c>
    </row>
    <row r="1106" spans="1:15" outlineLevel="2" x14ac:dyDescent="0.25">
      <c r="A1106" s="207" t="str">
        <f>VLOOKUP(RIGHT(E1106,3)+0,SchLocTable!$A$2:$B$47,2,FALSE)</f>
        <v>Harding HS</v>
      </c>
      <c r="B1106" s="207" t="str">
        <f>VLOOKUP(VALUE(D1106),$D$3:F$106,3,FALSE)</f>
        <v>World Languages</v>
      </c>
      <c r="C1106" s="751" t="s">
        <v>246</v>
      </c>
      <c r="D1106" s="751" t="s">
        <v>472</v>
      </c>
      <c r="E1106" s="751" t="s">
        <v>481</v>
      </c>
      <c r="F1106" s="751" t="s">
        <v>248</v>
      </c>
      <c r="G1106" s="752">
        <v>3</v>
      </c>
      <c r="H1106" s="753">
        <v>51000</v>
      </c>
      <c r="I1106" s="754">
        <v>160502.79999999999</v>
      </c>
      <c r="J1106" s="754">
        <v>0</v>
      </c>
      <c r="K1106" s="754">
        <v>0</v>
      </c>
      <c r="L1106" s="754">
        <v>21441.15</v>
      </c>
      <c r="M1106" s="754">
        <f t="shared" si="59"/>
        <v>21441.15</v>
      </c>
      <c r="N1106" s="756">
        <v>160502.79999999999</v>
      </c>
      <c r="O1106" s="720">
        <f t="shared" si="60"/>
        <v>0</v>
      </c>
    </row>
    <row r="1107" spans="1:15" outlineLevel="2" x14ac:dyDescent="0.25">
      <c r="A1107" s="207" t="str">
        <f>VLOOKUP(RIGHT(E1107,3)+0,SchLocTable!$A$2:$B$47,2,FALSE)</f>
        <v>Harding HS</v>
      </c>
      <c r="B1107" s="207" t="str">
        <f>VLOOKUP(VALUE(D1107),$D$3:F$106,3,FALSE)</f>
        <v>World Languages</v>
      </c>
      <c r="C1107" s="755" t="s">
        <v>246</v>
      </c>
      <c r="D1107" s="751" t="s">
        <v>472</v>
      </c>
      <c r="E1107" s="751" t="s">
        <v>481</v>
      </c>
      <c r="F1107" s="751" t="s">
        <v>254</v>
      </c>
      <c r="G1107" s="752" t="s">
        <v>1681</v>
      </c>
      <c r="H1107" s="753">
        <v>52360</v>
      </c>
      <c r="I1107" s="754">
        <v>2291.64</v>
      </c>
      <c r="J1107" s="754">
        <v>0</v>
      </c>
      <c r="K1107" s="754">
        <v>0</v>
      </c>
      <c r="L1107" s="754">
        <v>275.25</v>
      </c>
      <c r="M1107" s="754">
        <f t="shared" si="59"/>
        <v>275.25</v>
      </c>
      <c r="N1107" s="756">
        <v>2291.64</v>
      </c>
      <c r="O1107" s="720">
        <f t="shared" si="60"/>
        <v>0</v>
      </c>
    </row>
    <row r="1108" spans="1:15" outlineLevel="2" x14ac:dyDescent="0.25">
      <c r="A1108" s="207" t="str">
        <f>VLOOKUP(RIGHT(E1108,3)+0,SchLocTable!$A$2:$B$47,2,FALSE)</f>
        <v>Harding HS</v>
      </c>
      <c r="B1108" s="207" t="str">
        <f>VLOOKUP(VALUE(D1108),$D$3:F$106,3,FALSE)</f>
        <v>World Languages</v>
      </c>
      <c r="C1108" s="751" t="s">
        <v>246</v>
      </c>
      <c r="D1108" s="751" t="s">
        <v>472</v>
      </c>
      <c r="E1108" s="751" t="s">
        <v>481</v>
      </c>
      <c r="F1108" s="751" t="s">
        <v>292</v>
      </c>
      <c r="G1108" s="752" t="s">
        <v>1681</v>
      </c>
      <c r="H1108" s="753">
        <v>52385</v>
      </c>
      <c r="I1108" s="754">
        <v>4144.7</v>
      </c>
      <c r="J1108" s="754">
        <v>0</v>
      </c>
      <c r="K1108" s="754">
        <v>0</v>
      </c>
      <c r="L1108" s="754">
        <v>217</v>
      </c>
      <c r="M1108" s="754">
        <f t="shared" si="59"/>
        <v>217</v>
      </c>
      <c r="N1108" s="756">
        <v>4144.7</v>
      </c>
      <c r="O1108" s="720">
        <f t="shared" si="60"/>
        <v>0</v>
      </c>
    </row>
    <row r="1109" spans="1:15" outlineLevel="2" x14ac:dyDescent="0.25">
      <c r="A1109" s="207" t="str">
        <f>VLOOKUP(RIGHT(E1109,3)+0,SchLocTable!$A$2:$B$47,2,FALSE)</f>
        <v>Harding HS</v>
      </c>
      <c r="B1109" s="207" t="str">
        <f>VLOOKUP(VALUE(D1109),$D$3:F$106,3,FALSE)</f>
        <v>World Languages</v>
      </c>
      <c r="C1109" s="751" t="s">
        <v>246</v>
      </c>
      <c r="D1109" s="751" t="s">
        <v>472</v>
      </c>
      <c r="E1109" s="751" t="s">
        <v>481</v>
      </c>
      <c r="F1109" s="751" t="s">
        <v>259</v>
      </c>
      <c r="G1109" s="752" t="s">
        <v>1681</v>
      </c>
      <c r="H1109" s="753">
        <v>52917</v>
      </c>
      <c r="I1109" s="754">
        <v>35075.879999999997</v>
      </c>
      <c r="J1109" s="754">
        <v>0</v>
      </c>
      <c r="K1109" s="754">
        <v>0</v>
      </c>
      <c r="L1109" s="754">
        <v>8351.4</v>
      </c>
      <c r="M1109" s="754">
        <f t="shared" si="59"/>
        <v>8351.4</v>
      </c>
      <c r="N1109" s="756">
        <v>35075.879999999997</v>
      </c>
      <c r="O1109" s="720">
        <f t="shared" si="60"/>
        <v>0</v>
      </c>
    </row>
    <row r="1110" spans="1:15" outlineLevel="2" x14ac:dyDescent="0.25">
      <c r="A1110" s="207" t="str">
        <f>VLOOKUP(RIGHT(E1110,3)+0,SchLocTable!$A$2:$B$47,2,FALSE)</f>
        <v>Barnum</v>
      </c>
      <c r="B1110" s="207" t="str">
        <f>VLOOKUP(VALUE(D1110),$D$3:F$106,3,FALSE)</f>
        <v>Visual Arts</v>
      </c>
      <c r="C1110" s="751" t="s">
        <v>246</v>
      </c>
      <c r="D1110" s="751" t="s">
        <v>482</v>
      </c>
      <c r="E1110" s="751" t="s">
        <v>1747</v>
      </c>
      <c r="F1110" s="751" t="s">
        <v>248</v>
      </c>
      <c r="G1110" s="752">
        <v>1</v>
      </c>
      <c r="H1110" s="753">
        <v>51000</v>
      </c>
      <c r="I1110" s="754">
        <v>73763.56</v>
      </c>
      <c r="J1110" s="754">
        <v>0</v>
      </c>
      <c r="K1110" s="754">
        <v>0</v>
      </c>
      <c r="L1110" s="754">
        <v>14130.95</v>
      </c>
      <c r="M1110" s="754">
        <f t="shared" si="59"/>
        <v>14130.95</v>
      </c>
      <c r="N1110" s="756">
        <v>73763.56</v>
      </c>
      <c r="O1110" s="720">
        <f t="shared" si="60"/>
        <v>0</v>
      </c>
    </row>
    <row r="1111" spans="1:15" outlineLevel="2" x14ac:dyDescent="0.25">
      <c r="A1111" s="207" t="str">
        <f>VLOOKUP(RIGHT(E1111,3)+0,SchLocTable!$A$2:$B$47,2,FALSE)</f>
        <v>Barnum</v>
      </c>
      <c r="B1111" s="207" t="str">
        <f>VLOOKUP(VALUE(D1111),$D$3:F$106,3,FALSE)</f>
        <v>Visual Arts</v>
      </c>
      <c r="C1111" s="751" t="s">
        <v>246</v>
      </c>
      <c r="D1111" s="751" t="s">
        <v>482</v>
      </c>
      <c r="E1111" s="751" t="s">
        <v>1747</v>
      </c>
      <c r="F1111" s="751" t="s">
        <v>254</v>
      </c>
      <c r="G1111" s="752" t="s">
        <v>1681</v>
      </c>
      <c r="H1111" s="753">
        <v>52360</v>
      </c>
      <c r="I1111" s="754">
        <v>1057.5899999999999</v>
      </c>
      <c r="J1111" s="754">
        <v>0</v>
      </c>
      <c r="K1111" s="754">
        <v>0</v>
      </c>
      <c r="L1111" s="754">
        <v>192.92</v>
      </c>
      <c r="M1111" s="754">
        <f t="shared" si="59"/>
        <v>192.92</v>
      </c>
      <c r="N1111" s="756">
        <v>1057.5899999999999</v>
      </c>
      <c r="O1111" s="720">
        <f t="shared" si="60"/>
        <v>0</v>
      </c>
    </row>
    <row r="1112" spans="1:15" outlineLevel="2" x14ac:dyDescent="0.25">
      <c r="A1112" s="207" t="str">
        <f>VLOOKUP(RIGHT(E1112,3)+0,SchLocTable!$A$2:$B$47,2,FALSE)</f>
        <v>Barnum</v>
      </c>
      <c r="B1112" s="207" t="str">
        <f>VLOOKUP(VALUE(D1112),$D$3:F$106,3,FALSE)</f>
        <v>Visual Arts</v>
      </c>
      <c r="C1112" s="751" t="s">
        <v>246</v>
      </c>
      <c r="D1112" s="751" t="s">
        <v>482</v>
      </c>
      <c r="E1112" s="751" t="s">
        <v>1747</v>
      </c>
      <c r="F1112" s="751" t="s">
        <v>259</v>
      </c>
      <c r="G1112" s="752" t="s">
        <v>1681</v>
      </c>
      <c r="H1112" s="753">
        <v>52917</v>
      </c>
      <c r="I1112" s="754">
        <v>11747.4</v>
      </c>
      <c r="J1112" s="754">
        <v>0</v>
      </c>
      <c r="K1112" s="754">
        <v>0</v>
      </c>
      <c r="L1112" s="754">
        <v>2797</v>
      </c>
      <c r="M1112" s="754">
        <f t="shared" si="59"/>
        <v>2797</v>
      </c>
      <c r="N1112" s="756">
        <v>11747.4</v>
      </c>
      <c r="O1112" s="720">
        <f t="shared" si="60"/>
        <v>0</v>
      </c>
    </row>
    <row r="1113" spans="1:15" outlineLevel="2" x14ac:dyDescent="0.25">
      <c r="A1113" s="207" t="str">
        <f>VLOOKUP(RIGHT(E1113,3)+0,SchLocTable!$A$2:$B$47,2,FALSE)</f>
        <v>Beardsley</v>
      </c>
      <c r="B1113" s="207" t="str">
        <f>VLOOKUP(VALUE(D1113),$D$3:F$106,3,FALSE)</f>
        <v>Visual Arts</v>
      </c>
      <c r="C1113" s="751" t="s">
        <v>246</v>
      </c>
      <c r="D1113" s="751" t="s">
        <v>482</v>
      </c>
      <c r="E1113" s="751" t="s">
        <v>483</v>
      </c>
      <c r="F1113" s="751" t="s">
        <v>248</v>
      </c>
      <c r="G1113" s="752" t="s">
        <v>1681</v>
      </c>
      <c r="H1113" s="753">
        <v>51000</v>
      </c>
      <c r="I1113" s="754">
        <v>0</v>
      </c>
      <c r="J1113" s="754">
        <v>0</v>
      </c>
      <c r="K1113" s="754">
        <v>0</v>
      </c>
      <c r="L1113" s="754">
        <v>0</v>
      </c>
      <c r="M1113" s="754">
        <f t="shared" si="59"/>
        <v>0</v>
      </c>
      <c r="N1113" s="756">
        <v>0</v>
      </c>
      <c r="O1113" s="720">
        <f t="shared" si="60"/>
        <v>0</v>
      </c>
    </row>
    <row r="1114" spans="1:15" outlineLevel="2" x14ac:dyDescent="0.25">
      <c r="A1114" s="207" t="str">
        <f>VLOOKUP(RIGHT(E1114,3)+0,SchLocTable!$A$2:$B$47,2,FALSE)</f>
        <v>Beardsley</v>
      </c>
      <c r="B1114" s="207" t="str">
        <f>VLOOKUP(VALUE(D1114),$D$3:F$106,3,FALSE)</f>
        <v>Visual Arts</v>
      </c>
      <c r="C1114" s="751" t="s">
        <v>246</v>
      </c>
      <c r="D1114" s="751" t="s">
        <v>482</v>
      </c>
      <c r="E1114" s="751" t="s">
        <v>483</v>
      </c>
      <c r="F1114" s="751" t="s">
        <v>254</v>
      </c>
      <c r="G1114" s="752" t="s">
        <v>1681</v>
      </c>
      <c r="H1114" s="753">
        <v>52360</v>
      </c>
      <c r="I1114" s="754">
        <v>0</v>
      </c>
      <c r="J1114" s="754">
        <v>0</v>
      </c>
      <c r="K1114" s="754">
        <v>0</v>
      </c>
      <c r="L1114" s="754">
        <v>0</v>
      </c>
      <c r="M1114" s="754">
        <f t="shared" si="59"/>
        <v>0</v>
      </c>
      <c r="N1114" s="756">
        <v>0</v>
      </c>
      <c r="O1114" s="720">
        <f t="shared" si="60"/>
        <v>0</v>
      </c>
    </row>
    <row r="1115" spans="1:15" outlineLevel="2" x14ac:dyDescent="0.25">
      <c r="A1115" s="207" t="str">
        <f>VLOOKUP(RIGHT(E1115,3)+0,SchLocTable!$A$2:$B$47,2,FALSE)</f>
        <v>Beardsley</v>
      </c>
      <c r="B1115" s="207" t="str">
        <f>VLOOKUP(VALUE(D1115),$D$3:F$106,3,FALSE)</f>
        <v>Visual Arts</v>
      </c>
      <c r="C1115" s="751" t="s">
        <v>246</v>
      </c>
      <c r="D1115" s="751" t="s">
        <v>482</v>
      </c>
      <c r="E1115" s="751" t="s">
        <v>483</v>
      </c>
      <c r="F1115" s="751" t="s">
        <v>259</v>
      </c>
      <c r="G1115" s="752" t="s">
        <v>1681</v>
      </c>
      <c r="H1115" s="753">
        <v>52917</v>
      </c>
      <c r="I1115" s="754">
        <v>0</v>
      </c>
      <c r="J1115" s="754">
        <v>0</v>
      </c>
      <c r="K1115" s="754">
        <v>0</v>
      </c>
      <c r="L1115" s="754">
        <v>0</v>
      </c>
      <c r="M1115" s="754">
        <f t="shared" si="59"/>
        <v>0</v>
      </c>
      <c r="N1115" s="756">
        <v>0</v>
      </c>
      <c r="O1115" s="720">
        <f t="shared" si="60"/>
        <v>0</v>
      </c>
    </row>
    <row r="1116" spans="1:15" outlineLevel="2" x14ac:dyDescent="0.25">
      <c r="A1116" s="207" t="str">
        <f>VLOOKUP(RIGHT(E1116,3)+0,SchLocTable!$A$2:$B$47,2,FALSE)</f>
        <v>Black Rock</v>
      </c>
      <c r="B1116" s="207" t="str">
        <f>VLOOKUP(VALUE(D1116),$D$3:F$106,3,FALSE)</f>
        <v>Visual Arts</v>
      </c>
      <c r="C1116" s="751" t="s">
        <v>246</v>
      </c>
      <c r="D1116" s="751" t="s">
        <v>482</v>
      </c>
      <c r="E1116" s="751" t="s">
        <v>1614</v>
      </c>
      <c r="F1116" s="751" t="s">
        <v>248</v>
      </c>
      <c r="G1116" s="752">
        <v>1</v>
      </c>
      <c r="H1116" s="753">
        <v>51000</v>
      </c>
      <c r="I1116" s="754">
        <v>73763.56</v>
      </c>
      <c r="J1116" s="754">
        <v>0</v>
      </c>
      <c r="K1116" s="754">
        <v>0</v>
      </c>
      <c r="L1116" s="754">
        <v>14130.95</v>
      </c>
      <c r="M1116" s="754">
        <f t="shared" si="59"/>
        <v>14130.95</v>
      </c>
      <c r="N1116" s="756">
        <v>73763.56</v>
      </c>
      <c r="O1116" s="720">
        <f t="shared" si="60"/>
        <v>0</v>
      </c>
    </row>
    <row r="1117" spans="1:15" outlineLevel="2" x14ac:dyDescent="0.25">
      <c r="A1117" s="207" t="str">
        <f>VLOOKUP(RIGHT(E1117,3)+0,SchLocTable!$A$2:$B$47,2,FALSE)</f>
        <v>Black Rock</v>
      </c>
      <c r="B1117" s="207" t="str">
        <f>VLOOKUP(VALUE(D1117),$D$3:F$106,3,FALSE)</f>
        <v>Visual Arts</v>
      </c>
      <c r="C1117" s="751" t="s">
        <v>246</v>
      </c>
      <c r="D1117" s="751" t="s">
        <v>482</v>
      </c>
      <c r="E1117" s="751" t="s">
        <v>1614</v>
      </c>
      <c r="F1117" s="751" t="s">
        <v>254</v>
      </c>
      <c r="G1117" s="752" t="s">
        <v>1681</v>
      </c>
      <c r="H1117" s="753">
        <v>52360</v>
      </c>
      <c r="I1117" s="754">
        <v>1069.57</v>
      </c>
      <c r="J1117" s="754">
        <v>0</v>
      </c>
      <c r="K1117" s="754">
        <v>0</v>
      </c>
      <c r="L1117" s="754">
        <v>204.9</v>
      </c>
      <c r="M1117" s="754">
        <f t="shared" si="59"/>
        <v>204.9</v>
      </c>
      <c r="N1117" s="756">
        <v>1069.57</v>
      </c>
      <c r="O1117" s="720">
        <f t="shared" si="60"/>
        <v>0</v>
      </c>
    </row>
    <row r="1118" spans="1:15" outlineLevel="2" x14ac:dyDescent="0.25">
      <c r="A1118" s="207" t="str">
        <f>VLOOKUP(RIGHT(E1118,3)+0,SchLocTable!$A$2:$B$47,2,FALSE)</f>
        <v>Bryant</v>
      </c>
      <c r="B1118" s="207" t="str">
        <f>VLOOKUP(VALUE(D1118),$D$3:F$106,3,FALSE)</f>
        <v>Visual Arts</v>
      </c>
      <c r="C1118" s="751" t="s">
        <v>246</v>
      </c>
      <c r="D1118" s="751" t="s">
        <v>482</v>
      </c>
      <c r="E1118" s="751" t="s">
        <v>484</v>
      </c>
      <c r="F1118" s="751" t="s">
        <v>248</v>
      </c>
      <c r="G1118" s="752">
        <v>1</v>
      </c>
      <c r="H1118" s="753">
        <v>51000</v>
      </c>
      <c r="I1118" s="754">
        <v>103153.2</v>
      </c>
      <c r="J1118" s="754">
        <v>0</v>
      </c>
      <c r="K1118" s="754">
        <v>0</v>
      </c>
      <c r="L1118" s="754">
        <v>19761.150000000001</v>
      </c>
      <c r="M1118" s="754">
        <f t="shared" si="59"/>
        <v>19761.150000000001</v>
      </c>
      <c r="N1118" s="756">
        <v>103153.2</v>
      </c>
      <c r="O1118" s="720">
        <f t="shared" si="60"/>
        <v>0</v>
      </c>
    </row>
    <row r="1119" spans="1:15" outlineLevel="2" x14ac:dyDescent="0.25">
      <c r="A1119" s="207" t="str">
        <f>VLOOKUP(RIGHT(E1119,3)+0,SchLocTable!$A$2:$B$47,2,FALSE)</f>
        <v>Bryant</v>
      </c>
      <c r="B1119" s="207" t="str">
        <f>VLOOKUP(VALUE(D1119),$D$3:F$106,3,FALSE)</f>
        <v>Visual Arts</v>
      </c>
      <c r="C1119" s="751" t="s">
        <v>246</v>
      </c>
      <c r="D1119" s="751" t="s">
        <v>482</v>
      </c>
      <c r="E1119" s="751" t="s">
        <v>484</v>
      </c>
      <c r="F1119" s="751" t="s">
        <v>257</v>
      </c>
      <c r="G1119" s="752" t="s">
        <v>1681</v>
      </c>
      <c r="H1119" s="753">
        <v>51140</v>
      </c>
      <c r="I1119" s="754">
        <v>1100</v>
      </c>
      <c r="J1119" s="754">
        <v>0</v>
      </c>
      <c r="K1119" s="754">
        <v>0</v>
      </c>
      <c r="L1119" s="754">
        <v>0</v>
      </c>
      <c r="M1119" s="754">
        <f t="shared" si="59"/>
        <v>0</v>
      </c>
      <c r="N1119" s="756">
        <v>1100</v>
      </c>
      <c r="O1119" s="720">
        <f t="shared" si="60"/>
        <v>0</v>
      </c>
    </row>
    <row r="1120" spans="1:15" outlineLevel="2" x14ac:dyDescent="0.25">
      <c r="A1120" s="207" t="str">
        <f>VLOOKUP(RIGHT(E1120,3)+0,SchLocTable!$A$2:$B$47,2,FALSE)</f>
        <v>Bryant</v>
      </c>
      <c r="B1120" s="207" t="str">
        <f>VLOOKUP(VALUE(D1120),$D$3:F$106,3,FALSE)</f>
        <v>Visual Arts</v>
      </c>
      <c r="C1120" s="755" t="s">
        <v>246</v>
      </c>
      <c r="D1120" s="751" t="s">
        <v>482</v>
      </c>
      <c r="E1120" s="751" t="s">
        <v>484</v>
      </c>
      <c r="F1120" s="751" t="s">
        <v>254</v>
      </c>
      <c r="G1120" s="752" t="s">
        <v>1681</v>
      </c>
      <c r="H1120" s="753">
        <v>52360</v>
      </c>
      <c r="I1120" s="754">
        <v>1460.07</v>
      </c>
      <c r="J1120" s="754">
        <v>0</v>
      </c>
      <c r="K1120" s="754">
        <v>0</v>
      </c>
      <c r="L1120" s="754">
        <v>250.89</v>
      </c>
      <c r="M1120" s="754">
        <f t="shared" si="59"/>
        <v>250.89</v>
      </c>
      <c r="N1120" s="756">
        <v>1460.07</v>
      </c>
      <c r="O1120" s="720">
        <f t="shared" si="60"/>
        <v>0</v>
      </c>
    </row>
    <row r="1121" spans="1:15" outlineLevel="2" x14ac:dyDescent="0.25">
      <c r="A1121" s="207" t="str">
        <f>VLOOKUP(RIGHT(E1121,3)+0,SchLocTable!$A$2:$B$47,2,FALSE)</f>
        <v>Bryant</v>
      </c>
      <c r="B1121" s="207" t="str">
        <f>VLOOKUP(VALUE(D1121),$D$3:F$106,3,FALSE)</f>
        <v>Visual Arts</v>
      </c>
      <c r="C1121" s="751" t="s">
        <v>246</v>
      </c>
      <c r="D1121" s="751" t="s">
        <v>482</v>
      </c>
      <c r="E1121" s="751" t="s">
        <v>484</v>
      </c>
      <c r="F1121" s="751" t="s">
        <v>259</v>
      </c>
      <c r="G1121" s="752" t="s">
        <v>1681</v>
      </c>
      <c r="H1121" s="753">
        <v>52917</v>
      </c>
      <c r="I1121" s="754">
        <v>35075.879999999997</v>
      </c>
      <c r="J1121" s="754">
        <v>0</v>
      </c>
      <c r="K1121" s="754">
        <v>0</v>
      </c>
      <c r="L1121" s="754">
        <v>8351.4</v>
      </c>
      <c r="M1121" s="754">
        <f t="shared" si="59"/>
        <v>8351.4</v>
      </c>
      <c r="N1121" s="756">
        <v>35075.879999999997</v>
      </c>
      <c r="O1121" s="720">
        <f t="shared" si="60"/>
        <v>0</v>
      </c>
    </row>
    <row r="1122" spans="1:15" outlineLevel="2" x14ac:dyDescent="0.25">
      <c r="A1122" s="207" t="str">
        <f>VLOOKUP(RIGHT(E1122,3)+0,SchLocTable!$A$2:$B$47,2,FALSE)</f>
        <v>Columbus</v>
      </c>
      <c r="B1122" s="207" t="str">
        <f>VLOOKUP(VALUE(D1122),$D$3:F$106,3,FALSE)</f>
        <v>Visual Arts</v>
      </c>
      <c r="C1122" s="751" t="s">
        <v>246</v>
      </c>
      <c r="D1122" s="751" t="s">
        <v>482</v>
      </c>
      <c r="E1122" s="751" t="s">
        <v>485</v>
      </c>
      <c r="F1122" s="751" t="s">
        <v>248</v>
      </c>
      <c r="G1122" s="752" t="s">
        <v>1681</v>
      </c>
      <c r="H1122" s="753">
        <v>51000</v>
      </c>
      <c r="I1122" s="754">
        <v>0</v>
      </c>
      <c r="J1122" s="754">
        <v>0</v>
      </c>
      <c r="K1122" s="754">
        <v>0</v>
      </c>
      <c r="L1122" s="754">
        <v>0</v>
      </c>
      <c r="M1122" s="754">
        <f t="shared" si="59"/>
        <v>0</v>
      </c>
      <c r="N1122" s="756">
        <v>0</v>
      </c>
      <c r="O1122" s="720">
        <f t="shared" si="60"/>
        <v>0</v>
      </c>
    </row>
    <row r="1123" spans="1:15" outlineLevel="2" x14ac:dyDescent="0.25">
      <c r="A1123" s="207" t="str">
        <f>VLOOKUP(RIGHT(E1123,3)+0,SchLocTable!$A$2:$B$47,2,FALSE)</f>
        <v>Columbus</v>
      </c>
      <c r="B1123" s="207" t="str">
        <f>VLOOKUP(VALUE(D1123),$D$3:F$106,3,FALSE)</f>
        <v>Visual Arts</v>
      </c>
      <c r="C1123" s="751" t="s">
        <v>246</v>
      </c>
      <c r="D1123" s="751" t="s">
        <v>482</v>
      </c>
      <c r="E1123" s="751" t="s">
        <v>485</v>
      </c>
      <c r="F1123" s="751" t="s">
        <v>254</v>
      </c>
      <c r="G1123" s="752" t="s">
        <v>1681</v>
      </c>
      <c r="H1123" s="753">
        <v>52360</v>
      </c>
      <c r="I1123" s="754">
        <v>0</v>
      </c>
      <c r="J1123" s="754">
        <v>0</v>
      </c>
      <c r="K1123" s="754">
        <v>0</v>
      </c>
      <c r="L1123" s="754">
        <v>0</v>
      </c>
      <c r="M1123" s="754">
        <f t="shared" si="59"/>
        <v>0</v>
      </c>
      <c r="N1123" s="756">
        <v>0</v>
      </c>
      <c r="O1123" s="720">
        <f t="shared" si="60"/>
        <v>0</v>
      </c>
    </row>
    <row r="1124" spans="1:15" outlineLevel="2" x14ac:dyDescent="0.25">
      <c r="A1124" s="207" t="str">
        <f>VLOOKUP(RIGHT(E1124,3)+0,SchLocTable!$A$2:$B$47,2,FALSE)</f>
        <v>Columbus</v>
      </c>
      <c r="B1124" s="207" t="str">
        <f>VLOOKUP(VALUE(D1124),$D$3:F$106,3,FALSE)</f>
        <v>Visual Arts</v>
      </c>
      <c r="C1124" s="751" t="s">
        <v>246</v>
      </c>
      <c r="D1124" s="751" t="s">
        <v>482</v>
      </c>
      <c r="E1124" s="751" t="s">
        <v>485</v>
      </c>
      <c r="F1124" s="751" t="s">
        <v>292</v>
      </c>
      <c r="G1124" s="752" t="s">
        <v>1681</v>
      </c>
      <c r="H1124" s="753">
        <v>52385</v>
      </c>
      <c r="I1124" s="754">
        <v>0</v>
      </c>
      <c r="J1124" s="754">
        <v>0</v>
      </c>
      <c r="K1124" s="754">
        <v>0</v>
      </c>
      <c r="L1124" s="754">
        <v>0</v>
      </c>
      <c r="M1124" s="754">
        <f t="shared" si="59"/>
        <v>0</v>
      </c>
      <c r="N1124" s="756">
        <v>0</v>
      </c>
      <c r="O1124" s="720">
        <f t="shared" si="60"/>
        <v>0</v>
      </c>
    </row>
    <row r="1125" spans="1:15" outlineLevel="2" x14ac:dyDescent="0.25">
      <c r="A1125" s="207" t="str">
        <f>VLOOKUP(RIGHT(E1125,3)+0,SchLocTable!$A$2:$B$47,2,FALSE)</f>
        <v>Edison</v>
      </c>
      <c r="B1125" s="207" t="str">
        <f>VLOOKUP(VALUE(D1125),$D$3:F$106,3,FALSE)</f>
        <v>Visual Arts</v>
      </c>
      <c r="C1125" s="751" t="s">
        <v>246</v>
      </c>
      <c r="D1125" s="751" t="s">
        <v>482</v>
      </c>
      <c r="E1125" s="751" t="s">
        <v>1823</v>
      </c>
      <c r="F1125" s="751" t="s">
        <v>248</v>
      </c>
      <c r="G1125" s="752">
        <v>1</v>
      </c>
      <c r="H1125" s="753">
        <v>51000</v>
      </c>
      <c r="I1125" s="754">
        <v>61180.49</v>
      </c>
      <c r="J1125" s="754">
        <v>0</v>
      </c>
      <c r="K1125" s="754">
        <v>0</v>
      </c>
      <c r="L1125" s="754">
        <v>11720.4</v>
      </c>
      <c r="M1125" s="754">
        <f t="shared" si="59"/>
        <v>11720.4</v>
      </c>
      <c r="N1125" s="756">
        <v>61180.49</v>
      </c>
      <c r="O1125" s="720">
        <f t="shared" si="60"/>
        <v>0</v>
      </c>
    </row>
    <row r="1126" spans="1:15" outlineLevel="2" x14ac:dyDescent="0.25">
      <c r="A1126" s="207" t="str">
        <f>VLOOKUP(RIGHT(E1126,3)+0,SchLocTable!$A$2:$B$47,2,FALSE)</f>
        <v>Edison</v>
      </c>
      <c r="B1126" s="207" t="str">
        <f>VLOOKUP(VALUE(D1126),$D$3:F$106,3,FALSE)</f>
        <v>Visual Arts</v>
      </c>
      <c r="C1126" s="751" t="s">
        <v>246</v>
      </c>
      <c r="D1126" s="751" t="s">
        <v>482</v>
      </c>
      <c r="E1126" s="751" t="s">
        <v>1823</v>
      </c>
      <c r="F1126" s="751" t="s">
        <v>254</v>
      </c>
      <c r="G1126" s="752" t="s">
        <v>1681</v>
      </c>
      <c r="H1126" s="753">
        <v>52360</v>
      </c>
      <c r="I1126" s="754">
        <v>875.08</v>
      </c>
      <c r="J1126" s="754">
        <v>0</v>
      </c>
      <c r="K1126" s="754">
        <v>0</v>
      </c>
      <c r="L1126" s="754">
        <v>157.91</v>
      </c>
      <c r="M1126" s="754">
        <f t="shared" si="59"/>
        <v>157.91</v>
      </c>
      <c r="N1126" s="756">
        <v>875.08</v>
      </c>
      <c r="O1126" s="720">
        <f t="shared" si="60"/>
        <v>0</v>
      </c>
    </row>
    <row r="1127" spans="1:15" outlineLevel="2" x14ac:dyDescent="0.25">
      <c r="A1127" s="207" t="str">
        <f>VLOOKUP(RIGHT(E1127,3)+0,SchLocTable!$A$2:$B$47,2,FALSE)</f>
        <v>Edison</v>
      </c>
      <c r="B1127" s="207" t="str">
        <f>VLOOKUP(VALUE(D1127),$D$3:F$106,3,FALSE)</f>
        <v>Visual Arts</v>
      </c>
      <c r="C1127" s="751" t="s">
        <v>246</v>
      </c>
      <c r="D1127" s="751" t="s">
        <v>482</v>
      </c>
      <c r="E1127" s="751" t="s">
        <v>1823</v>
      </c>
      <c r="F1127" s="751" t="s">
        <v>259</v>
      </c>
      <c r="G1127" s="752" t="s">
        <v>1681</v>
      </c>
      <c r="H1127" s="753">
        <v>52917</v>
      </c>
      <c r="I1127" s="754">
        <v>11844</v>
      </c>
      <c r="J1127" s="754">
        <v>0</v>
      </c>
      <c r="K1127" s="754">
        <v>0</v>
      </c>
      <c r="L1127" s="754">
        <v>2820</v>
      </c>
      <c r="M1127" s="754">
        <f t="shared" si="59"/>
        <v>2820</v>
      </c>
      <c r="N1127" s="756">
        <v>11844</v>
      </c>
      <c r="O1127" s="720">
        <f t="shared" si="60"/>
        <v>0</v>
      </c>
    </row>
    <row r="1128" spans="1:15" outlineLevel="2" x14ac:dyDescent="0.25">
      <c r="A1128" s="207" t="str">
        <f>VLOOKUP(RIGHT(E1128,3)+0,SchLocTable!$A$2:$B$47,2,FALSE)</f>
        <v>Physical Science HS</v>
      </c>
      <c r="B1128" s="207" t="str">
        <f>VLOOKUP(VALUE(D1128),$D$3:F$106,3,FALSE)</f>
        <v>Visual Arts</v>
      </c>
      <c r="C1128" s="751" t="s">
        <v>246</v>
      </c>
      <c r="D1128" s="751" t="s">
        <v>482</v>
      </c>
      <c r="E1128" s="751" t="s">
        <v>486</v>
      </c>
      <c r="F1128" s="751" t="s">
        <v>248</v>
      </c>
      <c r="G1128" s="752">
        <v>1</v>
      </c>
      <c r="H1128" s="753">
        <v>51000</v>
      </c>
      <c r="I1128" s="754">
        <v>69423.91</v>
      </c>
      <c r="J1128" s="754">
        <v>0</v>
      </c>
      <c r="K1128" s="754">
        <v>0</v>
      </c>
      <c r="L1128" s="754">
        <v>13299.6</v>
      </c>
      <c r="M1128" s="754">
        <f t="shared" si="59"/>
        <v>13299.6</v>
      </c>
      <c r="N1128" s="756">
        <v>69423.91</v>
      </c>
      <c r="O1128" s="720">
        <f t="shared" si="60"/>
        <v>0</v>
      </c>
    </row>
    <row r="1129" spans="1:15" outlineLevel="2" x14ac:dyDescent="0.25">
      <c r="A1129" s="207" t="str">
        <f>VLOOKUP(RIGHT(E1129,3)+0,SchLocTable!$A$2:$B$47,2,FALSE)</f>
        <v>Physical Science HS</v>
      </c>
      <c r="B1129" s="207" t="str">
        <f>VLOOKUP(VALUE(D1129),$D$3:F$106,3,FALSE)</f>
        <v>Visual Arts</v>
      </c>
      <c r="C1129" s="755" t="s">
        <v>246</v>
      </c>
      <c r="D1129" s="751" t="s">
        <v>482</v>
      </c>
      <c r="E1129" s="751" t="s">
        <v>486</v>
      </c>
      <c r="F1129" s="751" t="s">
        <v>254</v>
      </c>
      <c r="G1129" s="752" t="s">
        <v>1681</v>
      </c>
      <c r="H1129" s="753">
        <v>52360</v>
      </c>
      <c r="I1129" s="754">
        <v>994.05</v>
      </c>
      <c r="J1129" s="754">
        <v>0</v>
      </c>
      <c r="K1129" s="754">
        <v>0</v>
      </c>
      <c r="L1129" s="754">
        <v>180.25</v>
      </c>
      <c r="M1129" s="754">
        <f t="shared" si="59"/>
        <v>180.25</v>
      </c>
      <c r="N1129" s="756">
        <v>994.05</v>
      </c>
      <c r="O1129" s="720">
        <f t="shared" si="60"/>
        <v>0</v>
      </c>
    </row>
    <row r="1130" spans="1:15" outlineLevel="2" x14ac:dyDescent="0.25">
      <c r="A1130" s="207" t="str">
        <f>VLOOKUP(RIGHT(E1130,3)+0,SchLocTable!$A$2:$B$47,2,FALSE)</f>
        <v>Physical Science HS</v>
      </c>
      <c r="B1130" s="207" t="str">
        <f>VLOOKUP(VALUE(D1130),$D$3:F$106,3,FALSE)</f>
        <v>Visual Arts</v>
      </c>
      <c r="C1130" s="751" t="s">
        <v>246</v>
      </c>
      <c r="D1130" s="751" t="s">
        <v>482</v>
      </c>
      <c r="E1130" s="751" t="s">
        <v>486</v>
      </c>
      <c r="F1130" s="751" t="s">
        <v>259</v>
      </c>
      <c r="G1130" s="752" t="s">
        <v>1681</v>
      </c>
      <c r="H1130" s="753">
        <v>52917</v>
      </c>
      <c r="I1130" s="754">
        <v>12722.64</v>
      </c>
      <c r="J1130" s="754">
        <v>0</v>
      </c>
      <c r="K1130" s="754">
        <v>0</v>
      </c>
      <c r="L1130" s="754">
        <v>3029.2</v>
      </c>
      <c r="M1130" s="754">
        <f t="shared" si="59"/>
        <v>3029.2</v>
      </c>
      <c r="N1130" s="756">
        <v>12722.64</v>
      </c>
      <c r="O1130" s="720">
        <f t="shared" si="60"/>
        <v>0</v>
      </c>
    </row>
    <row r="1131" spans="1:15" outlineLevel="2" x14ac:dyDescent="0.25">
      <c r="A1131" s="207" t="str">
        <f>VLOOKUP(RIGHT(E1131,3)+0,SchLocTable!$A$2:$B$47,2,FALSE)</f>
        <v>Marin</v>
      </c>
      <c r="B1131" s="207" t="str">
        <f>VLOOKUP(VALUE(D1131),$D$3:F$106,3,FALSE)</f>
        <v>Visual Arts</v>
      </c>
      <c r="C1131" s="751" t="s">
        <v>246</v>
      </c>
      <c r="D1131" s="751" t="s">
        <v>482</v>
      </c>
      <c r="E1131" s="751" t="s">
        <v>487</v>
      </c>
      <c r="F1131" s="751" t="s">
        <v>248</v>
      </c>
      <c r="G1131" s="752">
        <v>1</v>
      </c>
      <c r="H1131" s="753">
        <v>51000</v>
      </c>
      <c r="I1131" s="754">
        <v>149150.15</v>
      </c>
      <c r="J1131" s="754">
        <v>0</v>
      </c>
      <c r="K1131" s="754">
        <v>0</v>
      </c>
      <c r="L1131" s="754">
        <v>4656.29</v>
      </c>
      <c r="M1131" s="754">
        <f t="shared" si="59"/>
        <v>4656.29</v>
      </c>
      <c r="N1131" s="756">
        <v>149150.15</v>
      </c>
      <c r="O1131" s="720">
        <f t="shared" si="60"/>
        <v>0</v>
      </c>
    </row>
    <row r="1132" spans="1:15" outlineLevel="2" x14ac:dyDescent="0.25">
      <c r="A1132" s="207" t="str">
        <f>VLOOKUP(RIGHT(E1132,3)+0,SchLocTable!$A$2:$B$47,2,FALSE)</f>
        <v>Marin</v>
      </c>
      <c r="B1132" s="207" t="str">
        <f>VLOOKUP(VALUE(D1132),$D$3:F$106,3,FALSE)</f>
        <v>Visual Arts</v>
      </c>
      <c r="C1132" s="751" t="s">
        <v>246</v>
      </c>
      <c r="D1132" s="751" t="s">
        <v>482</v>
      </c>
      <c r="E1132" s="751" t="s">
        <v>487</v>
      </c>
      <c r="F1132" s="751" t="s">
        <v>257</v>
      </c>
      <c r="G1132" s="752" t="s">
        <v>1681</v>
      </c>
      <c r="H1132" s="753">
        <v>51140</v>
      </c>
      <c r="I1132" s="754">
        <v>1100</v>
      </c>
      <c r="J1132" s="754">
        <v>0</v>
      </c>
      <c r="K1132" s="754">
        <v>0</v>
      </c>
      <c r="L1132" s="754">
        <v>0</v>
      </c>
      <c r="M1132" s="754">
        <f t="shared" si="59"/>
        <v>0</v>
      </c>
      <c r="N1132" s="756">
        <v>1100</v>
      </c>
      <c r="O1132" s="720">
        <f t="shared" si="60"/>
        <v>0</v>
      </c>
    </row>
    <row r="1133" spans="1:15" outlineLevel="2" x14ac:dyDescent="0.25">
      <c r="A1133" s="207" t="str">
        <f>VLOOKUP(RIGHT(E1133,3)+0,SchLocTable!$A$2:$B$47,2,FALSE)</f>
        <v>Marin</v>
      </c>
      <c r="B1133" s="207" t="str">
        <f>VLOOKUP(VALUE(D1133),$D$3:F$106,3,FALSE)</f>
        <v>Visual Arts</v>
      </c>
      <c r="C1133" s="751" t="s">
        <v>246</v>
      </c>
      <c r="D1133" s="751" t="s">
        <v>482</v>
      </c>
      <c r="E1133" s="751" t="s">
        <v>487</v>
      </c>
      <c r="F1133" s="751" t="s">
        <v>254</v>
      </c>
      <c r="G1133" s="752" t="s">
        <v>1681</v>
      </c>
      <c r="H1133" s="753">
        <v>52360</v>
      </c>
      <c r="I1133" s="754">
        <v>2284.8200000000002</v>
      </c>
      <c r="J1133" s="754">
        <v>0</v>
      </c>
      <c r="K1133" s="754">
        <v>0</v>
      </c>
      <c r="L1133" s="754">
        <v>189.66</v>
      </c>
      <c r="M1133" s="754">
        <f t="shared" si="59"/>
        <v>189.66</v>
      </c>
      <c r="N1133" s="756">
        <v>2284.8200000000002</v>
      </c>
      <c r="O1133" s="720">
        <f t="shared" si="60"/>
        <v>0</v>
      </c>
    </row>
    <row r="1134" spans="1:15" outlineLevel="2" x14ac:dyDescent="0.25">
      <c r="A1134" s="207" t="str">
        <f>VLOOKUP(RIGHT(E1134,3)+0,SchLocTable!$A$2:$B$47,2,FALSE)</f>
        <v>Marin</v>
      </c>
      <c r="B1134" s="207" t="str">
        <f>VLOOKUP(VALUE(D1134),$D$3:F$106,3,FALSE)</f>
        <v>Visual Arts</v>
      </c>
      <c r="C1134" s="751" t="s">
        <v>246</v>
      </c>
      <c r="D1134" s="751" t="s">
        <v>482</v>
      </c>
      <c r="E1134" s="751" t="s">
        <v>487</v>
      </c>
      <c r="F1134" s="751" t="s">
        <v>292</v>
      </c>
      <c r="G1134" s="752" t="s">
        <v>1681</v>
      </c>
      <c r="H1134" s="753">
        <v>52385</v>
      </c>
      <c r="I1134" s="754">
        <v>0</v>
      </c>
      <c r="J1134" s="754">
        <v>0</v>
      </c>
      <c r="K1134" s="754">
        <v>0</v>
      </c>
      <c r="L1134" s="754">
        <v>0</v>
      </c>
      <c r="M1134" s="754">
        <f t="shared" si="59"/>
        <v>0</v>
      </c>
      <c r="N1134" s="756">
        <v>0</v>
      </c>
      <c r="O1134" s="720">
        <f t="shared" si="60"/>
        <v>0</v>
      </c>
    </row>
    <row r="1135" spans="1:15" outlineLevel="2" x14ac:dyDescent="0.25">
      <c r="A1135" s="207" t="str">
        <f>VLOOKUP(RIGHT(E1135,3)+0,SchLocTable!$A$2:$B$47,2,FALSE)</f>
        <v>Marin</v>
      </c>
      <c r="B1135" s="207" t="str">
        <f>VLOOKUP(VALUE(D1135),$D$3:F$106,3,FALSE)</f>
        <v>Visual Arts</v>
      </c>
      <c r="C1135" s="751" t="s">
        <v>246</v>
      </c>
      <c r="D1135" s="751" t="s">
        <v>482</v>
      </c>
      <c r="E1135" s="751" t="s">
        <v>487</v>
      </c>
      <c r="F1135" s="751" t="s">
        <v>259</v>
      </c>
      <c r="G1135" s="752" t="s">
        <v>1681</v>
      </c>
      <c r="H1135" s="753">
        <v>52917</v>
      </c>
      <c r="I1135" s="754">
        <v>9588</v>
      </c>
      <c r="J1135" s="754">
        <v>0</v>
      </c>
      <c r="K1135" s="754">
        <v>0</v>
      </c>
      <c r="L1135" s="754">
        <v>564</v>
      </c>
      <c r="M1135" s="754">
        <f t="shared" si="59"/>
        <v>564</v>
      </c>
      <c r="N1135" s="756">
        <v>9588</v>
      </c>
      <c r="O1135" s="720">
        <f t="shared" si="60"/>
        <v>0</v>
      </c>
    </row>
    <row r="1136" spans="1:15" outlineLevel="2" x14ac:dyDescent="0.25">
      <c r="A1136" s="207" t="str">
        <f>VLOOKUP(RIGHT(E1136,3)+0,SchLocTable!$A$2:$B$47,2,FALSE)</f>
        <v>Hall</v>
      </c>
      <c r="B1136" s="207" t="str">
        <f>VLOOKUP(VALUE(D1136),$D$3:F$106,3,FALSE)</f>
        <v>Visual Arts</v>
      </c>
      <c r="C1136" s="751" t="s">
        <v>246</v>
      </c>
      <c r="D1136" s="751" t="s">
        <v>482</v>
      </c>
      <c r="E1136" s="751" t="s">
        <v>488</v>
      </c>
      <c r="F1136" s="751" t="s">
        <v>248</v>
      </c>
      <c r="G1136" s="752">
        <v>1</v>
      </c>
      <c r="H1136" s="753">
        <v>51000</v>
      </c>
      <c r="I1136" s="754">
        <v>103153.2</v>
      </c>
      <c r="J1136" s="754">
        <v>0</v>
      </c>
      <c r="K1136" s="754">
        <v>0</v>
      </c>
      <c r="L1136" s="754">
        <v>19761.150000000001</v>
      </c>
      <c r="M1136" s="754">
        <f t="shared" si="59"/>
        <v>19761.150000000001</v>
      </c>
      <c r="N1136" s="756">
        <v>103153.2</v>
      </c>
      <c r="O1136" s="720">
        <f t="shared" si="60"/>
        <v>0</v>
      </c>
    </row>
    <row r="1137" spans="1:15" outlineLevel="2" x14ac:dyDescent="0.25">
      <c r="A1137" s="207" t="str">
        <f>VLOOKUP(RIGHT(E1137,3)+0,SchLocTable!$A$2:$B$47,2,FALSE)</f>
        <v>Hall</v>
      </c>
      <c r="B1137" s="207" t="str">
        <f>VLOOKUP(VALUE(D1137),$D$3:F$106,3,FALSE)</f>
        <v>Visual Arts</v>
      </c>
      <c r="C1137" s="751" t="s">
        <v>246</v>
      </c>
      <c r="D1137" s="751" t="s">
        <v>482</v>
      </c>
      <c r="E1137" s="751" t="s">
        <v>488</v>
      </c>
      <c r="F1137" s="751" t="s">
        <v>257</v>
      </c>
      <c r="G1137" s="752" t="s">
        <v>1681</v>
      </c>
      <c r="H1137" s="753">
        <v>51140</v>
      </c>
      <c r="I1137" s="754">
        <v>1100</v>
      </c>
      <c r="J1137" s="754">
        <v>0</v>
      </c>
      <c r="K1137" s="754">
        <v>0</v>
      </c>
      <c r="L1137" s="754">
        <v>0</v>
      </c>
      <c r="M1137" s="754">
        <f t="shared" si="59"/>
        <v>0</v>
      </c>
      <c r="N1137" s="756">
        <v>1100</v>
      </c>
      <c r="O1137" s="720">
        <f t="shared" si="60"/>
        <v>0</v>
      </c>
    </row>
    <row r="1138" spans="1:15" outlineLevel="2" x14ac:dyDescent="0.25">
      <c r="A1138" s="207" t="str">
        <f>VLOOKUP(RIGHT(E1138,3)+0,SchLocTable!$A$2:$B$47,2,FALSE)</f>
        <v>Hall</v>
      </c>
      <c r="B1138" s="207" t="str">
        <f>VLOOKUP(VALUE(D1138),$D$3:F$106,3,FALSE)</f>
        <v>Visual Arts</v>
      </c>
      <c r="C1138" s="751" t="s">
        <v>246</v>
      </c>
      <c r="D1138" s="751" t="s">
        <v>482</v>
      </c>
      <c r="E1138" s="751" t="s">
        <v>488</v>
      </c>
      <c r="F1138" s="751" t="s">
        <v>254</v>
      </c>
      <c r="G1138" s="752" t="s">
        <v>1681</v>
      </c>
      <c r="H1138" s="753">
        <v>52360</v>
      </c>
      <c r="I1138" s="754">
        <v>1483.4</v>
      </c>
      <c r="J1138" s="754">
        <v>0</v>
      </c>
      <c r="K1138" s="754">
        <v>0</v>
      </c>
      <c r="L1138" s="754">
        <v>274.22000000000003</v>
      </c>
      <c r="M1138" s="754">
        <f t="shared" si="59"/>
        <v>274.22000000000003</v>
      </c>
      <c r="N1138" s="756">
        <v>1483.4</v>
      </c>
      <c r="O1138" s="720">
        <f t="shared" si="60"/>
        <v>0</v>
      </c>
    </row>
    <row r="1139" spans="1:15" outlineLevel="1" x14ac:dyDescent="0.25">
      <c r="A1139" s="207" t="str">
        <f>VLOOKUP(RIGHT(E1139,3)+0,SchLocTable!$A$2:$B$47,2,FALSE)</f>
        <v>Hall</v>
      </c>
      <c r="B1139" s="207" t="str">
        <f>VLOOKUP(VALUE(D1139),$D$3:F$106,3,FALSE)</f>
        <v>Visual Arts</v>
      </c>
      <c r="C1139" s="751" t="s">
        <v>246</v>
      </c>
      <c r="D1139" s="751" t="s">
        <v>482</v>
      </c>
      <c r="E1139" s="751" t="s">
        <v>488</v>
      </c>
      <c r="F1139" s="751" t="s">
        <v>259</v>
      </c>
      <c r="G1139" s="752" t="s">
        <v>1681</v>
      </c>
      <c r="H1139" s="753">
        <v>52917</v>
      </c>
      <c r="I1139" s="754">
        <v>12283.32</v>
      </c>
      <c r="J1139" s="754">
        <v>0</v>
      </c>
      <c r="K1139" s="754">
        <v>0</v>
      </c>
      <c r="L1139" s="754">
        <v>2924.6</v>
      </c>
      <c r="M1139" s="754">
        <f t="shared" si="59"/>
        <v>2924.6</v>
      </c>
      <c r="N1139" s="756">
        <v>12283.32</v>
      </c>
      <c r="O1139" s="720">
        <f t="shared" si="60"/>
        <v>0</v>
      </c>
    </row>
    <row r="1140" spans="1:15" outlineLevel="2" x14ac:dyDescent="0.25">
      <c r="A1140" s="207" t="str">
        <f>VLOOKUP(RIGHT(E1140,3)+0,SchLocTable!$A$2:$B$47,2,FALSE)</f>
        <v>Hallen</v>
      </c>
      <c r="B1140" s="207" t="str">
        <f>VLOOKUP(VALUE(D1140),$D$3:F$106,3,FALSE)</f>
        <v>Visual Arts</v>
      </c>
      <c r="C1140" s="751" t="s">
        <v>246</v>
      </c>
      <c r="D1140" s="751" t="s">
        <v>482</v>
      </c>
      <c r="E1140" s="751" t="s">
        <v>1748</v>
      </c>
      <c r="F1140" s="751" t="s">
        <v>248</v>
      </c>
      <c r="G1140" s="752" t="s">
        <v>1681</v>
      </c>
      <c r="H1140" s="753">
        <v>51000</v>
      </c>
      <c r="I1140" s="754">
        <v>0</v>
      </c>
      <c r="J1140" s="754">
        <v>0</v>
      </c>
      <c r="K1140" s="754">
        <v>0</v>
      </c>
      <c r="L1140" s="754">
        <v>0</v>
      </c>
      <c r="M1140" s="754">
        <f t="shared" si="59"/>
        <v>0</v>
      </c>
      <c r="N1140" s="756">
        <v>0</v>
      </c>
      <c r="O1140" s="720">
        <f t="shared" si="60"/>
        <v>0</v>
      </c>
    </row>
    <row r="1141" spans="1:15" outlineLevel="2" x14ac:dyDescent="0.25">
      <c r="A1141" s="207" t="str">
        <f>VLOOKUP(RIGHT(E1141,3)+0,SchLocTable!$A$2:$B$47,2,FALSE)</f>
        <v>Hallen</v>
      </c>
      <c r="B1141" s="207" t="str">
        <f>VLOOKUP(VALUE(D1141),$D$3:F$106,3,FALSE)</f>
        <v>Visual Arts</v>
      </c>
      <c r="C1141" s="751" t="s">
        <v>246</v>
      </c>
      <c r="D1141" s="751" t="s">
        <v>482</v>
      </c>
      <c r="E1141" s="751" t="s">
        <v>1748</v>
      </c>
      <c r="F1141" s="751" t="s">
        <v>254</v>
      </c>
      <c r="G1141" s="752" t="s">
        <v>1681</v>
      </c>
      <c r="H1141" s="753">
        <v>52360</v>
      </c>
      <c r="I1141" s="754">
        <v>0</v>
      </c>
      <c r="J1141" s="754">
        <v>0</v>
      </c>
      <c r="K1141" s="754">
        <v>0</v>
      </c>
      <c r="L1141" s="754">
        <v>0</v>
      </c>
      <c r="M1141" s="754">
        <f t="shared" si="59"/>
        <v>0</v>
      </c>
      <c r="N1141" s="756">
        <v>0</v>
      </c>
      <c r="O1141" s="720">
        <f t="shared" si="60"/>
        <v>0</v>
      </c>
    </row>
    <row r="1142" spans="1:15" outlineLevel="2" x14ac:dyDescent="0.25">
      <c r="A1142" s="207" t="str">
        <f>VLOOKUP(RIGHT(E1142,3)+0,SchLocTable!$A$2:$B$47,2,FALSE)</f>
        <v>Hallen</v>
      </c>
      <c r="B1142" s="207" t="str">
        <f>VLOOKUP(VALUE(D1142),$D$3:F$106,3,FALSE)</f>
        <v>Visual Arts</v>
      </c>
      <c r="C1142" s="751" t="s">
        <v>246</v>
      </c>
      <c r="D1142" s="751" t="s">
        <v>482</v>
      </c>
      <c r="E1142" s="751" t="s">
        <v>1748</v>
      </c>
      <c r="F1142" s="751" t="s">
        <v>259</v>
      </c>
      <c r="G1142" s="752" t="s">
        <v>1681</v>
      </c>
      <c r="H1142" s="753">
        <v>52917</v>
      </c>
      <c r="I1142" s="754">
        <v>0</v>
      </c>
      <c r="J1142" s="754">
        <v>0</v>
      </c>
      <c r="K1142" s="754">
        <v>0</v>
      </c>
      <c r="L1142" s="754">
        <v>0</v>
      </c>
      <c r="M1142" s="754">
        <f t="shared" si="59"/>
        <v>0</v>
      </c>
      <c r="N1142" s="756">
        <v>0</v>
      </c>
      <c r="O1142" s="720">
        <f t="shared" si="60"/>
        <v>0</v>
      </c>
    </row>
    <row r="1143" spans="1:15" outlineLevel="2" x14ac:dyDescent="0.25">
      <c r="A1143" s="207" t="str">
        <f>VLOOKUP(RIGHT(E1143,3)+0,SchLocTable!$A$2:$B$47,2,FALSE)</f>
        <v>Hooker</v>
      </c>
      <c r="B1143" s="207" t="str">
        <f>VLOOKUP(VALUE(D1143),$D$3:F$106,3,FALSE)</f>
        <v>Visual Arts</v>
      </c>
      <c r="C1143" s="751" t="s">
        <v>246</v>
      </c>
      <c r="D1143" s="751" t="s">
        <v>482</v>
      </c>
      <c r="E1143" s="751" t="s">
        <v>489</v>
      </c>
      <c r="F1143" s="751" t="s">
        <v>248</v>
      </c>
      <c r="G1143" s="752">
        <v>1</v>
      </c>
      <c r="H1143" s="753">
        <v>51000</v>
      </c>
      <c r="I1143" s="754">
        <v>67253.7</v>
      </c>
      <c r="J1143" s="754">
        <v>0</v>
      </c>
      <c r="K1143" s="754">
        <v>0</v>
      </c>
      <c r="L1143" s="754">
        <v>12883.85</v>
      </c>
      <c r="M1143" s="754">
        <f t="shared" si="59"/>
        <v>12883.85</v>
      </c>
      <c r="N1143" s="756">
        <v>67253.7</v>
      </c>
      <c r="O1143" s="720">
        <f t="shared" si="60"/>
        <v>0</v>
      </c>
    </row>
    <row r="1144" spans="1:15" outlineLevel="2" x14ac:dyDescent="0.25">
      <c r="A1144" s="207" t="str">
        <f>VLOOKUP(RIGHT(E1144,3)+0,SchLocTable!$A$2:$B$47,2,FALSE)</f>
        <v>Hooker</v>
      </c>
      <c r="B1144" s="207" t="str">
        <f>VLOOKUP(VALUE(D1144),$D$3:F$106,3,FALSE)</f>
        <v>Visual Arts</v>
      </c>
      <c r="C1144" s="751" t="s">
        <v>246</v>
      </c>
      <c r="D1144" s="751" t="s">
        <v>482</v>
      </c>
      <c r="E1144" s="751" t="s">
        <v>489</v>
      </c>
      <c r="F1144" s="751" t="s">
        <v>257</v>
      </c>
      <c r="G1144" s="752" t="s">
        <v>1681</v>
      </c>
      <c r="H1144" s="753">
        <v>51140</v>
      </c>
      <c r="I1144" s="754">
        <v>0</v>
      </c>
      <c r="J1144" s="754">
        <v>0</v>
      </c>
      <c r="K1144" s="754">
        <v>0</v>
      </c>
      <c r="L1144" s="754">
        <v>0</v>
      </c>
      <c r="M1144" s="754">
        <f t="shared" si="59"/>
        <v>0</v>
      </c>
      <c r="N1144" s="756">
        <v>0</v>
      </c>
      <c r="O1144" s="720">
        <f t="shared" si="60"/>
        <v>0</v>
      </c>
    </row>
    <row r="1145" spans="1:15" outlineLevel="2" x14ac:dyDescent="0.25">
      <c r="A1145" s="207" t="str">
        <f>VLOOKUP(RIGHT(E1145,3)+0,SchLocTable!$A$2:$B$47,2,FALSE)</f>
        <v>Hooker</v>
      </c>
      <c r="B1145" s="207" t="str">
        <f>VLOOKUP(VALUE(D1145),$D$3:F$106,3,FALSE)</f>
        <v>Visual Arts</v>
      </c>
      <c r="C1145" s="751" t="s">
        <v>246</v>
      </c>
      <c r="D1145" s="751" t="s">
        <v>482</v>
      </c>
      <c r="E1145" s="751" t="s">
        <v>489</v>
      </c>
      <c r="F1145" s="751" t="s">
        <v>254</v>
      </c>
      <c r="G1145" s="752" t="s">
        <v>1681</v>
      </c>
      <c r="H1145" s="753">
        <v>52360</v>
      </c>
      <c r="I1145" s="754">
        <v>963.14</v>
      </c>
      <c r="J1145" s="754">
        <v>0</v>
      </c>
      <c r="K1145" s="754">
        <v>0</v>
      </c>
      <c r="L1145" s="754">
        <v>174.78</v>
      </c>
      <c r="M1145" s="754">
        <f t="shared" si="59"/>
        <v>174.78</v>
      </c>
      <c r="N1145" s="756">
        <v>963.14</v>
      </c>
      <c r="O1145" s="720">
        <f t="shared" si="60"/>
        <v>0</v>
      </c>
    </row>
    <row r="1146" spans="1:15" outlineLevel="2" x14ac:dyDescent="0.25">
      <c r="A1146" s="207" t="str">
        <f>VLOOKUP(RIGHT(E1146,3)+0,SchLocTable!$A$2:$B$47,2,FALSE)</f>
        <v>Hooker</v>
      </c>
      <c r="B1146" s="207" t="str">
        <f>VLOOKUP(VALUE(D1146),$D$3:F$106,3,FALSE)</f>
        <v>Visual Arts</v>
      </c>
      <c r="C1146" s="751" t="s">
        <v>246</v>
      </c>
      <c r="D1146" s="751" t="s">
        <v>482</v>
      </c>
      <c r="E1146" s="751" t="s">
        <v>489</v>
      </c>
      <c r="F1146" s="751" t="s">
        <v>259</v>
      </c>
      <c r="G1146" s="752" t="s">
        <v>1681</v>
      </c>
      <c r="H1146" s="753">
        <v>52917</v>
      </c>
      <c r="I1146" s="754">
        <v>11844</v>
      </c>
      <c r="J1146" s="754">
        <v>0</v>
      </c>
      <c r="K1146" s="754">
        <v>0</v>
      </c>
      <c r="L1146" s="754">
        <v>2820</v>
      </c>
      <c r="M1146" s="754">
        <f t="shared" si="59"/>
        <v>2820</v>
      </c>
      <c r="N1146" s="756">
        <v>11844</v>
      </c>
      <c r="O1146" s="720">
        <f t="shared" si="60"/>
        <v>0</v>
      </c>
    </row>
    <row r="1147" spans="1:15" outlineLevel="2" x14ac:dyDescent="0.25">
      <c r="A1147" s="207" t="str">
        <f>VLOOKUP(RIGHT(E1147,3)+0,SchLocTable!$A$2:$B$47,2,FALSE)</f>
        <v>Batalla</v>
      </c>
      <c r="B1147" s="207" t="str">
        <f>VLOOKUP(VALUE(D1147),$D$3:F$106,3,FALSE)</f>
        <v>Visual Arts</v>
      </c>
      <c r="C1147" s="751" t="s">
        <v>246</v>
      </c>
      <c r="D1147" s="751" t="s">
        <v>482</v>
      </c>
      <c r="E1147" s="751" t="s">
        <v>490</v>
      </c>
      <c r="F1147" s="751" t="s">
        <v>248</v>
      </c>
      <c r="G1147" s="752">
        <v>2</v>
      </c>
      <c r="H1147" s="753">
        <v>51000</v>
      </c>
      <c r="I1147" s="754">
        <v>159405.75</v>
      </c>
      <c r="J1147" s="754">
        <v>0</v>
      </c>
      <c r="K1147" s="754">
        <v>0</v>
      </c>
      <c r="L1147" s="754">
        <v>30537.5</v>
      </c>
      <c r="M1147" s="754">
        <f t="shared" si="59"/>
        <v>30537.5</v>
      </c>
      <c r="N1147" s="756">
        <v>159405.75</v>
      </c>
      <c r="O1147" s="720">
        <f t="shared" si="60"/>
        <v>0</v>
      </c>
    </row>
    <row r="1148" spans="1:15" outlineLevel="2" x14ac:dyDescent="0.25">
      <c r="A1148" s="207" t="str">
        <f>VLOOKUP(RIGHT(E1148,3)+0,SchLocTable!$A$2:$B$47,2,FALSE)</f>
        <v>Batalla</v>
      </c>
      <c r="B1148" s="207" t="str">
        <f>VLOOKUP(VALUE(D1148),$D$3:F$106,3,FALSE)</f>
        <v>Visual Arts</v>
      </c>
      <c r="C1148" s="751" t="s">
        <v>246</v>
      </c>
      <c r="D1148" s="751" t="s">
        <v>482</v>
      </c>
      <c r="E1148" s="751" t="s">
        <v>490</v>
      </c>
      <c r="F1148" s="751" t="s">
        <v>254</v>
      </c>
      <c r="G1148" s="752" t="s">
        <v>1681</v>
      </c>
      <c r="H1148" s="753">
        <v>52360</v>
      </c>
      <c r="I1148" s="754">
        <v>2298.5</v>
      </c>
      <c r="J1148" s="754">
        <v>0</v>
      </c>
      <c r="K1148" s="754">
        <v>0</v>
      </c>
      <c r="L1148" s="754">
        <v>429.91</v>
      </c>
      <c r="M1148" s="754">
        <f t="shared" si="59"/>
        <v>429.91</v>
      </c>
      <c r="N1148" s="756">
        <v>2298.5</v>
      </c>
      <c r="O1148" s="720">
        <f t="shared" si="60"/>
        <v>0</v>
      </c>
    </row>
    <row r="1149" spans="1:15" outlineLevel="2" x14ac:dyDescent="0.25">
      <c r="A1149" s="207" t="str">
        <f>VLOOKUP(RIGHT(E1149,3)+0,SchLocTable!$A$2:$B$47,2,FALSE)</f>
        <v>Batalla</v>
      </c>
      <c r="B1149" s="207" t="str">
        <f>VLOOKUP(VALUE(D1149),$D$3:F$106,3,FALSE)</f>
        <v>Visual Arts</v>
      </c>
      <c r="C1149" s="751" t="s">
        <v>246</v>
      </c>
      <c r="D1149" s="751" t="s">
        <v>482</v>
      </c>
      <c r="E1149" s="751" t="s">
        <v>490</v>
      </c>
      <c r="F1149" s="751" t="s">
        <v>259</v>
      </c>
      <c r="G1149" s="752" t="s">
        <v>1681</v>
      </c>
      <c r="H1149" s="753">
        <v>52917</v>
      </c>
      <c r="I1149" s="754">
        <v>13161.96</v>
      </c>
      <c r="J1149" s="754">
        <v>0</v>
      </c>
      <c r="K1149" s="754">
        <v>0</v>
      </c>
      <c r="L1149" s="754">
        <v>3133.8</v>
      </c>
      <c r="M1149" s="754">
        <f t="shared" si="59"/>
        <v>3133.8</v>
      </c>
      <c r="N1149" s="756">
        <v>13161.96</v>
      </c>
      <c r="O1149" s="720">
        <f t="shared" si="60"/>
        <v>0</v>
      </c>
    </row>
    <row r="1150" spans="1:15" outlineLevel="2" x14ac:dyDescent="0.25">
      <c r="A1150" s="207" t="str">
        <f>VLOOKUP(RIGHT(E1150,3)+0,SchLocTable!$A$2:$B$47,2,FALSE)</f>
        <v>BMA HS</v>
      </c>
      <c r="B1150" s="207" t="str">
        <f>VLOOKUP(VALUE(D1150),$D$3:F$106,3,FALSE)</f>
        <v>Visual Arts</v>
      </c>
      <c r="C1150" s="751" t="s">
        <v>246</v>
      </c>
      <c r="D1150" s="751" t="s">
        <v>482</v>
      </c>
      <c r="E1150" s="751" t="s">
        <v>491</v>
      </c>
      <c r="F1150" s="751" t="s">
        <v>248</v>
      </c>
      <c r="G1150" s="752">
        <v>1</v>
      </c>
      <c r="H1150" s="753">
        <v>51000</v>
      </c>
      <c r="I1150" s="754">
        <v>93652.800000000003</v>
      </c>
      <c r="J1150" s="754">
        <v>0</v>
      </c>
      <c r="K1150" s="754">
        <v>0</v>
      </c>
      <c r="L1150" s="754">
        <v>17941.150000000001</v>
      </c>
      <c r="M1150" s="754">
        <f t="shared" si="59"/>
        <v>17941.150000000001</v>
      </c>
      <c r="N1150" s="756">
        <v>93652.800000000003</v>
      </c>
      <c r="O1150" s="720">
        <f t="shared" si="60"/>
        <v>0</v>
      </c>
    </row>
    <row r="1151" spans="1:15" outlineLevel="2" x14ac:dyDescent="0.25">
      <c r="A1151" s="207" t="str">
        <f>VLOOKUP(RIGHT(E1151,3)+0,SchLocTable!$A$2:$B$47,2,FALSE)</f>
        <v>BMA HS</v>
      </c>
      <c r="B1151" s="207" t="str">
        <f>VLOOKUP(VALUE(D1151),$D$3:F$106,3,FALSE)</f>
        <v>Visual Arts</v>
      </c>
      <c r="C1151" s="751" t="s">
        <v>246</v>
      </c>
      <c r="D1151" s="751" t="s">
        <v>482</v>
      </c>
      <c r="E1151" s="751" t="s">
        <v>491</v>
      </c>
      <c r="F1151" s="751" t="s">
        <v>257</v>
      </c>
      <c r="G1151" s="752" t="s">
        <v>1681</v>
      </c>
      <c r="H1151" s="753">
        <v>51140</v>
      </c>
      <c r="I1151" s="754">
        <v>1100</v>
      </c>
      <c r="J1151" s="754">
        <v>0</v>
      </c>
      <c r="K1151" s="754">
        <v>0</v>
      </c>
      <c r="L1151" s="754">
        <v>0</v>
      </c>
      <c r="M1151" s="754">
        <f t="shared" ref="M1151:M1214" si="61">SUM(J1151:L1151)</f>
        <v>0</v>
      </c>
      <c r="N1151" s="756">
        <v>1100</v>
      </c>
      <c r="O1151" s="720">
        <f t="shared" ref="O1151:O1214" si="62">I1151-N1151</f>
        <v>0</v>
      </c>
    </row>
    <row r="1152" spans="1:15" outlineLevel="2" x14ac:dyDescent="0.25">
      <c r="A1152" s="207" t="str">
        <f>VLOOKUP(RIGHT(E1152,3)+0,SchLocTable!$A$2:$B$47,2,FALSE)</f>
        <v>BMA HS</v>
      </c>
      <c r="B1152" s="207" t="str">
        <f>VLOOKUP(VALUE(D1152),$D$3:F$106,3,FALSE)</f>
        <v>Visual Arts</v>
      </c>
      <c r="C1152" s="751" t="s">
        <v>246</v>
      </c>
      <c r="D1152" s="751" t="s">
        <v>482</v>
      </c>
      <c r="E1152" s="751" t="s">
        <v>491</v>
      </c>
      <c r="F1152" s="751" t="s">
        <v>254</v>
      </c>
      <c r="G1152" s="752" t="s">
        <v>1681</v>
      </c>
      <c r="H1152" s="753">
        <v>52360</v>
      </c>
      <c r="I1152" s="754">
        <v>1322.32</v>
      </c>
      <c r="J1152" s="754">
        <v>0</v>
      </c>
      <c r="K1152" s="754">
        <v>0</v>
      </c>
      <c r="L1152" s="754">
        <v>224.5</v>
      </c>
      <c r="M1152" s="754">
        <f t="shared" si="61"/>
        <v>224.5</v>
      </c>
      <c r="N1152" s="756">
        <v>1322.32</v>
      </c>
      <c r="O1152" s="720">
        <f t="shared" si="62"/>
        <v>0</v>
      </c>
    </row>
    <row r="1153" spans="1:15" outlineLevel="2" x14ac:dyDescent="0.25">
      <c r="A1153" s="207" t="str">
        <f>VLOOKUP(RIGHT(E1153,3)+0,SchLocTable!$A$2:$B$47,2,FALSE)</f>
        <v>BMA HS</v>
      </c>
      <c r="B1153" s="207" t="str">
        <f>VLOOKUP(VALUE(D1153),$D$3:F$106,3,FALSE)</f>
        <v>Visual Arts</v>
      </c>
      <c r="C1153" s="751" t="s">
        <v>246</v>
      </c>
      <c r="D1153" s="751" t="s">
        <v>482</v>
      </c>
      <c r="E1153" s="751" t="s">
        <v>491</v>
      </c>
      <c r="F1153" s="751" t="s">
        <v>259</v>
      </c>
      <c r="G1153" s="752" t="s">
        <v>1681</v>
      </c>
      <c r="H1153" s="753">
        <v>52917</v>
      </c>
      <c r="I1153" s="754">
        <v>35075.879999999997</v>
      </c>
      <c r="J1153" s="754">
        <v>0</v>
      </c>
      <c r="K1153" s="754">
        <v>0</v>
      </c>
      <c r="L1153" s="754">
        <v>8351.4</v>
      </c>
      <c r="M1153" s="754">
        <f t="shared" si="61"/>
        <v>8351.4</v>
      </c>
      <c r="N1153" s="756">
        <v>35075.879999999997</v>
      </c>
      <c r="O1153" s="720">
        <f t="shared" si="62"/>
        <v>0</v>
      </c>
    </row>
    <row r="1154" spans="1:15" outlineLevel="2" x14ac:dyDescent="0.25">
      <c r="A1154" s="207" t="str">
        <f>VLOOKUP(RIGHT(E1154,3)+0,SchLocTable!$A$2:$B$47,2,FALSE)</f>
        <v>Park City Magnet</v>
      </c>
      <c r="B1154" s="207" t="str">
        <f>VLOOKUP(VALUE(D1154),$D$3:F$106,3,FALSE)</f>
        <v>Visual Arts</v>
      </c>
      <c r="C1154" s="751" t="s">
        <v>246</v>
      </c>
      <c r="D1154" s="751" t="s">
        <v>482</v>
      </c>
      <c r="E1154" s="751" t="s">
        <v>492</v>
      </c>
      <c r="F1154" s="751" t="s">
        <v>248</v>
      </c>
      <c r="G1154" s="752">
        <v>1</v>
      </c>
      <c r="H1154" s="753">
        <v>51000</v>
      </c>
      <c r="I1154" s="754">
        <v>103153.2</v>
      </c>
      <c r="J1154" s="754">
        <v>0</v>
      </c>
      <c r="K1154" s="754">
        <v>0</v>
      </c>
      <c r="L1154" s="754">
        <v>19761.150000000001</v>
      </c>
      <c r="M1154" s="754">
        <f t="shared" si="61"/>
        <v>19761.150000000001</v>
      </c>
      <c r="N1154" s="756">
        <v>103153.2</v>
      </c>
      <c r="O1154" s="720">
        <f t="shared" si="62"/>
        <v>0</v>
      </c>
    </row>
    <row r="1155" spans="1:15" outlineLevel="2" x14ac:dyDescent="0.25">
      <c r="A1155" s="207" t="str">
        <f>VLOOKUP(RIGHT(E1155,3)+0,SchLocTable!$A$2:$B$47,2,FALSE)</f>
        <v>Park City Magnet</v>
      </c>
      <c r="B1155" s="207" t="str">
        <f>VLOOKUP(VALUE(D1155),$D$3:F$106,3,FALSE)</f>
        <v>Visual Arts</v>
      </c>
      <c r="C1155" s="751" t="s">
        <v>246</v>
      </c>
      <c r="D1155" s="751" t="s">
        <v>482</v>
      </c>
      <c r="E1155" s="751" t="s">
        <v>492</v>
      </c>
      <c r="F1155" s="751" t="s">
        <v>257</v>
      </c>
      <c r="G1155" s="752" t="s">
        <v>1681</v>
      </c>
      <c r="H1155" s="753">
        <v>51140</v>
      </c>
      <c r="I1155" s="754">
        <v>900</v>
      </c>
      <c r="J1155" s="754">
        <v>0</v>
      </c>
      <c r="K1155" s="754">
        <v>0</v>
      </c>
      <c r="L1155" s="754">
        <v>0</v>
      </c>
      <c r="M1155" s="754">
        <f t="shared" si="61"/>
        <v>0</v>
      </c>
      <c r="N1155" s="756">
        <v>900</v>
      </c>
      <c r="O1155" s="720">
        <f t="shared" si="62"/>
        <v>0</v>
      </c>
    </row>
    <row r="1156" spans="1:15" outlineLevel="2" x14ac:dyDescent="0.25">
      <c r="A1156" s="207" t="str">
        <f>VLOOKUP(RIGHT(E1156,3)+0,SchLocTable!$A$2:$B$47,2,FALSE)</f>
        <v>Park City Magnet</v>
      </c>
      <c r="B1156" s="207" t="str">
        <f>VLOOKUP(VALUE(D1156),$D$3:F$106,3,FALSE)</f>
        <v>Visual Arts</v>
      </c>
      <c r="C1156" s="751" t="s">
        <v>246</v>
      </c>
      <c r="D1156" s="751" t="s">
        <v>482</v>
      </c>
      <c r="E1156" s="751" t="s">
        <v>492</v>
      </c>
      <c r="F1156" s="751" t="s">
        <v>254</v>
      </c>
      <c r="G1156" s="752" t="s">
        <v>1681</v>
      </c>
      <c r="H1156" s="753">
        <v>52360</v>
      </c>
      <c r="I1156" s="754">
        <v>1466.7</v>
      </c>
      <c r="J1156" s="754">
        <v>0</v>
      </c>
      <c r="K1156" s="754">
        <v>0</v>
      </c>
      <c r="L1156" s="754">
        <v>257.52</v>
      </c>
      <c r="M1156" s="754">
        <f t="shared" si="61"/>
        <v>257.52</v>
      </c>
      <c r="N1156" s="756">
        <v>1466.7</v>
      </c>
      <c r="O1156" s="720">
        <f t="shared" si="62"/>
        <v>0</v>
      </c>
    </row>
    <row r="1157" spans="1:15" outlineLevel="2" x14ac:dyDescent="0.25">
      <c r="A1157" s="207" t="str">
        <f>VLOOKUP(RIGHT(E1157,3)+0,SchLocTable!$A$2:$B$47,2,FALSE)</f>
        <v>Park City Magnet</v>
      </c>
      <c r="B1157" s="207" t="str">
        <f>VLOOKUP(VALUE(D1157),$D$3:F$106,3,FALSE)</f>
        <v>Visual Arts</v>
      </c>
      <c r="C1157" s="751" t="s">
        <v>246</v>
      </c>
      <c r="D1157" s="751" t="s">
        <v>482</v>
      </c>
      <c r="E1157" s="751" t="s">
        <v>492</v>
      </c>
      <c r="F1157" s="751" t="s">
        <v>259</v>
      </c>
      <c r="G1157" s="752" t="s">
        <v>1681</v>
      </c>
      <c r="H1157" s="753">
        <v>52917</v>
      </c>
      <c r="I1157" s="754">
        <v>28478.1</v>
      </c>
      <c r="J1157" s="754">
        <v>0</v>
      </c>
      <c r="K1157" s="754">
        <v>0</v>
      </c>
      <c r="L1157" s="754">
        <v>6780.5</v>
      </c>
      <c r="M1157" s="754">
        <f t="shared" si="61"/>
        <v>6780.5</v>
      </c>
      <c r="N1157" s="756">
        <v>28478.1</v>
      </c>
      <c r="O1157" s="720">
        <f t="shared" si="62"/>
        <v>0</v>
      </c>
    </row>
    <row r="1158" spans="1:15" outlineLevel="2" x14ac:dyDescent="0.25">
      <c r="A1158" s="207" t="str">
        <f>VLOOKUP(RIGHT(E1158,3)+0,SchLocTable!$A$2:$B$47,2,FALSE)</f>
        <v>Madison</v>
      </c>
      <c r="B1158" s="207" t="str">
        <f>VLOOKUP(VALUE(D1158),$D$3:F$106,3,FALSE)</f>
        <v>Visual Arts</v>
      </c>
      <c r="C1158" s="751" t="s">
        <v>246</v>
      </c>
      <c r="D1158" s="751" t="s">
        <v>482</v>
      </c>
      <c r="E1158" s="751" t="s">
        <v>493</v>
      </c>
      <c r="F1158" s="751" t="s">
        <v>248</v>
      </c>
      <c r="G1158" s="752">
        <v>1</v>
      </c>
      <c r="H1158" s="753">
        <v>51000</v>
      </c>
      <c r="I1158" s="754">
        <v>85734.59</v>
      </c>
      <c r="J1158" s="754">
        <v>0</v>
      </c>
      <c r="K1158" s="754">
        <v>0</v>
      </c>
      <c r="L1158" s="754">
        <v>16424.25</v>
      </c>
      <c r="M1158" s="754">
        <f t="shared" si="61"/>
        <v>16424.25</v>
      </c>
      <c r="N1158" s="756">
        <v>85734.59</v>
      </c>
      <c r="O1158" s="720">
        <f t="shared" si="62"/>
        <v>0</v>
      </c>
    </row>
    <row r="1159" spans="1:15" outlineLevel="2" x14ac:dyDescent="0.25">
      <c r="A1159" s="207" t="str">
        <f>VLOOKUP(RIGHT(E1159,3)+0,SchLocTable!$A$2:$B$47,2,FALSE)</f>
        <v>Madison</v>
      </c>
      <c r="B1159" s="207" t="str">
        <f>VLOOKUP(VALUE(D1159),$D$3:F$106,3,FALSE)</f>
        <v>Visual Arts</v>
      </c>
      <c r="C1159" s="751" t="s">
        <v>246</v>
      </c>
      <c r="D1159" s="751" t="s">
        <v>482</v>
      </c>
      <c r="E1159" s="751" t="s">
        <v>493</v>
      </c>
      <c r="F1159" s="751" t="s">
        <v>257</v>
      </c>
      <c r="G1159" s="752" t="s">
        <v>1681</v>
      </c>
      <c r="H1159" s="753">
        <v>51140</v>
      </c>
      <c r="I1159" s="754">
        <v>900</v>
      </c>
      <c r="J1159" s="754">
        <v>0</v>
      </c>
      <c r="K1159" s="754">
        <v>0</v>
      </c>
      <c r="L1159" s="754">
        <v>0</v>
      </c>
      <c r="M1159" s="754">
        <f t="shared" si="61"/>
        <v>0</v>
      </c>
      <c r="N1159" s="756">
        <v>900</v>
      </c>
      <c r="O1159" s="720">
        <f t="shared" si="62"/>
        <v>0</v>
      </c>
    </row>
    <row r="1160" spans="1:15" outlineLevel="2" x14ac:dyDescent="0.25">
      <c r="A1160" s="207" t="str">
        <f>VLOOKUP(RIGHT(E1160,3)+0,SchLocTable!$A$2:$B$47,2,FALSE)</f>
        <v>Madison</v>
      </c>
      <c r="B1160" s="207" t="str">
        <f>VLOOKUP(VALUE(D1160),$D$3:F$106,3,FALSE)</f>
        <v>Visual Arts</v>
      </c>
      <c r="C1160" s="751" t="s">
        <v>246</v>
      </c>
      <c r="D1160" s="751" t="s">
        <v>482</v>
      </c>
      <c r="E1160" s="751" t="s">
        <v>493</v>
      </c>
      <c r="F1160" s="751" t="s">
        <v>254</v>
      </c>
      <c r="G1160" s="752" t="s">
        <v>1681</v>
      </c>
      <c r="H1160" s="753">
        <v>52360</v>
      </c>
      <c r="I1160" s="754">
        <v>1207.69</v>
      </c>
      <c r="J1160" s="754">
        <v>0</v>
      </c>
      <c r="K1160" s="754">
        <v>0</v>
      </c>
      <c r="L1160" s="754">
        <v>202.69</v>
      </c>
      <c r="M1160" s="754">
        <f t="shared" si="61"/>
        <v>202.69</v>
      </c>
      <c r="N1160" s="756">
        <v>1207.69</v>
      </c>
      <c r="O1160" s="720">
        <f t="shared" si="62"/>
        <v>0</v>
      </c>
    </row>
    <row r="1161" spans="1:15" outlineLevel="2" x14ac:dyDescent="0.25">
      <c r="A1161" s="207" t="str">
        <f>VLOOKUP(RIGHT(E1161,3)+0,SchLocTable!$A$2:$B$47,2,FALSE)</f>
        <v>Madison</v>
      </c>
      <c r="B1161" s="207" t="str">
        <f>VLOOKUP(VALUE(D1161),$D$3:F$106,3,FALSE)</f>
        <v>Visual Arts</v>
      </c>
      <c r="C1161" s="755" t="s">
        <v>246</v>
      </c>
      <c r="D1161" s="751" t="s">
        <v>482</v>
      </c>
      <c r="E1161" s="751" t="s">
        <v>493</v>
      </c>
      <c r="F1161" s="751" t="s">
        <v>259</v>
      </c>
      <c r="G1161" s="752" t="s">
        <v>1681</v>
      </c>
      <c r="H1161" s="753">
        <v>52917</v>
      </c>
      <c r="I1161" s="754">
        <v>34787.339999999997</v>
      </c>
      <c r="J1161" s="754">
        <v>0</v>
      </c>
      <c r="K1161" s="754">
        <v>0</v>
      </c>
      <c r="L1161" s="754">
        <v>8282.7000000000007</v>
      </c>
      <c r="M1161" s="754">
        <f t="shared" si="61"/>
        <v>8282.7000000000007</v>
      </c>
      <c r="N1161" s="756">
        <v>34787.339999999997</v>
      </c>
      <c r="O1161" s="720">
        <f t="shared" si="62"/>
        <v>0</v>
      </c>
    </row>
    <row r="1162" spans="1:15" outlineLevel="2" x14ac:dyDescent="0.25">
      <c r="A1162" s="207" t="str">
        <f>VLOOKUP(RIGHT(E1162,3)+0,SchLocTable!$A$2:$B$47,2,FALSE)</f>
        <v>Classical Studies Academy</v>
      </c>
      <c r="B1162" s="207" t="str">
        <f>VLOOKUP(VALUE(D1162),$D$3:F$106,3,FALSE)</f>
        <v>Visual Arts</v>
      </c>
      <c r="C1162" s="751" t="s">
        <v>246</v>
      </c>
      <c r="D1162" s="751" t="s">
        <v>482</v>
      </c>
      <c r="E1162" s="751" t="s">
        <v>1994</v>
      </c>
      <c r="F1162" s="751" t="s">
        <v>248</v>
      </c>
      <c r="G1162" s="752">
        <v>1</v>
      </c>
      <c r="H1162" s="753">
        <v>51000</v>
      </c>
      <c r="I1162" s="754">
        <v>52561.95</v>
      </c>
      <c r="J1162" s="754">
        <v>0</v>
      </c>
      <c r="K1162" s="754">
        <v>0</v>
      </c>
      <c r="L1162" s="754">
        <v>12514.75</v>
      </c>
      <c r="M1162" s="754">
        <f t="shared" si="61"/>
        <v>12514.75</v>
      </c>
      <c r="N1162" s="756">
        <v>52561.95</v>
      </c>
      <c r="O1162" s="720">
        <f t="shared" si="62"/>
        <v>0</v>
      </c>
    </row>
    <row r="1163" spans="1:15" outlineLevel="2" x14ac:dyDescent="0.25">
      <c r="A1163" s="207" t="str">
        <f>VLOOKUP(RIGHT(E1163,3)+0,SchLocTable!$A$2:$B$47,2,FALSE)</f>
        <v>Classical Studies Academy</v>
      </c>
      <c r="B1163" s="207" t="str">
        <f>VLOOKUP(VALUE(D1163),$D$3:F$106,3,FALSE)</f>
        <v>Visual Arts</v>
      </c>
      <c r="C1163" s="751" t="s">
        <v>246</v>
      </c>
      <c r="D1163" s="751" t="s">
        <v>482</v>
      </c>
      <c r="E1163" s="751" t="s">
        <v>1994</v>
      </c>
      <c r="F1163" s="751" t="s">
        <v>454</v>
      </c>
      <c r="G1163" s="752" t="s">
        <v>1681</v>
      </c>
      <c r="H1163" s="753">
        <v>51404</v>
      </c>
      <c r="I1163" s="754">
        <v>0</v>
      </c>
      <c r="J1163" s="754">
        <v>0</v>
      </c>
      <c r="K1163" s="754">
        <v>0</v>
      </c>
      <c r="L1163" s="754">
        <v>0</v>
      </c>
      <c r="M1163" s="754">
        <f t="shared" si="61"/>
        <v>0</v>
      </c>
      <c r="N1163" s="756">
        <v>0</v>
      </c>
      <c r="O1163" s="720">
        <f t="shared" si="62"/>
        <v>0</v>
      </c>
    </row>
    <row r="1164" spans="1:15" outlineLevel="2" x14ac:dyDescent="0.25">
      <c r="A1164" s="207" t="str">
        <f>VLOOKUP(RIGHT(E1164,3)+0,SchLocTable!$A$2:$B$47,2,FALSE)</f>
        <v>Classical Studies Academy</v>
      </c>
      <c r="B1164" s="207" t="str">
        <f>VLOOKUP(VALUE(D1164),$D$3:F$106,3,FALSE)</f>
        <v>Visual Arts</v>
      </c>
      <c r="C1164" s="751" t="s">
        <v>246</v>
      </c>
      <c r="D1164" s="751" t="s">
        <v>482</v>
      </c>
      <c r="E1164" s="751" t="s">
        <v>1994</v>
      </c>
      <c r="F1164" s="751" t="s">
        <v>254</v>
      </c>
      <c r="G1164" s="752" t="s">
        <v>1681</v>
      </c>
      <c r="H1164" s="753">
        <v>52360</v>
      </c>
      <c r="I1164" s="754">
        <v>762.15</v>
      </c>
      <c r="J1164" s="754">
        <v>0</v>
      </c>
      <c r="K1164" s="754">
        <v>0</v>
      </c>
      <c r="L1164" s="754">
        <v>181.47</v>
      </c>
      <c r="M1164" s="754">
        <f t="shared" si="61"/>
        <v>181.47</v>
      </c>
      <c r="N1164" s="756">
        <v>762.15</v>
      </c>
      <c r="O1164" s="720">
        <f t="shared" si="62"/>
        <v>0</v>
      </c>
    </row>
    <row r="1165" spans="1:15" outlineLevel="2" x14ac:dyDescent="0.25">
      <c r="A1165" s="207" t="str">
        <f>VLOOKUP(RIGHT(E1165,3)+0,SchLocTable!$A$2:$B$47,2,FALSE)</f>
        <v>Classical Studies Academy</v>
      </c>
      <c r="B1165" s="207" t="str">
        <f>VLOOKUP(VALUE(D1165),$D$3:F$106,3,FALSE)</f>
        <v>Visual Arts</v>
      </c>
      <c r="C1165" s="751" t="s">
        <v>246</v>
      </c>
      <c r="D1165" s="751" t="s">
        <v>482</v>
      </c>
      <c r="E1165" s="751" t="s">
        <v>1994</v>
      </c>
      <c r="F1165" s="751" t="s">
        <v>292</v>
      </c>
      <c r="G1165" s="752" t="s">
        <v>1681</v>
      </c>
      <c r="H1165" s="753">
        <v>52385</v>
      </c>
      <c r="I1165" s="754">
        <v>0</v>
      </c>
      <c r="J1165" s="754">
        <v>0</v>
      </c>
      <c r="K1165" s="754">
        <v>0</v>
      </c>
      <c r="L1165" s="754">
        <v>0</v>
      </c>
      <c r="M1165" s="754">
        <f t="shared" si="61"/>
        <v>0</v>
      </c>
      <c r="N1165" s="756">
        <v>0</v>
      </c>
      <c r="O1165" s="720">
        <f t="shared" si="62"/>
        <v>0</v>
      </c>
    </row>
    <row r="1166" spans="1:15" outlineLevel="2" x14ac:dyDescent="0.25">
      <c r="A1166" s="207" t="str">
        <f>VLOOKUP(RIGHT(E1166,3)+0,SchLocTable!$A$2:$B$47,2,FALSE)</f>
        <v>Tisdale</v>
      </c>
      <c r="B1166" s="207" t="str">
        <f>VLOOKUP(VALUE(D1166),$D$3:F$106,3,FALSE)</f>
        <v>Visual Arts</v>
      </c>
      <c r="C1166" s="751" t="s">
        <v>246</v>
      </c>
      <c r="D1166" s="751" t="s">
        <v>482</v>
      </c>
      <c r="E1166" s="751" t="s">
        <v>494</v>
      </c>
      <c r="F1166" s="751" t="s">
        <v>248</v>
      </c>
      <c r="G1166" s="752">
        <v>2</v>
      </c>
      <c r="H1166" s="753">
        <v>51000</v>
      </c>
      <c r="I1166" s="754">
        <v>206306.41</v>
      </c>
      <c r="J1166" s="754">
        <v>0</v>
      </c>
      <c r="K1166" s="754">
        <v>0</v>
      </c>
      <c r="L1166" s="754">
        <v>39522.300000000003</v>
      </c>
      <c r="M1166" s="754">
        <f t="shared" si="61"/>
        <v>39522.300000000003</v>
      </c>
      <c r="N1166" s="756">
        <v>206306.41</v>
      </c>
      <c r="O1166" s="720">
        <f t="shared" si="62"/>
        <v>0</v>
      </c>
    </row>
    <row r="1167" spans="1:15" outlineLevel="2" x14ac:dyDescent="0.25">
      <c r="A1167" s="207" t="str">
        <f>VLOOKUP(RIGHT(E1167,3)+0,SchLocTable!$A$2:$B$47,2,FALSE)</f>
        <v>Tisdale</v>
      </c>
      <c r="B1167" s="207" t="str">
        <f>VLOOKUP(VALUE(D1167),$D$3:F$106,3,FALSE)</f>
        <v>Visual Arts</v>
      </c>
      <c r="C1167" s="751" t="s">
        <v>246</v>
      </c>
      <c r="D1167" s="751" t="s">
        <v>482</v>
      </c>
      <c r="E1167" s="751" t="s">
        <v>494</v>
      </c>
      <c r="F1167" s="751" t="s">
        <v>257</v>
      </c>
      <c r="G1167" s="752" t="s">
        <v>1681</v>
      </c>
      <c r="H1167" s="753">
        <v>51140</v>
      </c>
      <c r="I1167" s="754">
        <v>1800</v>
      </c>
      <c r="J1167" s="754">
        <v>0</v>
      </c>
      <c r="K1167" s="754">
        <v>0</v>
      </c>
      <c r="L1167" s="754">
        <v>0</v>
      </c>
      <c r="M1167" s="754">
        <f t="shared" si="61"/>
        <v>0</v>
      </c>
      <c r="N1167" s="756">
        <v>1800</v>
      </c>
      <c r="O1167" s="720">
        <f t="shared" si="62"/>
        <v>0</v>
      </c>
    </row>
    <row r="1168" spans="1:15" outlineLevel="2" x14ac:dyDescent="0.25">
      <c r="A1168" s="207" t="str">
        <f>VLOOKUP(RIGHT(E1168,3)+0,SchLocTable!$A$2:$B$47,2,FALSE)</f>
        <v>Tisdale</v>
      </c>
      <c r="B1168" s="207" t="str">
        <f>VLOOKUP(VALUE(D1168),$D$3:F$106,3,FALSE)</f>
        <v>Visual Arts</v>
      </c>
      <c r="C1168" s="751" t="s">
        <v>246</v>
      </c>
      <c r="D1168" s="751" t="s">
        <v>482</v>
      </c>
      <c r="E1168" s="751" t="s">
        <v>494</v>
      </c>
      <c r="F1168" s="751" t="s">
        <v>254</v>
      </c>
      <c r="G1168" s="752" t="s">
        <v>1681</v>
      </c>
      <c r="H1168" s="753">
        <v>52360</v>
      </c>
      <c r="I1168" s="754">
        <v>2917.25</v>
      </c>
      <c r="J1168" s="754">
        <v>0</v>
      </c>
      <c r="K1168" s="754">
        <v>0</v>
      </c>
      <c r="L1168" s="754">
        <v>498.88</v>
      </c>
      <c r="M1168" s="754">
        <f t="shared" si="61"/>
        <v>498.88</v>
      </c>
      <c r="N1168" s="756">
        <v>2917.25</v>
      </c>
      <c r="O1168" s="720">
        <f t="shared" si="62"/>
        <v>0</v>
      </c>
    </row>
    <row r="1169" spans="1:15" outlineLevel="2" x14ac:dyDescent="0.25">
      <c r="A1169" s="207" t="str">
        <f>VLOOKUP(RIGHT(E1169,3)+0,SchLocTable!$A$2:$B$47,2,FALSE)</f>
        <v>Tisdale</v>
      </c>
      <c r="B1169" s="207" t="str">
        <f>VLOOKUP(VALUE(D1169),$D$3:F$106,3,FALSE)</f>
        <v>Visual Arts</v>
      </c>
      <c r="C1169" s="751" t="s">
        <v>246</v>
      </c>
      <c r="D1169" s="751" t="s">
        <v>482</v>
      </c>
      <c r="E1169" s="751" t="s">
        <v>494</v>
      </c>
      <c r="F1169" s="751" t="s">
        <v>259</v>
      </c>
      <c r="G1169" s="752" t="s">
        <v>1681</v>
      </c>
      <c r="H1169" s="753">
        <v>52917</v>
      </c>
      <c r="I1169" s="754">
        <v>70151.759999999995</v>
      </c>
      <c r="J1169" s="754">
        <v>0</v>
      </c>
      <c r="K1169" s="754">
        <v>0</v>
      </c>
      <c r="L1169" s="754">
        <v>16702.8</v>
      </c>
      <c r="M1169" s="754">
        <f t="shared" si="61"/>
        <v>16702.8</v>
      </c>
      <c r="N1169" s="756">
        <v>70151.759999999995</v>
      </c>
      <c r="O1169" s="720">
        <f t="shared" si="62"/>
        <v>0</v>
      </c>
    </row>
    <row r="1170" spans="1:15" outlineLevel="2" x14ac:dyDescent="0.25">
      <c r="A1170" s="207" t="str">
        <f>VLOOKUP(RIGHT(E1170,3)+0,SchLocTable!$A$2:$B$47,2,FALSE)</f>
        <v>Read</v>
      </c>
      <c r="B1170" s="207" t="str">
        <f>VLOOKUP(VALUE(D1170),$D$3:F$106,3,FALSE)</f>
        <v>Visual Arts</v>
      </c>
      <c r="C1170" s="751" t="s">
        <v>246</v>
      </c>
      <c r="D1170" s="751" t="s">
        <v>482</v>
      </c>
      <c r="E1170" s="751" t="s">
        <v>495</v>
      </c>
      <c r="F1170" s="751" t="s">
        <v>248</v>
      </c>
      <c r="G1170" s="752">
        <v>1</v>
      </c>
      <c r="H1170" s="753">
        <v>51000</v>
      </c>
      <c r="I1170" s="754">
        <v>53431.98</v>
      </c>
      <c r="J1170" s="754">
        <v>0</v>
      </c>
      <c r="K1170" s="754">
        <v>0</v>
      </c>
      <c r="L1170" s="754">
        <v>12721.9</v>
      </c>
      <c r="M1170" s="754">
        <f t="shared" si="61"/>
        <v>12721.9</v>
      </c>
      <c r="N1170" s="756">
        <v>53431.98</v>
      </c>
      <c r="O1170" s="720">
        <f t="shared" si="62"/>
        <v>0</v>
      </c>
    </row>
    <row r="1171" spans="1:15" outlineLevel="2" x14ac:dyDescent="0.25">
      <c r="A1171" s="207" t="str">
        <f>VLOOKUP(RIGHT(E1171,3)+0,SchLocTable!$A$2:$B$47,2,FALSE)</f>
        <v>Read</v>
      </c>
      <c r="B1171" s="207" t="str">
        <f>VLOOKUP(VALUE(D1171),$D$3:F$106,3,FALSE)</f>
        <v>Visual Arts</v>
      </c>
      <c r="C1171" s="751" t="s">
        <v>246</v>
      </c>
      <c r="D1171" s="751" t="s">
        <v>482</v>
      </c>
      <c r="E1171" s="751" t="s">
        <v>495</v>
      </c>
      <c r="F1171" s="751" t="s">
        <v>257</v>
      </c>
      <c r="G1171" s="752" t="s">
        <v>1681</v>
      </c>
      <c r="H1171" s="753">
        <v>51140</v>
      </c>
      <c r="I1171" s="754">
        <v>0</v>
      </c>
      <c r="J1171" s="754">
        <v>0</v>
      </c>
      <c r="K1171" s="754">
        <v>0</v>
      </c>
      <c r="L1171" s="754">
        <v>0</v>
      </c>
      <c r="M1171" s="754">
        <f t="shared" si="61"/>
        <v>0</v>
      </c>
      <c r="N1171" s="756">
        <v>0</v>
      </c>
      <c r="O1171" s="720">
        <f t="shared" si="62"/>
        <v>0</v>
      </c>
    </row>
    <row r="1172" spans="1:15" outlineLevel="2" x14ac:dyDescent="0.25">
      <c r="A1172" s="207" t="str">
        <f>VLOOKUP(RIGHT(E1172,3)+0,SchLocTable!$A$2:$B$47,2,FALSE)</f>
        <v>Read</v>
      </c>
      <c r="B1172" s="207" t="str">
        <f>VLOOKUP(VALUE(D1172),$D$3:F$106,3,FALSE)</f>
        <v>Visual Arts</v>
      </c>
      <c r="C1172" s="751" t="s">
        <v>246</v>
      </c>
      <c r="D1172" s="751" t="s">
        <v>482</v>
      </c>
      <c r="E1172" s="751" t="s">
        <v>495</v>
      </c>
      <c r="F1172" s="751" t="s">
        <v>254</v>
      </c>
      <c r="G1172" s="752" t="s">
        <v>1681</v>
      </c>
      <c r="H1172" s="753">
        <v>52360</v>
      </c>
      <c r="I1172" s="754">
        <v>774.77</v>
      </c>
      <c r="J1172" s="754">
        <v>0</v>
      </c>
      <c r="K1172" s="754">
        <v>0</v>
      </c>
      <c r="L1172" s="754">
        <v>184.47</v>
      </c>
      <c r="M1172" s="754">
        <f t="shared" si="61"/>
        <v>184.47</v>
      </c>
      <c r="N1172" s="756">
        <v>774.77</v>
      </c>
      <c r="O1172" s="720">
        <f t="shared" si="62"/>
        <v>0</v>
      </c>
    </row>
    <row r="1173" spans="1:15" outlineLevel="2" x14ac:dyDescent="0.25">
      <c r="A1173" s="207" t="str">
        <f>VLOOKUP(RIGHT(E1173,3)+0,SchLocTable!$A$2:$B$47,2,FALSE)</f>
        <v>Read</v>
      </c>
      <c r="B1173" s="207" t="str">
        <f>VLOOKUP(VALUE(D1173),$D$3:F$106,3,FALSE)</f>
        <v>Visual Arts</v>
      </c>
      <c r="C1173" s="751" t="s">
        <v>246</v>
      </c>
      <c r="D1173" s="751" t="s">
        <v>482</v>
      </c>
      <c r="E1173" s="751" t="s">
        <v>495</v>
      </c>
      <c r="F1173" s="751" t="s">
        <v>292</v>
      </c>
      <c r="G1173" s="752" t="s">
        <v>1681</v>
      </c>
      <c r="H1173" s="753">
        <v>52385</v>
      </c>
      <c r="I1173" s="754">
        <v>0</v>
      </c>
      <c r="J1173" s="754">
        <v>0</v>
      </c>
      <c r="K1173" s="754">
        <v>0</v>
      </c>
      <c r="L1173" s="754">
        <v>0</v>
      </c>
      <c r="M1173" s="754">
        <f t="shared" si="61"/>
        <v>0</v>
      </c>
      <c r="N1173" s="756">
        <v>0</v>
      </c>
      <c r="O1173" s="720">
        <f t="shared" si="62"/>
        <v>0</v>
      </c>
    </row>
    <row r="1174" spans="1:15" outlineLevel="2" x14ac:dyDescent="0.25">
      <c r="A1174" s="207" t="str">
        <f>VLOOKUP(RIGHT(E1174,3)+0,SchLocTable!$A$2:$B$47,2,FALSE)</f>
        <v>Read</v>
      </c>
      <c r="B1174" s="207" t="str">
        <f>VLOOKUP(VALUE(D1174),$D$3:F$106,3,FALSE)</f>
        <v>Visual Arts</v>
      </c>
      <c r="C1174" s="751" t="s">
        <v>246</v>
      </c>
      <c r="D1174" s="751" t="s">
        <v>482</v>
      </c>
      <c r="E1174" s="751" t="s">
        <v>495</v>
      </c>
      <c r="F1174" s="751" t="s">
        <v>259</v>
      </c>
      <c r="G1174" s="752" t="s">
        <v>1681</v>
      </c>
      <c r="H1174" s="753">
        <v>52917</v>
      </c>
      <c r="I1174" s="754">
        <v>0</v>
      </c>
      <c r="J1174" s="754">
        <v>0</v>
      </c>
      <c r="K1174" s="754">
        <v>0</v>
      </c>
      <c r="L1174" s="754">
        <v>0</v>
      </c>
      <c r="M1174" s="754">
        <f t="shared" si="61"/>
        <v>0</v>
      </c>
      <c r="N1174" s="756">
        <v>0</v>
      </c>
      <c r="O1174" s="720">
        <f t="shared" si="62"/>
        <v>0</v>
      </c>
    </row>
    <row r="1175" spans="1:15" outlineLevel="2" x14ac:dyDescent="0.25">
      <c r="A1175" s="207" t="str">
        <f>VLOOKUP(RIGHT(E1175,3)+0,SchLocTable!$A$2:$B$47,2,FALSE)</f>
        <v>Roosevelt</v>
      </c>
      <c r="B1175" s="207" t="str">
        <f>VLOOKUP(VALUE(D1175),$D$3:F$106,3,FALSE)</f>
        <v>Visual Arts</v>
      </c>
      <c r="C1175" s="755" t="s">
        <v>246</v>
      </c>
      <c r="D1175" s="751" t="s">
        <v>482</v>
      </c>
      <c r="E1175" s="751" t="s">
        <v>496</v>
      </c>
      <c r="F1175" s="751" t="s">
        <v>248</v>
      </c>
      <c r="G1175" s="752">
        <v>2</v>
      </c>
      <c r="H1175" s="753">
        <v>51000</v>
      </c>
      <c r="I1175" s="754">
        <v>143186.43</v>
      </c>
      <c r="J1175" s="754">
        <v>0</v>
      </c>
      <c r="K1175" s="754">
        <v>0</v>
      </c>
      <c r="L1175" s="754">
        <v>27430.35</v>
      </c>
      <c r="M1175" s="754">
        <f t="shared" si="61"/>
        <v>27430.35</v>
      </c>
      <c r="N1175" s="756">
        <v>143186.43</v>
      </c>
      <c r="O1175" s="720">
        <f t="shared" si="62"/>
        <v>0</v>
      </c>
    </row>
    <row r="1176" spans="1:15" outlineLevel="2" x14ac:dyDescent="0.25">
      <c r="A1176" s="207" t="str">
        <f>VLOOKUP(RIGHT(E1176,3)+0,SchLocTable!$A$2:$B$47,2,FALSE)</f>
        <v>Roosevelt</v>
      </c>
      <c r="B1176" s="207" t="str">
        <f>VLOOKUP(VALUE(D1176),$D$3:F$106,3,FALSE)</f>
        <v>Visual Arts</v>
      </c>
      <c r="C1176" s="751" t="s">
        <v>246</v>
      </c>
      <c r="D1176" s="751" t="s">
        <v>482</v>
      </c>
      <c r="E1176" s="751" t="s">
        <v>496</v>
      </c>
      <c r="F1176" s="751" t="s">
        <v>254</v>
      </c>
      <c r="G1176" s="752" t="s">
        <v>1681</v>
      </c>
      <c r="H1176" s="753">
        <v>52360</v>
      </c>
      <c r="I1176" s="754">
        <v>2028.51</v>
      </c>
      <c r="J1176" s="754">
        <v>0</v>
      </c>
      <c r="K1176" s="754">
        <v>0</v>
      </c>
      <c r="L1176" s="754">
        <v>350.05</v>
      </c>
      <c r="M1176" s="754">
        <f t="shared" si="61"/>
        <v>350.05</v>
      </c>
      <c r="N1176" s="756">
        <v>2028.51</v>
      </c>
      <c r="O1176" s="720">
        <f t="shared" si="62"/>
        <v>0</v>
      </c>
    </row>
    <row r="1177" spans="1:15" outlineLevel="2" x14ac:dyDescent="0.25">
      <c r="A1177" s="207" t="str">
        <f>VLOOKUP(RIGHT(E1177,3)+0,SchLocTable!$A$2:$B$47,2,FALSE)</f>
        <v>Roosevelt</v>
      </c>
      <c r="B1177" s="207" t="str">
        <f>VLOOKUP(VALUE(D1177),$D$3:F$106,3,FALSE)</f>
        <v>Visual Arts</v>
      </c>
      <c r="C1177" s="751" t="s">
        <v>246</v>
      </c>
      <c r="D1177" s="751" t="s">
        <v>482</v>
      </c>
      <c r="E1177" s="751" t="s">
        <v>496</v>
      </c>
      <c r="F1177" s="751" t="s">
        <v>259</v>
      </c>
      <c r="G1177" s="752" t="s">
        <v>1681</v>
      </c>
      <c r="H1177" s="753">
        <v>52917</v>
      </c>
      <c r="I1177" s="754">
        <v>46919.88</v>
      </c>
      <c r="J1177" s="754">
        <v>0</v>
      </c>
      <c r="K1177" s="754">
        <v>0</v>
      </c>
      <c r="L1177" s="754">
        <v>11171.4</v>
      </c>
      <c r="M1177" s="754">
        <f t="shared" si="61"/>
        <v>11171.4</v>
      </c>
      <c r="N1177" s="756">
        <v>46919.88</v>
      </c>
      <c r="O1177" s="720">
        <f t="shared" si="62"/>
        <v>0</v>
      </c>
    </row>
    <row r="1178" spans="1:15" outlineLevel="2" x14ac:dyDescent="0.25">
      <c r="A1178" s="207" t="str">
        <f>VLOOKUP(RIGHT(E1178,3)+0,SchLocTable!$A$2:$B$47,2,FALSE)</f>
        <v>Bridgeport Learning Center</v>
      </c>
      <c r="B1178" s="207" t="str">
        <f>VLOOKUP(VALUE(D1178),$D$3:F$106,3,FALSE)</f>
        <v>Visual Arts</v>
      </c>
      <c r="C1178" s="751" t="s">
        <v>246</v>
      </c>
      <c r="D1178" s="751" t="s">
        <v>482</v>
      </c>
      <c r="E1178" s="751" t="s">
        <v>1995</v>
      </c>
      <c r="F1178" s="751" t="s">
        <v>248</v>
      </c>
      <c r="G1178" s="752" t="s">
        <v>1681</v>
      </c>
      <c r="H1178" s="753">
        <v>51000</v>
      </c>
      <c r="I1178" s="754">
        <v>0</v>
      </c>
      <c r="J1178" s="754">
        <v>0</v>
      </c>
      <c r="K1178" s="754">
        <v>0</v>
      </c>
      <c r="L1178" s="754">
        <v>0</v>
      </c>
      <c r="M1178" s="754">
        <f t="shared" si="61"/>
        <v>0</v>
      </c>
      <c r="N1178" s="756">
        <v>0</v>
      </c>
      <c r="O1178" s="720">
        <f t="shared" si="62"/>
        <v>0</v>
      </c>
    </row>
    <row r="1179" spans="1:15" outlineLevel="2" x14ac:dyDescent="0.25">
      <c r="A1179" s="207" t="str">
        <f>VLOOKUP(RIGHT(E1179,3)+0,SchLocTable!$A$2:$B$47,2,FALSE)</f>
        <v>Bridgeport Learning Center</v>
      </c>
      <c r="B1179" s="207" t="str">
        <f>VLOOKUP(VALUE(D1179),$D$3:F$106,3,FALSE)</f>
        <v>Visual Arts</v>
      </c>
      <c r="C1179" s="751" t="s">
        <v>246</v>
      </c>
      <c r="D1179" s="751" t="s">
        <v>482</v>
      </c>
      <c r="E1179" s="751" t="s">
        <v>1995</v>
      </c>
      <c r="F1179" s="751" t="s">
        <v>254</v>
      </c>
      <c r="G1179" s="752" t="s">
        <v>1681</v>
      </c>
      <c r="H1179" s="753">
        <v>52360</v>
      </c>
      <c r="I1179" s="754">
        <v>0</v>
      </c>
      <c r="J1179" s="754">
        <v>0</v>
      </c>
      <c r="K1179" s="754">
        <v>0</v>
      </c>
      <c r="L1179" s="754">
        <v>0</v>
      </c>
      <c r="M1179" s="754">
        <f t="shared" si="61"/>
        <v>0</v>
      </c>
      <c r="N1179" s="756">
        <v>0</v>
      </c>
      <c r="O1179" s="720">
        <f t="shared" si="62"/>
        <v>0</v>
      </c>
    </row>
    <row r="1180" spans="1:15" outlineLevel="2" x14ac:dyDescent="0.25">
      <c r="A1180" s="207" t="str">
        <f>VLOOKUP(RIGHT(E1180,3)+0,SchLocTable!$A$2:$B$47,2,FALSE)</f>
        <v>Bridgeport Learning Center</v>
      </c>
      <c r="B1180" s="207" t="str">
        <f>VLOOKUP(VALUE(D1180),$D$3:F$106,3,FALSE)</f>
        <v>Visual Arts</v>
      </c>
      <c r="C1180" s="755" t="s">
        <v>246</v>
      </c>
      <c r="D1180" s="751" t="s">
        <v>482</v>
      </c>
      <c r="E1180" s="751" t="s">
        <v>1995</v>
      </c>
      <c r="F1180" s="751" t="s">
        <v>292</v>
      </c>
      <c r="G1180" s="752" t="s">
        <v>1681</v>
      </c>
      <c r="H1180" s="753">
        <v>52385</v>
      </c>
      <c r="I1180" s="754">
        <v>0</v>
      </c>
      <c r="J1180" s="754">
        <v>0</v>
      </c>
      <c r="K1180" s="754">
        <v>0</v>
      </c>
      <c r="L1180" s="754">
        <v>0</v>
      </c>
      <c r="M1180" s="754">
        <f t="shared" si="61"/>
        <v>0</v>
      </c>
      <c r="N1180" s="756">
        <v>0</v>
      </c>
      <c r="O1180" s="720">
        <f t="shared" si="62"/>
        <v>0</v>
      </c>
    </row>
    <row r="1181" spans="1:15" outlineLevel="2" x14ac:dyDescent="0.25">
      <c r="A1181" s="207" t="str">
        <f>VLOOKUP(RIGHT(E1181,3)+0,SchLocTable!$A$2:$B$47,2,FALSE)</f>
        <v>Bridgeport Learning Center</v>
      </c>
      <c r="B1181" s="207" t="str">
        <f>VLOOKUP(VALUE(D1181),$D$3:F$106,3,FALSE)</f>
        <v>Visual Arts</v>
      </c>
      <c r="C1181" s="755" t="s">
        <v>246</v>
      </c>
      <c r="D1181" s="751" t="s">
        <v>482</v>
      </c>
      <c r="E1181" s="751" t="s">
        <v>1995</v>
      </c>
      <c r="F1181" s="751" t="s">
        <v>259</v>
      </c>
      <c r="G1181" s="752" t="s">
        <v>1681</v>
      </c>
      <c r="H1181" s="753">
        <v>52917</v>
      </c>
      <c r="I1181" s="754">
        <v>0</v>
      </c>
      <c r="J1181" s="754">
        <v>0</v>
      </c>
      <c r="K1181" s="754">
        <v>0</v>
      </c>
      <c r="L1181" s="754">
        <v>0</v>
      </c>
      <c r="M1181" s="754">
        <f t="shared" si="61"/>
        <v>0</v>
      </c>
      <c r="N1181" s="756">
        <v>0</v>
      </c>
      <c r="O1181" s="720">
        <f t="shared" si="62"/>
        <v>0</v>
      </c>
    </row>
    <row r="1182" spans="1:15" outlineLevel="2" x14ac:dyDescent="0.25">
      <c r="A1182" s="207" t="str">
        <f>VLOOKUP(RIGHT(E1182,3)+0,SchLocTable!$A$2:$B$47,2,FALSE)</f>
        <v>Waltersville</v>
      </c>
      <c r="B1182" s="207" t="str">
        <f>VLOOKUP(VALUE(D1182),$D$3:F$106,3,FALSE)</f>
        <v>Visual Arts</v>
      </c>
      <c r="C1182" s="751" t="s">
        <v>246</v>
      </c>
      <c r="D1182" s="751" t="s">
        <v>482</v>
      </c>
      <c r="E1182" s="751" t="s">
        <v>497</v>
      </c>
      <c r="F1182" s="751" t="s">
        <v>248</v>
      </c>
      <c r="G1182" s="752" t="s">
        <v>1681</v>
      </c>
      <c r="H1182" s="753">
        <v>51000</v>
      </c>
      <c r="I1182" s="754">
        <v>0</v>
      </c>
      <c r="J1182" s="754">
        <v>0</v>
      </c>
      <c r="K1182" s="754">
        <v>0</v>
      </c>
      <c r="L1182" s="754">
        <v>0</v>
      </c>
      <c r="M1182" s="754">
        <f t="shared" si="61"/>
        <v>0</v>
      </c>
      <c r="N1182" s="756">
        <v>0</v>
      </c>
      <c r="O1182" s="720">
        <f t="shared" si="62"/>
        <v>0</v>
      </c>
    </row>
    <row r="1183" spans="1:15" outlineLevel="2" x14ac:dyDescent="0.25">
      <c r="A1183" s="207" t="str">
        <f>VLOOKUP(RIGHT(E1183,3)+0,SchLocTable!$A$2:$B$47,2,FALSE)</f>
        <v>Waltersville</v>
      </c>
      <c r="B1183" s="207" t="str">
        <f>VLOOKUP(VALUE(D1183),$D$3:F$106,3,FALSE)</f>
        <v>Visual Arts</v>
      </c>
      <c r="C1183" s="751" t="s">
        <v>246</v>
      </c>
      <c r="D1183" s="751" t="s">
        <v>482</v>
      </c>
      <c r="E1183" s="751" t="s">
        <v>497</v>
      </c>
      <c r="F1183" s="751" t="s">
        <v>257</v>
      </c>
      <c r="G1183" s="752" t="s">
        <v>1681</v>
      </c>
      <c r="H1183" s="753">
        <v>51140</v>
      </c>
      <c r="I1183" s="754">
        <v>0</v>
      </c>
      <c r="J1183" s="754">
        <v>0</v>
      </c>
      <c r="K1183" s="754">
        <v>0</v>
      </c>
      <c r="L1183" s="754">
        <v>0</v>
      </c>
      <c r="M1183" s="754">
        <f t="shared" si="61"/>
        <v>0</v>
      </c>
      <c r="N1183" s="756">
        <v>0</v>
      </c>
      <c r="O1183" s="720">
        <f t="shared" si="62"/>
        <v>0</v>
      </c>
    </row>
    <row r="1184" spans="1:15" outlineLevel="2" x14ac:dyDescent="0.25">
      <c r="A1184" s="207" t="str">
        <f>VLOOKUP(RIGHT(E1184,3)+0,SchLocTable!$A$2:$B$47,2,FALSE)</f>
        <v>Waltersville</v>
      </c>
      <c r="B1184" s="207" t="str">
        <f>VLOOKUP(VALUE(D1184),$D$3:F$106,3,FALSE)</f>
        <v>Visual Arts</v>
      </c>
      <c r="C1184" s="751" t="s">
        <v>246</v>
      </c>
      <c r="D1184" s="751" t="s">
        <v>482</v>
      </c>
      <c r="E1184" s="751" t="s">
        <v>497</v>
      </c>
      <c r="F1184" s="751" t="s">
        <v>254</v>
      </c>
      <c r="G1184" s="752" t="s">
        <v>1681</v>
      </c>
      <c r="H1184" s="753">
        <v>52360</v>
      </c>
      <c r="I1184" s="754">
        <v>0</v>
      </c>
      <c r="J1184" s="754">
        <v>0</v>
      </c>
      <c r="K1184" s="754">
        <v>0</v>
      </c>
      <c r="L1184" s="754">
        <v>0</v>
      </c>
      <c r="M1184" s="754">
        <f t="shared" si="61"/>
        <v>0</v>
      </c>
      <c r="N1184" s="756">
        <v>0</v>
      </c>
      <c r="O1184" s="720">
        <f t="shared" si="62"/>
        <v>0</v>
      </c>
    </row>
    <row r="1185" spans="1:15" outlineLevel="2" x14ac:dyDescent="0.25">
      <c r="A1185" s="207" t="str">
        <f>VLOOKUP(RIGHT(E1185,3)+0,SchLocTable!$A$2:$B$47,2,FALSE)</f>
        <v>Waltersville</v>
      </c>
      <c r="B1185" s="207" t="str">
        <f>VLOOKUP(VALUE(D1185),$D$3:F$106,3,FALSE)</f>
        <v>Visual Arts</v>
      </c>
      <c r="C1185" s="751" t="s">
        <v>246</v>
      </c>
      <c r="D1185" s="751" t="s">
        <v>482</v>
      </c>
      <c r="E1185" s="751" t="s">
        <v>497</v>
      </c>
      <c r="F1185" s="751" t="s">
        <v>259</v>
      </c>
      <c r="G1185" s="752" t="s">
        <v>1681</v>
      </c>
      <c r="H1185" s="753">
        <v>52917</v>
      </c>
      <c r="I1185" s="754">
        <v>0</v>
      </c>
      <c r="J1185" s="754">
        <v>0</v>
      </c>
      <c r="K1185" s="754">
        <v>0</v>
      </c>
      <c r="L1185" s="754">
        <v>0</v>
      </c>
      <c r="M1185" s="754">
        <f t="shared" si="61"/>
        <v>0</v>
      </c>
      <c r="N1185" s="756">
        <v>0</v>
      </c>
      <c r="O1185" s="720">
        <f t="shared" si="62"/>
        <v>0</v>
      </c>
    </row>
    <row r="1186" spans="1:15" outlineLevel="2" x14ac:dyDescent="0.25">
      <c r="A1186" s="207" t="str">
        <f>VLOOKUP(RIGHT(E1186,3)+0,SchLocTable!$A$2:$B$47,2,FALSE)</f>
        <v>Claytor</v>
      </c>
      <c r="B1186" s="207" t="str">
        <f>VLOOKUP(VALUE(D1186),$D$3:F$106,3,FALSE)</f>
        <v>Visual Arts</v>
      </c>
      <c r="C1186" s="751" t="s">
        <v>246</v>
      </c>
      <c r="D1186" s="751" t="s">
        <v>482</v>
      </c>
      <c r="E1186" s="751" t="s">
        <v>498</v>
      </c>
      <c r="F1186" s="751" t="s">
        <v>248</v>
      </c>
      <c r="G1186" s="752" t="s">
        <v>1681</v>
      </c>
      <c r="H1186" s="753">
        <v>51000</v>
      </c>
      <c r="I1186" s="754">
        <v>0</v>
      </c>
      <c r="J1186" s="754">
        <v>0</v>
      </c>
      <c r="K1186" s="754">
        <v>0</v>
      </c>
      <c r="L1186" s="754">
        <v>0</v>
      </c>
      <c r="M1186" s="754">
        <f t="shared" si="61"/>
        <v>0</v>
      </c>
      <c r="N1186" s="756">
        <v>0</v>
      </c>
      <c r="O1186" s="720">
        <f t="shared" si="62"/>
        <v>0</v>
      </c>
    </row>
    <row r="1187" spans="1:15" outlineLevel="2" x14ac:dyDescent="0.25">
      <c r="A1187" s="207" t="str">
        <f>VLOOKUP(RIGHT(E1187,3)+0,SchLocTable!$A$2:$B$47,2,FALSE)</f>
        <v>Claytor</v>
      </c>
      <c r="B1187" s="207" t="str">
        <f>VLOOKUP(VALUE(D1187),$D$3:F$106,3,FALSE)</f>
        <v>Visual Arts</v>
      </c>
      <c r="C1187" s="751" t="s">
        <v>246</v>
      </c>
      <c r="D1187" s="751" t="s">
        <v>482</v>
      </c>
      <c r="E1187" s="751" t="s">
        <v>498</v>
      </c>
      <c r="F1187" s="751" t="s">
        <v>254</v>
      </c>
      <c r="G1187" s="752" t="s">
        <v>1681</v>
      </c>
      <c r="H1187" s="753">
        <v>52360</v>
      </c>
      <c r="I1187" s="754">
        <v>0</v>
      </c>
      <c r="J1187" s="754">
        <v>0</v>
      </c>
      <c r="K1187" s="754">
        <v>0</v>
      </c>
      <c r="L1187" s="754">
        <v>0</v>
      </c>
      <c r="M1187" s="754">
        <f t="shared" si="61"/>
        <v>0</v>
      </c>
      <c r="N1187" s="756">
        <v>0</v>
      </c>
      <c r="O1187" s="720">
        <f t="shared" si="62"/>
        <v>0</v>
      </c>
    </row>
    <row r="1188" spans="1:15" outlineLevel="2" x14ac:dyDescent="0.25">
      <c r="A1188" s="207" t="str">
        <f>VLOOKUP(RIGHT(E1188,3)+0,SchLocTable!$A$2:$B$47,2,FALSE)</f>
        <v>Johnson</v>
      </c>
      <c r="B1188" s="207" t="str">
        <f>VLOOKUP(VALUE(D1188),$D$3:F$106,3,FALSE)</f>
        <v>Visual Arts</v>
      </c>
      <c r="C1188" s="751" t="s">
        <v>246</v>
      </c>
      <c r="D1188" s="751" t="s">
        <v>482</v>
      </c>
      <c r="E1188" s="751" t="s">
        <v>499</v>
      </c>
      <c r="F1188" s="751" t="s">
        <v>248</v>
      </c>
      <c r="G1188" s="752" t="s">
        <v>1681</v>
      </c>
      <c r="H1188" s="753">
        <v>51000</v>
      </c>
      <c r="I1188" s="754">
        <v>0</v>
      </c>
      <c r="J1188" s="754">
        <v>0</v>
      </c>
      <c r="K1188" s="754">
        <v>0</v>
      </c>
      <c r="L1188" s="754">
        <v>0</v>
      </c>
      <c r="M1188" s="754">
        <f t="shared" si="61"/>
        <v>0</v>
      </c>
      <c r="N1188" s="756">
        <v>0</v>
      </c>
      <c r="O1188" s="720">
        <f t="shared" si="62"/>
        <v>0</v>
      </c>
    </row>
    <row r="1189" spans="1:15" outlineLevel="2" x14ac:dyDescent="0.25">
      <c r="A1189" s="207" t="str">
        <f>VLOOKUP(RIGHT(E1189,3)+0,SchLocTable!$A$2:$B$47,2,FALSE)</f>
        <v>Johnson</v>
      </c>
      <c r="B1189" s="207" t="str">
        <f>VLOOKUP(VALUE(D1189),$D$3:F$106,3,FALSE)</f>
        <v>Visual Arts</v>
      </c>
      <c r="C1189" s="751" t="s">
        <v>246</v>
      </c>
      <c r="D1189" s="751" t="s">
        <v>482</v>
      </c>
      <c r="E1189" s="751" t="s">
        <v>499</v>
      </c>
      <c r="F1189" s="751" t="s">
        <v>254</v>
      </c>
      <c r="G1189" s="752" t="s">
        <v>1681</v>
      </c>
      <c r="H1189" s="753">
        <v>52360</v>
      </c>
      <c r="I1189" s="754">
        <v>0</v>
      </c>
      <c r="J1189" s="754">
        <v>0</v>
      </c>
      <c r="K1189" s="754">
        <v>0</v>
      </c>
      <c r="L1189" s="754">
        <v>0</v>
      </c>
      <c r="M1189" s="754">
        <f t="shared" si="61"/>
        <v>0</v>
      </c>
      <c r="N1189" s="756">
        <v>0</v>
      </c>
      <c r="O1189" s="720">
        <f t="shared" si="62"/>
        <v>0</v>
      </c>
    </row>
    <row r="1190" spans="1:15" outlineLevel="2" x14ac:dyDescent="0.25">
      <c r="A1190" s="207" t="str">
        <f>VLOOKUP(RIGHT(E1190,3)+0,SchLocTable!$A$2:$B$47,2,FALSE)</f>
        <v>Johnson</v>
      </c>
      <c r="B1190" s="207" t="str">
        <f>VLOOKUP(VALUE(D1190),$D$3:F$106,3,FALSE)</f>
        <v>Visual Arts</v>
      </c>
      <c r="C1190" s="751" t="s">
        <v>246</v>
      </c>
      <c r="D1190" s="751" t="s">
        <v>482</v>
      </c>
      <c r="E1190" s="751" t="s">
        <v>499</v>
      </c>
      <c r="F1190" s="751" t="s">
        <v>292</v>
      </c>
      <c r="G1190" s="752" t="s">
        <v>1681</v>
      </c>
      <c r="H1190" s="753">
        <v>52385</v>
      </c>
      <c r="I1190" s="754">
        <v>0</v>
      </c>
      <c r="J1190" s="754">
        <v>0</v>
      </c>
      <c r="K1190" s="754">
        <v>0</v>
      </c>
      <c r="L1190" s="754">
        <v>0</v>
      </c>
      <c r="M1190" s="754">
        <f t="shared" si="61"/>
        <v>0</v>
      </c>
      <c r="N1190" s="756">
        <v>0</v>
      </c>
      <c r="O1190" s="720">
        <f t="shared" si="62"/>
        <v>0</v>
      </c>
    </row>
    <row r="1191" spans="1:15" outlineLevel="2" x14ac:dyDescent="0.25">
      <c r="A1191" s="207" t="str">
        <f>VLOOKUP(RIGHT(E1191,3)+0,SchLocTable!$A$2:$B$47,2,FALSE)</f>
        <v>Johnson</v>
      </c>
      <c r="B1191" s="207" t="str">
        <f>VLOOKUP(VALUE(D1191),$D$3:F$106,3,FALSE)</f>
        <v>Visual Arts</v>
      </c>
      <c r="C1191" s="751" t="s">
        <v>246</v>
      </c>
      <c r="D1191" s="751" t="s">
        <v>482</v>
      </c>
      <c r="E1191" s="751" t="s">
        <v>499</v>
      </c>
      <c r="F1191" s="751" t="s">
        <v>259</v>
      </c>
      <c r="G1191" s="752" t="s">
        <v>1681</v>
      </c>
      <c r="H1191" s="753">
        <v>52917</v>
      </c>
      <c r="I1191" s="754">
        <v>0</v>
      </c>
      <c r="J1191" s="754">
        <v>0</v>
      </c>
      <c r="K1191" s="754">
        <v>0</v>
      </c>
      <c r="L1191" s="754">
        <v>0</v>
      </c>
      <c r="M1191" s="754">
        <f t="shared" si="61"/>
        <v>0</v>
      </c>
      <c r="N1191" s="756">
        <v>0</v>
      </c>
      <c r="O1191" s="720">
        <f t="shared" si="62"/>
        <v>0</v>
      </c>
    </row>
    <row r="1192" spans="1:15" outlineLevel="2" x14ac:dyDescent="0.25">
      <c r="A1192" s="207" t="str">
        <f>VLOOKUP(RIGHT(E1192,3)+0,SchLocTable!$A$2:$B$47,2,FALSE)</f>
        <v>Winthrop</v>
      </c>
      <c r="B1192" s="207" t="str">
        <f>VLOOKUP(VALUE(D1192),$D$3:F$106,3,FALSE)</f>
        <v>Visual Arts</v>
      </c>
      <c r="C1192" s="751" t="s">
        <v>246</v>
      </c>
      <c r="D1192" s="751" t="s">
        <v>482</v>
      </c>
      <c r="E1192" s="751" t="s">
        <v>500</v>
      </c>
      <c r="F1192" s="751" t="s">
        <v>248</v>
      </c>
      <c r="G1192" s="752">
        <v>2</v>
      </c>
      <c r="H1192" s="753">
        <v>51000</v>
      </c>
      <c r="I1192" s="754">
        <v>170709.14</v>
      </c>
      <c r="J1192" s="754">
        <v>0</v>
      </c>
      <c r="K1192" s="754">
        <v>0</v>
      </c>
      <c r="L1192" s="754">
        <v>32702.9</v>
      </c>
      <c r="M1192" s="754">
        <f t="shared" si="61"/>
        <v>32702.9</v>
      </c>
      <c r="N1192" s="756">
        <v>170709.14</v>
      </c>
      <c r="O1192" s="720">
        <f t="shared" si="62"/>
        <v>0</v>
      </c>
    </row>
    <row r="1193" spans="1:15" outlineLevel="2" x14ac:dyDescent="0.25">
      <c r="A1193" s="207" t="str">
        <f>VLOOKUP(RIGHT(E1193,3)+0,SchLocTable!$A$2:$B$47,2,FALSE)</f>
        <v>Winthrop</v>
      </c>
      <c r="B1193" s="207" t="str">
        <f>VLOOKUP(VALUE(D1193),$D$3:F$106,3,FALSE)</f>
        <v>Visual Arts</v>
      </c>
      <c r="C1193" s="751" t="s">
        <v>246</v>
      </c>
      <c r="D1193" s="751" t="s">
        <v>482</v>
      </c>
      <c r="E1193" s="751" t="s">
        <v>500</v>
      </c>
      <c r="F1193" s="751" t="s">
        <v>257</v>
      </c>
      <c r="G1193" s="752" t="s">
        <v>1681</v>
      </c>
      <c r="H1193" s="753">
        <v>51140</v>
      </c>
      <c r="I1193" s="754">
        <v>900</v>
      </c>
      <c r="J1193" s="754">
        <v>0</v>
      </c>
      <c r="K1193" s="754">
        <v>0</v>
      </c>
      <c r="L1193" s="754">
        <v>0</v>
      </c>
      <c r="M1193" s="754">
        <f t="shared" si="61"/>
        <v>0</v>
      </c>
      <c r="N1193" s="756">
        <v>900</v>
      </c>
      <c r="O1193" s="720">
        <f t="shared" si="62"/>
        <v>0</v>
      </c>
    </row>
    <row r="1194" spans="1:15" outlineLevel="2" x14ac:dyDescent="0.25">
      <c r="A1194" s="207" t="str">
        <f>VLOOKUP(RIGHT(E1194,3)+0,SchLocTable!$A$2:$B$47,2,FALSE)</f>
        <v>Winthrop</v>
      </c>
      <c r="B1194" s="207" t="str">
        <f>VLOOKUP(VALUE(D1194),$D$3:F$106,3,FALSE)</f>
        <v>Visual Arts</v>
      </c>
      <c r="C1194" s="755" t="s">
        <v>246</v>
      </c>
      <c r="D1194" s="751" t="s">
        <v>482</v>
      </c>
      <c r="E1194" s="751" t="s">
        <v>500</v>
      </c>
      <c r="F1194" s="751" t="s">
        <v>254</v>
      </c>
      <c r="G1194" s="752" t="s">
        <v>1681</v>
      </c>
      <c r="H1194" s="753">
        <v>52360</v>
      </c>
      <c r="I1194" s="754">
        <v>2427.59</v>
      </c>
      <c r="J1194" s="754">
        <v>0</v>
      </c>
      <c r="K1194" s="754">
        <v>0</v>
      </c>
      <c r="L1194" s="754">
        <v>426.5</v>
      </c>
      <c r="M1194" s="754">
        <f t="shared" si="61"/>
        <v>426.5</v>
      </c>
      <c r="N1194" s="756">
        <v>2427.59</v>
      </c>
      <c r="O1194" s="720">
        <f t="shared" si="62"/>
        <v>0</v>
      </c>
    </row>
    <row r="1195" spans="1:15" outlineLevel="2" x14ac:dyDescent="0.25">
      <c r="A1195" s="207" t="str">
        <f>VLOOKUP(RIGHT(E1195,3)+0,SchLocTable!$A$2:$B$47,2,FALSE)</f>
        <v>Winthrop</v>
      </c>
      <c r="B1195" s="207" t="str">
        <f>VLOOKUP(VALUE(D1195),$D$3:F$106,3,FALSE)</f>
        <v>Visual Arts</v>
      </c>
      <c r="C1195" s="751" t="s">
        <v>246</v>
      </c>
      <c r="D1195" s="751" t="s">
        <v>482</v>
      </c>
      <c r="E1195" s="751" t="s">
        <v>500</v>
      </c>
      <c r="F1195" s="751" t="s">
        <v>259</v>
      </c>
      <c r="G1195" s="752" t="s">
        <v>1681</v>
      </c>
      <c r="H1195" s="753">
        <v>52917</v>
      </c>
      <c r="I1195" s="754">
        <v>46919.88</v>
      </c>
      <c r="J1195" s="754">
        <v>0</v>
      </c>
      <c r="K1195" s="754">
        <v>0</v>
      </c>
      <c r="L1195" s="754">
        <v>11171.4</v>
      </c>
      <c r="M1195" s="754">
        <f t="shared" si="61"/>
        <v>11171.4</v>
      </c>
      <c r="N1195" s="756">
        <v>46919.88</v>
      </c>
      <c r="O1195" s="720">
        <f t="shared" si="62"/>
        <v>0</v>
      </c>
    </row>
    <row r="1196" spans="1:15" outlineLevel="2" x14ac:dyDescent="0.25">
      <c r="A1196" s="207" t="str">
        <f>VLOOKUP(RIGHT(E1196,3)+0,SchLocTable!$A$2:$B$47,2,FALSE)</f>
        <v>Discovery</v>
      </c>
      <c r="B1196" s="207" t="str">
        <f>VLOOKUP(VALUE(D1196),$D$3:F$106,3,FALSE)</f>
        <v>Visual Arts</v>
      </c>
      <c r="C1196" s="751" t="s">
        <v>246</v>
      </c>
      <c r="D1196" s="751" t="s">
        <v>482</v>
      </c>
      <c r="E1196" s="751" t="s">
        <v>501</v>
      </c>
      <c r="F1196" s="751" t="s">
        <v>248</v>
      </c>
      <c r="G1196" s="752">
        <v>1</v>
      </c>
      <c r="H1196" s="753">
        <v>51000</v>
      </c>
      <c r="I1196" s="754">
        <v>103153.2</v>
      </c>
      <c r="J1196" s="754">
        <v>0</v>
      </c>
      <c r="K1196" s="754">
        <v>0</v>
      </c>
      <c r="L1196" s="754">
        <v>19761.150000000001</v>
      </c>
      <c r="M1196" s="754">
        <f t="shared" si="61"/>
        <v>19761.150000000001</v>
      </c>
      <c r="N1196" s="756">
        <v>103153.2</v>
      </c>
      <c r="O1196" s="720">
        <f t="shared" si="62"/>
        <v>0</v>
      </c>
    </row>
    <row r="1197" spans="1:15" outlineLevel="2" x14ac:dyDescent="0.25">
      <c r="A1197" s="207" t="str">
        <f>VLOOKUP(RIGHT(E1197,3)+0,SchLocTable!$A$2:$B$47,2,FALSE)</f>
        <v>Discovery</v>
      </c>
      <c r="B1197" s="207" t="str">
        <f>VLOOKUP(VALUE(D1197),$D$3:F$106,3,FALSE)</f>
        <v>Visual Arts</v>
      </c>
      <c r="C1197" s="751" t="s">
        <v>246</v>
      </c>
      <c r="D1197" s="751" t="s">
        <v>482</v>
      </c>
      <c r="E1197" s="751" t="s">
        <v>501</v>
      </c>
      <c r="F1197" s="751" t="s">
        <v>257</v>
      </c>
      <c r="G1197" s="752" t="s">
        <v>1681</v>
      </c>
      <c r="H1197" s="753">
        <v>51140</v>
      </c>
      <c r="I1197" s="754">
        <v>1300</v>
      </c>
      <c r="J1197" s="754">
        <v>0</v>
      </c>
      <c r="K1197" s="754">
        <v>0</v>
      </c>
      <c r="L1197" s="754">
        <v>0</v>
      </c>
      <c r="M1197" s="754">
        <f t="shared" si="61"/>
        <v>0</v>
      </c>
      <c r="N1197" s="756">
        <v>1300</v>
      </c>
      <c r="O1197" s="720">
        <f t="shared" si="62"/>
        <v>0</v>
      </c>
    </row>
    <row r="1198" spans="1:15" outlineLevel="2" x14ac:dyDescent="0.25">
      <c r="A1198" s="207" t="str">
        <f>VLOOKUP(RIGHT(E1198,3)+0,SchLocTable!$A$2:$B$47,2,FALSE)</f>
        <v>Discovery</v>
      </c>
      <c r="B1198" s="207" t="str">
        <f>VLOOKUP(VALUE(D1198),$D$3:F$106,3,FALSE)</f>
        <v>Visual Arts</v>
      </c>
      <c r="C1198" s="751" t="s">
        <v>246</v>
      </c>
      <c r="D1198" s="751" t="s">
        <v>482</v>
      </c>
      <c r="E1198" s="751" t="s">
        <v>501</v>
      </c>
      <c r="F1198" s="751" t="s">
        <v>254</v>
      </c>
      <c r="G1198" s="752" t="s">
        <v>1681</v>
      </c>
      <c r="H1198" s="753">
        <v>52360</v>
      </c>
      <c r="I1198" s="754">
        <v>1480.2</v>
      </c>
      <c r="J1198" s="754">
        <v>0</v>
      </c>
      <c r="K1198" s="754">
        <v>0</v>
      </c>
      <c r="L1198" s="754">
        <v>271.02</v>
      </c>
      <c r="M1198" s="754">
        <f t="shared" si="61"/>
        <v>271.02</v>
      </c>
      <c r="N1198" s="756">
        <v>1480.2</v>
      </c>
      <c r="O1198" s="720">
        <f t="shared" si="62"/>
        <v>0</v>
      </c>
    </row>
    <row r="1199" spans="1:15" outlineLevel="2" x14ac:dyDescent="0.25">
      <c r="A1199" s="207" t="str">
        <f>VLOOKUP(RIGHT(E1199,3)+0,SchLocTable!$A$2:$B$47,2,FALSE)</f>
        <v>Discovery</v>
      </c>
      <c r="B1199" s="207" t="str">
        <f>VLOOKUP(VALUE(D1199),$D$3:F$106,3,FALSE)</f>
        <v>Visual Arts</v>
      </c>
      <c r="C1199" s="751" t="s">
        <v>246</v>
      </c>
      <c r="D1199" s="751" t="s">
        <v>482</v>
      </c>
      <c r="E1199" s="751" t="s">
        <v>501</v>
      </c>
      <c r="F1199" s="751" t="s">
        <v>259</v>
      </c>
      <c r="G1199" s="752" t="s">
        <v>1681</v>
      </c>
      <c r="H1199" s="753">
        <v>52917</v>
      </c>
      <c r="I1199" s="754">
        <v>11844</v>
      </c>
      <c r="J1199" s="754">
        <v>0</v>
      </c>
      <c r="K1199" s="754">
        <v>0</v>
      </c>
      <c r="L1199" s="754">
        <v>2820</v>
      </c>
      <c r="M1199" s="754">
        <f t="shared" si="61"/>
        <v>2820</v>
      </c>
      <c r="N1199" s="756">
        <v>11844</v>
      </c>
      <c r="O1199" s="720">
        <f t="shared" si="62"/>
        <v>0</v>
      </c>
    </row>
    <row r="1200" spans="1:15" outlineLevel="2" x14ac:dyDescent="0.25">
      <c r="A1200" s="207" t="str">
        <f>VLOOKUP(RIGHT(E1200,3)+0,SchLocTable!$A$2:$B$47,2,FALSE)</f>
        <v>Cross</v>
      </c>
      <c r="B1200" s="207" t="str">
        <f>VLOOKUP(VALUE(D1200),$D$3:F$106,3,FALSE)</f>
        <v>Visual Arts</v>
      </c>
      <c r="C1200" s="751" t="s">
        <v>246</v>
      </c>
      <c r="D1200" s="751" t="s">
        <v>482</v>
      </c>
      <c r="E1200" s="751" t="s">
        <v>1749</v>
      </c>
      <c r="F1200" s="751" t="s">
        <v>248</v>
      </c>
      <c r="G1200" s="752">
        <v>1</v>
      </c>
      <c r="H1200" s="753">
        <v>51000</v>
      </c>
      <c r="I1200" s="754">
        <v>49225</v>
      </c>
      <c r="J1200" s="754">
        <v>0</v>
      </c>
      <c r="K1200" s="754">
        <v>0</v>
      </c>
      <c r="L1200" s="754">
        <v>8500</v>
      </c>
      <c r="M1200" s="754">
        <f t="shared" si="61"/>
        <v>8500</v>
      </c>
      <c r="N1200" s="756">
        <v>49225</v>
      </c>
      <c r="O1200" s="720">
        <f t="shared" si="62"/>
        <v>0</v>
      </c>
    </row>
    <row r="1201" spans="1:15" outlineLevel="2" x14ac:dyDescent="0.25">
      <c r="A1201" s="207" t="str">
        <f>VLOOKUP(RIGHT(E1201,3)+0,SchLocTable!$A$2:$B$47,2,FALSE)</f>
        <v>Cross</v>
      </c>
      <c r="B1201" s="207" t="str">
        <f>VLOOKUP(VALUE(D1201),$D$3:F$106,3,FALSE)</f>
        <v>Visual Arts</v>
      </c>
      <c r="C1201" s="751" t="s">
        <v>246</v>
      </c>
      <c r="D1201" s="751" t="s">
        <v>482</v>
      </c>
      <c r="E1201" s="751" t="s">
        <v>1749</v>
      </c>
      <c r="F1201" s="751" t="s">
        <v>254</v>
      </c>
      <c r="G1201" s="752" t="s">
        <v>1681</v>
      </c>
      <c r="H1201" s="753">
        <v>52360</v>
      </c>
      <c r="I1201" s="754">
        <v>704.18</v>
      </c>
      <c r="J1201" s="754">
        <v>0</v>
      </c>
      <c r="K1201" s="754">
        <v>0</v>
      </c>
      <c r="L1201" s="754">
        <v>113.67</v>
      </c>
      <c r="M1201" s="754">
        <f t="shared" si="61"/>
        <v>113.67</v>
      </c>
      <c r="N1201" s="756">
        <v>704.18</v>
      </c>
      <c r="O1201" s="720">
        <f t="shared" si="62"/>
        <v>0</v>
      </c>
    </row>
    <row r="1202" spans="1:15" outlineLevel="2" x14ac:dyDescent="0.25">
      <c r="A1202" s="207" t="str">
        <f>VLOOKUP(RIGHT(E1202,3)+0,SchLocTable!$A$2:$B$47,2,FALSE)</f>
        <v>Cross</v>
      </c>
      <c r="B1202" s="207" t="str">
        <f>VLOOKUP(VALUE(D1202),$D$3:F$106,3,FALSE)</f>
        <v>Visual Arts</v>
      </c>
      <c r="C1202" s="751" t="s">
        <v>246</v>
      </c>
      <c r="D1202" s="751" t="s">
        <v>482</v>
      </c>
      <c r="E1202" s="751" t="s">
        <v>1749</v>
      </c>
      <c r="F1202" s="751" t="s">
        <v>292</v>
      </c>
      <c r="G1202" s="752" t="s">
        <v>1681</v>
      </c>
      <c r="H1202" s="753">
        <v>52385</v>
      </c>
      <c r="I1202" s="754">
        <v>2825.64</v>
      </c>
      <c r="J1202" s="754">
        <v>0</v>
      </c>
      <c r="K1202" s="754">
        <v>0</v>
      </c>
      <c r="L1202" s="754">
        <v>486.03</v>
      </c>
      <c r="M1202" s="754">
        <f t="shared" si="61"/>
        <v>486.03</v>
      </c>
      <c r="N1202" s="756">
        <v>2825.64</v>
      </c>
      <c r="O1202" s="720">
        <f t="shared" si="62"/>
        <v>0</v>
      </c>
    </row>
    <row r="1203" spans="1:15" outlineLevel="1" x14ac:dyDescent="0.25">
      <c r="A1203" s="207" t="str">
        <f>VLOOKUP(RIGHT(E1203,3)+0,SchLocTable!$A$2:$B$47,2,FALSE)</f>
        <v>Cross</v>
      </c>
      <c r="B1203" s="207" t="str">
        <f>VLOOKUP(VALUE(D1203),$D$3:F$106,3,FALSE)</f>
        <v>Visual Arts</v>
      </c>
      <c r="C1203" s="751" t="s">
        <v>246</v>
      </c>
      <c r="D1203" s="751" t="s">
        <v>482</v>
      </c>
      <c r="E1203" s="751" t="s">
        <v>1749</v>
      </c>
      <c r="F1203" s="751" t="s">
        <v>259</v>
      </c>
      <c r="G1203" s="752" t="s">
        <v>1681</v>
      </c>
      <c r="H1203" s="753">
        <v>52917</v>
      </c>
      <c r="I1203" s="754">
        <v>12362.74</v>
      </c>
      <c r="J1203" s="754">
        <v>0</v>
      </c>
      <c r="K1203" s="754">
        <v>0</v>
      </c>
      <c r="L1203" s="754">
        <v>2237.6</v>
      </c>
      <c r="M1203" s="754">
        <f t="shared" si="61"/>
        <v>2237.6</v>
      </c>
      <c r="N1203" s="756">
        <v>12362.74</v>
      </c>
      <c r="O1203" s="720">
        <f t="shared" si="62"/>
        <v>0</v>
      </c>
    </row>
    <row r="1204" spans="1:15" outlineLevel="2" x14ac:dyDescent="0.25">
      <c r="A1204" s="207" t="str">
        <f>VLOOKUP(RIGHT(E1204,3)+0,SchLocTable!$A$2:$B$47,2,FALSE)</f>
        <v>Blackham</v>
      </c>
      <c r="B1204" s="207" t="str">
        <f>VLOOKUP(VALUE(D1204),$D$3:F$106,3,FALSE)</f>
        <v>Visual Arts</v>
      </c>
      <c r="C1204" s="751" t="s">
        <v>246</v>
      </c>
      <c r="D1204" s="751" t="s">
        <v>482</v>
      </c>
      <c r="E1204" s="751" t="s">
        <v>502</v>
      </c>
      <c r="F1204" s="751" t="s">
        <v>248</v>
      </c>
      <c r="G1204" s="752">
        <v>3</v>
      </c>
      <c r="H1204" s="753">
        <v>51000</v>
      </c>
      <c r="I1204" s="754">
        <v>157893.01</v>
      </c>
      <c r="J1204" s="754">
        <v>0</v>
      </c>
      <c r="K1204" s="754">
        <v>0</v>
      </c>
      <c r="L1204" s="754">
        <v>29052.3</v>
      </c>
      <c r="M1204" s="754">
        <f t="shared" si="61"/>
        <v>29052.3</v>
      </c>
      <c r="N1204" s="756">
        <v>157893.01</v>
      </c>
      <c r="O1204" s="720">
        <f t="shared" si="62"/>
        <v>0</v>
      </c>
    </row>
    <row r="1205" spans="1:15" outlineLevel="2" x14ac:dyDescent="0.25">
      <c r="A1205" s="207" t="str">
        <f>VLOOKUP(RIGHT(E1205,3)+0,SchLocTable!$A$2:$B$47,2,FALSE)</f>
        <v>Blackham</v>
      </c>
      <c r="B1205" s="207" t="str">
        <f>VLOOKUP(VALUE(D1205),$D$3:F$106,3,FALSE)</f>
        <v>Visual Arts</v>
      </c>
      <c r="C1205" s="751" t="s">
        <v>246</v>
      </c>
      <c r="D1205" s="751" t="s">
        <v>482</v>
      </c>
      <c r="E1205" s="751" t="s">
        <v>502</v>
      </c>
      <c r="F1205" s="751" t="s">
        <v>254</v>
      </c>
      <c r="G1205" s="752" t="s">
        <v>1681</v>
      </c>
      <c r="H1205" s="753">
        <v>52360</v>
      </c>
      <c r="I1205" s="754">
        <v>2272.16</v>
      </c>
      <c r="J1205" s="754">
        <v>0</v>
      </c>
      <c r="K1205" s="754">
        <v>0</v>
      </c>
      <c r="L1205" s="754">
        <v>403.97</v>
      </c>
      <c r="M1205" s="754">
        <f t="shared" si="61"/>
        <v>403.97</v>
      </c>
      <c r="N1205" s="756">
        <v>2272.16</v>
      </c>
      <c r="O1205" s="720">
        <f t="shared" si="62"/>
        <v>0</v>
      </c>
    </row>
    <row r="1206" spans="1:15" outlineLevel="2" x14ac:dyDescent="0.25">
      <c r="A1206" s="207" t="str">
        <f>VLOOKUP(RIGHT(E1206,3)+0,SchLocTable!$A$2:$B$47,2,FALSE)</f>
        <v>Blackham</v>
      </c>
      <c r="B1206" s="207" t="str">
        <f>VLOOKUP(VALUE(D1206),$D$3:F$106,3,FALSE)</f>
        <v>Visual Arts</v>
      </c>
      <c r="C1206" s="751" t="s">
        <v>246</v>
      </c>
      <c r="D1206" s="751" t="s">
        <v>482</v>
      </c>
      <c r="E1206" s="751" t="s">
        <v>502</v>
      </c>
      <c r="F1206" s="751" t="s">
        <v>292</v>
      </c>
      <c r="G1206" s="752" t="s">
        <v>1681</v>
      </c>
      <c r="H1206" s="753">
        <v>52385</v>
      </c>
      <c r="I1206" s="754">
        <v>706.65</v>
      </c>
      <c r="J1206" s="754">
        <v>0</v>
      </c>
      <c r="K1206" s="754">
        <v>0</v>
      </c>
      <c r="L1206" s="754">
        <v>706.65</v>
      </c>
      <c r="M1206" s="754">
        <f t="shared" si="61"/>
        <v>706.65</v>
      </c>
      <c r="N1206" s="756">
        <v>706.65</v>
      </c>
      <c r="O1206" s="720">
        <f t="shared" si="62"/>
        <v>0</v>
      </c>
    </row>
    <row r="1207" spans="1:15" outlineLevel="2" x14ac:dyDescent="0.25">
      <c r="A1207" s="207" t="str">
        <f>VLOOKUP(RIGHT(E1207,3)+0,SchLocTable!$A$2:$B$47,2,FALSE)</f>
        <v>Blackham</v>
      </c>
      <c r="B1207" s="207" t="str">
        <f>VLOOKUP(VALUE(D1207),$D$3:F$106,3,FALSE)</f>
        <v>Visual Arts</v>
      </c>
      <c r="C1207" s="751" t="s">
        <v>246</v>
      </c>
      <c r="D1207" s="751" t="s">
        <v>482</v>
      </c>
      <c r="E1207" s="751" t="s">
        <v>502</v>
      </c>
      <c r="F1207" s="751" t="s">
        <v>259</v>
      </c>
      <c r="G1207" s="752" t="s">
        <v>1681</v>
      </c>
      <c r="H1207" s="753">
        <v>52917</v>
      </c>
      <c r="I1207" s="754">
        <v>24308.400000000001</v>
      </c>
      <c r="J1207" s="754">
        <v>0</v>
      </c>
      <c r="K1207" s="754">
        <v>0</v>
      </c>
      <c r="L1207" s="754">
        <v>5076</v>
      </c>
      <c r="M1207" s="754">
        <f t="shared" si="61"/>
        <v>5076</v>
      </c>
      <c r="N1207" s="756">
        <v>24308.400000000001</v>
      </c>
      <c r="O1207" s="720">
        <f t="shared" si="62"/>
        <v>0</v>
      </c>
    </row>
    <row r="1208" spans="1:15" outlineLevel="2" x14ac:dyDescent="0.25">
      <c r="A1208" s="207" t="str">
        <f>VLOOKUP(RIGHT(E1208,3)+0,SchLocTable!$A$2:$B$47,2,FALSE)</f>
        <v>Dunbar</v>
      </c>
      <c r="B1208" s="207" t="str">
        <f>VLOOKUP(VALUE(D1208),$D$3:F$106,3,FALSE)</f>
        <v>Visual Arts</v>
      </c>
      <c r="C1208" s="751" t="s">
        <v>246</v>
      </c>
      <c r="D1208" s="751" t="s">
        <v>482</v>
      </c>
      <c r="E1208" s="751" t="s">
        <v>503</v>
      </c>
      <c r="F1208" s="751" t="s">
        <v>248</v>
      </c>
      <c r="G1208" s="752">
        <v>2</v>
      </c>
      <c r="H1208" s="753">
        <v>51000</v>
      </c>
      <c r="I1208" s="754">
        <v>127322.85</v>
      </c>
      <c r="J1208" s="754">
        <v>0</v>
      </c>
      <c r="K1208" s="754">
        <v>0</v>
      </c>
      <c r="L1208" s="754">
        <v>24391.35</v>
      </c>
      <c r="M1208" s="754">
        <f t="shared" si="61"/>
        <v>24391.35</v>
      </c>
      <c r="N1208" s="756">
        <v>127322.85</v>
      </c>
      <c r="O1208" s="720">
        <f t="shared" si="62"/>
        <v>0</v>
      </c>
    </row>
    <row r="1209" spans="1:15" outlineLevel="2" x14ac:dyDescent="0.25">
      <c r="A1209" s="207" t="str">
        <f>VLOOKUP(RIGHT(E1209,3)+0,SchLocTable!$A$2:$B$47,2,FALSE)</f>
        <v>Dunbar</v>
      </c>
      <c r="B1209" s="207" t="str">
        <f>VLOOKUP(VALUE(D1209),$D$3:F$106,3,FALSE)</f>
        <v>Visual Arts</v>
      </c>
      <c r="C1209" s="751" t="s">
        <v>246</v>
      </c>
      <c r="D1209" s="751" t="s">
        <v>482</v>
      </c>
      <c r="E1209" s="751" t="s">
        <v>503</v>
      </c>
      <c r="F1209" s="751" t="s">
        <v>254</v>
      </c>
      <c r="G1209" s="752" t="s">
        <v>1681</v>
      </c>
      <c r="H1209" s="753">
        <v>52360</v>
      </c>
      <c r="I1209" s="754">
        <v>1798.75</v>
      </c>
      <c r="J1209" s="754">
        <v>0</v>
      </c>
      <c r="K1209" s="754">
        <v>0</v>
      </c>
      <c r="L1209" s="754">
        <v>306.24</v>
      </c>
      <c r="M1209" s="754">
        <f t="shared" si="61"/>
        <v>306.24</v>
      </c>
      <c r="N1209" s="756">
        <v>1798.75</v>
      </c>
      <c r="O1209" s="720">
        <f t="shared" si="62"/>
        <v>0</v>
      </c>
    </row>
    <row r="1210" spans="1:15" outlineLevel="2" x14ac:dyDescent="0.25">
      <c r="A1210" s="207" t="str">
        <f>VLOOKUP(RIGHT(E1210,3)+0,SchLocTable!$A$2:$B$47,2,FALSE)</f>
        <v>Dunbar</v>
      </c>
      <c r="B1210" s="207" t="str">
        <f>VLOOKUP(VALUE(D1210),$D$3:F$106,3,FALSE)</f>
        <v>Visual Arts</v>
      </c>
      <c r="C1210" s="751" t="s">
        <v>246</v>
      </c>
      <c r="D1210" s="751" t="s">
        <v>482</v>
      </c>
      <c r="E1210" s="751" t="s">
        <v>503</v>
      </c>
      <c r="F1210" s="751" t="s">
        <v>259</v>
      </c>
      <c r="G1210" s="752" t="s">
        <v>1681</v>
      </c>
      <c r="H1210" s="753">
        <v>52917</v>
      </c>
      <c r="I1210" s="754">
        <v>46536.84</v>
      </c>
      <c r="J1210" s="754">
        <v>0</v>
      </c>
      <c r="K1210" s="754">
        <v>0</v>
      </c>
      <c r="L1210" s="754">
        <v>11080.2</v>
      </c>
      <c r="M1210" s="754">
        <f t="shared" si="61"/>
        <v>11080.2</v>
      </c>
      <c r="N1210" s="756">
        <v>46536.84</v>
      </c>
      <c r="O1210" s="720">
        <f t="shared" si="62"/>
        <v>0</v>
      </c>
    </row>
    <row r="1211" spans="1:15" outlineLevel="2" x14ac:dyDescent="0.25">
      <c r="A1211" s="207" t="str">
        <f>VLOOKUP(RIGHT(E1211,3)+0,SchLocTable!$A$2:$B$47,2,FALSE)</f>
        <v>Curiale</v>
      </c>
      <c r="B1211" s="207" t="str">
        <f>VLOOKUP(VALUE(D1211),$D$3:F$106,3,FALSE)</f>
        <v>Visual Arts</v>
      </c>
      <c r="C1211" s="751" t="s">
        <v>246</v>
      </c>
      <c r="D1211" s="751" t="s">
        <v>482</v>
      </c>
      <c r="E1211" s="751" t="s">
        <v>504</v>
      </c>
      <c r="F1211" s="751" t="s">
        <v>248</v>
      </c>
      <c r="G1211" s="752">
        <v>1</v>
      </c>
      <c r="H1211" s="753">
        <v>51000</v>
      </c>
      <c r="I1211" s="754">
        <v>13033.44</v>
      </c>
      <c r="J1211" s="754">
        <v>0</v>
      </c>
      <c r="K1211" s="754">
        <v>0</v>
      </c>
      <c r="L1211" s="754">
        <v>13033.44</v>
      </c>
      <c r="M1211" s="754">
        <f t="shared" si="61"/>
        <v>13033.44</v>
      </c>
      <c r="N1211" s="756">
        <v>13033.44</v>
      </c>
      <c r="O1211" s="720">
        <f t="shared" si="62"/>
        <v>0</v>
      </c>
    </row>
    <row r="1212" spans="1:15" outlineLevel="2" x14ac:dyDescent="0.25">
      <c r="A1212" s="207" t="str">
        <f>VLOOKUP(RIGHT(E1212,3)+0,SchLocTable!$A$2:$B$47,2,FALSE)</f>
        <v>Curiale</v>
      </c>
      <c r="B1212" s="207" t="str">
        <f>VLOOKUP(VALUE(D1212),$D$3:F$106,3,FALSE)</f>
        <v>Visual Arts</v>
      </c>
      <c r="C1212" s="751" t="s">
        <v>246</v>
      </c>
      <c r="D1212" s="751" t="s">
        <v>482</v>
      </c>
      <c r="E1212" s="751" t="s">
        <v>504</v>
      </c>
      <c r="F1212" s="751" t="s">
        <v>254</v>
      </c>
      <c r="G1212" s="752" t="s">
        <v>1681</v>
      </c>
      <c r="H1212" s="753">
        <v>52360</v>
      </c>
      <c r="I1212" s="754">
        <v>173.3</v>
      </c>
      <c r="J1212" s="754">
        <v>0</v>
      </c>
      <c r="K1212" s="754">
        <v>0</v>
      </c>
      <c r="L1212" s="754">
        <v>173.3</v>
      </c>
      <c r="M1212" s="754">
        <f t="shared" si="61"/>
        <v>173.3</v>
      </c>
      <c r="N1212" s="756">
        <v>173.3</v>
      </c>
      <c r="O1212" s="720">
        <f t="shared" si="62"/>
        <v>0</v>
      </c>
    </row>
    <row r="1213" spans="1:15" outlineLevel="2" x14ac:dyDescent="0.25">
      <c r="A1213" s="207" t="str">
        <f>VLOOKUP(RIGHT(E1213,3)+0,SchLocTable!$A$2:$B$47,2,FALSE)</f>
        <v>Curiale</v>
      </c>
      <c r="B1213" s="207" t="str">
        <f>VLOOKUP(VALUE(D1213),$D$3:F$106,3,FALSE)</f>
        <v>Visual Arts</v>
      </c>
      <c r="C1213" s="751" t="s">
        <v>246</v>
      </c>
      <c r="D1213" s="751" t="s">
        <v>482</v>
      </c>
      <c r="E1213" s="751" t="s">
        <v>504</v>
      </c>
      <c r="F1213" s="751" t="s">
        <v>259</v>
      </c>
      <c r="G1213" s="752" t="s">
        <v>1681</v>
      </c>
      <c r="H1213" s="753">
        <v>52917</v>
      </c>
      <c r="I1213" s="754">
        <v>2256</v>
      </c>
      <c r="J1213" s="754">
        <v>0</v>
      </c>
      <c r="K1213" s="754">
        <v>0</v>
      </c>
      <c r="L1213" s="754">
        <v>2256</v>
      </c>
      <c r="M1213" s="754">
        <f t="shared" si="61"/>
        <v>2256</v>
      </c>
      <c r="N1213" s="756">
        <v>2256</v>
      </c>
      <c r="O1213" s="720">
        <f t="shared" si="62"/>
        <v>0</v>
      </c>
    </row>
    <row r="1214" spans="1:15" outlineLevel="2" x14ac:dyDescent="0.25">
      <c r="A1214" s="207" t="str">
        <f>VLOOKUP(RIGHT(E1214,3)+0,SchLocTable!$A$2:$B$47,2,FALSE)</f>
        <v>High Horizons Magnet</v>
      </c>
      <c r="B1214" s="207" t="str">
        <f>VLOOKUP(VALUE(D1214),$D$3:F$106,3,FALSE)</f>
        <v>Visual Arts</v>
      </c>
      <c r="C1214" s="755" t="s">
        <v>246</v>
      </c>
      <c r="D1214" s="751" t="s">
        <v>482</v>
      </c>
      <c r="E1214" s="751" t="s">
        <v>505</v>
      </c>
      <c r="F1214" s="751" t="s">
        <v>248</v>
      </c>
      <c r="G1214" s="752" t="s">
        <v>1681</v>
      </c>
      <c r="H1214" s="753">
        <v>51000</v>
      </c>
      <c r="I1214" s="754">
        <v>0</v>
      </c>
      <c r="J1214" s="754">
        <v>0</v>
      </c>
      <c r="K1214" s="754">
        <v>0</v>
      </c>
      <c r="L1214" s="754">
        <v>0</v>
      </c>
      <c r="M1214" s="754">
        <f t="shared" si="61"/>
        <v>0</v>
      </c>
      <c r="N1214" s="756">
        <v>0</v>
      </c>
      <c r="O1214" s="720">
        <f t="shared" si="62"/>
        <v>0</v>
      </c>
    </row>
    <row r="1215" spans="1:15" outlineLevel="2" x14ac:dyDescent="0.25">
      <c r="A1215" s="207" t="str">
        <f>VLOOKUP(RIGHT(E1215,3)+0,SchLocTable!$A$2:$B$47,2,FALSE)</f>
        <v>High Horizons Magnet</v>
      </c>
      <c r="B1215" s="207" t="str">
        <f>VLOOKUP(VALUE(D1215),$D$3:F$106,3,FALSE)</f>
        <v>Visual Arts</v>
      </c>
      <c r="C1215" s="751" t="s">
        <v>246</v>
      </c>
      <c r="D1215" s="751" t="s">
        <v>482</v>
      </c>
      <c r="E1215" s="751" t="s">
        <v>505</v>
      </c>
      <c r="F1215" s="751" t="s">
        <v>257</v>
      </c>
      <c r="G1215" s="752" t="s">
        <v>1681</v>
      </c>
      <c r="H1215" s="753">
        <v>51140</v>
      </c>
      <c r="I1215" s="754">
        <v>900</v>
      </c>
      <c r="J1215" s="754">
        <v>0</v>
      </c>
      <c r="K1215" s="754">
        <v>0</v>
      </c>
      <c r="L1215" s="754">
        <v>0</v>
      </c>
      <c r="M1215" s="754">
        <f t="shared" ref="M1215:M1278" si="63">SUM(J1215:L1215)</f>
        <v>0</v>
      </c>
      <c r="N1215" s="756">
        <v>900</v>
      </c>
      <c r="O1215" s="720">
        <f t="shared" ref="O1215:O1278" si="64">I1215-N1215</f>
        <v>0</v>
      </c>
    </row>
    <row r="1216" spans="1:15" outlineLevel="2" x14ac:dyDescent="0.25">
      <c r="A1216" s="207" t="str">
        <f>VLOOKUP(RIGHT(E1216,3)+0,SchLocTable!$A$2:$B$47,2,FALSE)</f>
        <v>High Horizons Magnet</v>
      </c>
      <c r="B1216" s="207" t="str">
        <f>VLOOKUP(VALUE(D1216),$D$3:F$106,3,FALSE)</f>
        <v>Visual Arts</v>
      </c>
      <c r="C1216" s="751" t="s">
        <v>246</v>
      </c>
      <c r="D1216" s="751" t="s">
        <v>482</v>
      </c>
      <c r="E1216" s="751" t="s">
        <v>505</v>
      </c>
      <c r="F1216" s="751" t="s">
        <v>254</v>
      </c>
      <c r="G1216" s="752" t="s">
        <v>1681</v>
      </c>
      <c r="H1216" s="753">
        <v>52360</v>
      </c>
      <c r="I1216" s="754">
        <v>0</v>
      </c>
      <c r="J1216" s="754">
        <v>0</v>
      </c>
      <c r="K1216" s="754">
        <v>0</v>
      </c>
      <c r="L1216" s="754">
        <v>0</v>
      </c>
      <c r="M1216" s="754">
        <f t="shared" si="63"/>
        <v>0</v>
      </c>
      <c r="N1216" s="756">
        <v>0</v>
      </c>
      <c r="O1216" s="720">
        <f t="shared" si="64"/>
        <v>0</v>
      </c>
    </row>
    <row r="1217" spans="1:15" outlineLevel="2" x14ac:dyDescent="0.25">
      <c r="A1217" s="207" t="str">
        <f>VLOOKUP(RIGHT(E1217,3)+0,SchLocTable!$A$2:$B$47,2,FALSE)</f>
        <v>High Horizons Magnet</v>
      </c>
      <c r="B1217" s="207" t="str">
        <f>VLOOKUP(VALUE(D1217),$D$3:F$106,3,FALSE)</f>
        <v>Visual Arts</v>
      </c>
      <c r="C1217" s="751" t="s">
        <v>246</v>
      </c>
      <c r="D1217" s="751" t="s">
        <v>482</v>
      </c>
      <c r="E1217" s="751" t="s">
        <v>505</v>
      </c>
      <c r="F1217" s="751" t="s">
        <v>259</v>
      </c>
      <c r="G1217" s="752" t="s">
        <v>1681</v>
      </c>
      <c r="H1217" s="753">
        <v>52917</v>
      </c>
      <c r="I1217" s="754">
        <v>0</v>
      </c>
      <c r="J1217" s="754">
        <v>0</v>
      </c>
      <c r="K1217" s="754">
        <v>0</v>
      </c>
      <c r="L1217" s="754">
        <v>0</v>
      </c>
      <c r="M1217" s="754">
        <f t="shared" si="63"/>
        <v>0</v>
      </c>
      <c r="N1217" s="756">
        <v>0</v>
      </c>
      <c r="O1217" s="720">
        <f t="shared" si="64"/>
        <v>0</v>
      </c>
    </row>
    <row r="1218" spans="1:15" outlineLevel="2" x14ac:dyDescent="0.25">
      <c r="A1218" s="207" t="str">
        <f>VLOOKUP(RIGHT(E1218,3)+0,SchLocTable!$A$2:$B$47,2,FALSE)</f>
        <v>Multicultural Magnet</v>
      </c>
      <c r="B1218" s="207" t="str">
        <f>VLOOKUP(VALUE(D1218),$D$3:F$106,3,FALSE)</f>
        <v>Visual Arts</v>
      </c>
      <c r="C1218" s="751" t="s">
        <v>246</v>
      </c>
      <c r="D1218" s="751" t="s">
        <v>482</v>
      </c>
      <c r="E1218" s="751" t="s">
        <v>506</v>
      </c>
      <c r="F1218" s="751" t="s">
        <v>248</v>
      </c>
      <c r="G1218" s="752">
        <v>1</v>
      </c>
      <c r="H1218" s="753">
        <v>51000</v>
      </c>
      <c r="I1218" s="754">
        <v>103153.2</v>
      </c>
      <c r="J1218" s="754">
        <v>0</v>
      </c>
      <c r="K1218" s="754">
        <v>0</v>
      </c>
      <c r="L1218" s="754">
        <v>19761.150000000001</v>
      </c>
      <c r="M1218" s="754">
        <f t="shared" si="63"/>
        <v>19761.150000000001</v>
      </c>
      <c r="N1218" s="756">
        <v>103153.2</v>
      </c>
      <c r="O1218" s="720">
        <f t="shared" si="64"/>
        <v>0</v>
      </c>
    </row>
    <row r="1219" spans="1:15" outlineLevel="2" x14ac:dyDescent="0.25">
      <c r="A1219" s="207" t="str">
        <f>VLOOKUP(RIGHT(E1219,3)+0,SchLocTable!$A$2:$B$47,2,FALSE)</f>
        <v>Multicultural Magnet</v>
      </c>
      <c r="B1219" s="207" t="str">
        <f>VLOOKUP(VALUE(D1219),$D$3:F$106,3,FALSE)</f>
        <v>Visual Arts</v>
      </c>
      <c r="C1219" s="751" t="s">
        <v>246</v>
      </c>
      <c r="D1219" s="751" t="s">
        <v>482</v>
      </c>
      <c r="E1219" s="751" t="s">
        <v>506</v>
      </c>
      <c r="F1219" s="751" t="s">
        <v>257</v>
      </c>
      <c r="G1219" s="752" t="s">
        <v>1681</v>
      </c>
      <c r="H1219" s="753">
        <v>51140</v>
      </c>
      <c r="I1219" s="754">
        <v>900</v>
      </c>
      <c r="J1219" s="754">
        <v>0</v>
      </c>
      <c r="K1219" s="754">
        <v>0</v>
      </c>
      <c r="L1219" s="754">
        <v>0</v>
      </c>
      <c r="M1219" s="754">
        <f t="shared" si="63"/>
        <v>0</v>
      </c>
      <c r="N1219" s="756">
        <v>900</v>
      </c>
      <c r="O1219" s="720">
        <f t="shared" si="64"/>
        <v>0</v>
      </c>
    </row>
    <row r="1220" spans="1:15" outlineLevel="2" x14ac:dyDescent="0.25">
      <c r="A1220" s="207" t="str">
        <f>VLOOKUP(RIGHT(E1220,3)+0,SchLocTable!$A$2:$B$47,2,FALSE)</f>
        <v>Multicultural Magnet</v>
      </c>
      <c r="B1220" s="207" t="str">
        <f>VLOOKUP(VALUE(D1220),$D$3:F$106,3,FALSE)</f>
        <v>Visual Arts</v>
      </c>
      <c r="C1220" s="751" t="s">
        <v>246</v>
      </c>
      <c r="D1220" s="751" t="s">
        <v>482</v>
      </c>
      <c r="E1220" s="751" t="s">
        <v>506</v>
      </c>
      <c r="F1220" s="751" t="s">
        <v>254</v>
      </c>
      <c r="G1220" s="752" t="s">
        <v>1681</v>
      </c>
      <c r="H1220" s="753">
        <v>52360</v>
      </c>
      <c r="I1220" s="754">
        <v>1483.68</v>
      </c>
      <c r="J1220" s="754">
        <v>0</v>
      </c>
      <c r="K1220" s="754">
        <v>0</v>
      </c>
      <c r="L1220" s="754">
        <v>274.5</v>
      </c>
      <c r="M1220" s="754">
        <f t="shared" si="63"/>
        <v>274.5</v>
      </c>
      <c r="N1220" s="756">
        <v>1483.68</v>
      </c>
      <c r="O1220" s="720">
        <f t="shared" si="64"/>
        <v>0</v>
      </c>
    </row>
    <row r="1221" spans="1:15" outlineLevel="2" x14ac:dyDescent="0.25">
      <c r="A1221" s="207" t="str">
        <f>VLOOKUP(RIGHT(E1221,3)+0,SchLocTable!$A$2:$B$47,2,FALSE)</f>
        <v>Multicultural Magnet</v>
      </c>
      <c r="B1221" s="207" t="str">
        <f>VLOOKUP(VALUE(D1221),$D$3:F$106,3,FALSE)</f>
        <v>Visual Arts</v>
      </c>
      <c r="C1221" s="751" t="s">
        <v>246</v>
      </c>
      <c r="D1221" s="751" t="s">
        <v>482</v>
      </c>
      <c r="E1221" s="751" t="s">
        <v>506</v>
      </c>
      <c r="F1221" s="751" t="s">
        <v>259</v>
      </c>
      <c r="G1221" s="752" t="s">
        <v>1681</v>
      </c>
      <c r="H1221" s="753">
        <v>52917</v>
      </c>
      <c r="I1221" s="754">
        <v>11844</v>
      </c>
      <c r="J1221" s="754">
        <v>0</v>
      </c>
      <c r="K1221" s="754">
        <v>0</v>
      </c>
      <c r="L1221" s="754">
        <v>2820</v>
      </c>
      <c r="M1221" s="754">
        <f t="shared" si="63"/>
        <v>2820</v>
      </c>
      <c r="N1221" s="756">
        <v>11844</v>
      </c>
      <c r="O1221" s="720">
        <f t="shared" si="64"/>
        <v>0</v>
      </c>
    </row>
    <row r="1222" spans="1:15" outlineLevel="2" x14ac:dyDescent="0.25">
      <c r="A1222" s="207" t="str">
        <f>VLOOKUP(RIGHT(E1222,3)+0,SchLocTable!$A$2:$B$47,2,FALSE)</f>
        <v>Bassick HS</v>
      </c>
      <c r="B1222" s="207" t="str">
        <f>VLOOKUP(VALUE(D1222),$D$3:F$106,3,FALSE)</f>
        <v>Visual Arts</v>
      </c>
      <c r="C1222" s="751" t="s">
        <v>246</v>
      </c>
      <c r="D1222" s="751" t="s">
        <v>482</v>
      </c>
      <c r="E1222" s="751" t="s">
        <v>507</v>
      </c>
      <c r="F1222" s="751" t="s">
        <v>248</v>
      </c>
      <c r="G1222" s="752">
        <v>2</v>
      </c>
      <c r="H1222" s="753">
        <v>51000</v>
      </c>
      <c r="I1222" s="754">
        <v>146151.60999999999</v>
      </c>
      <c r="J1222" s="754">
        <v>0</v>
      </c>
      <c r="K1222" s="754">
        <v>0</v>
      </c>
      <c r="L1222" s="754">
        <v>31971.85</v>
      </c>
      <c r="M1222" s="754">
        <f t="shared" si="63"/>
        <v>31971.85</v>
      </c>
      <c r="N1222" s="756">
        <v>146151.60999999999</v>
      </c>
      <c r="O1222" s="720">
        <f t="shared" si="64"/>
        <v>0</v>
      </c>
    </row>
    <row r="1223" spans="1:15" outlineLevel="2" x14ac:dyDescent="0.25">
      <c r="A1223" s="207" t="str">
        <f>VLOOKUP(RIGHT(E1223,3)+0,SchLocTable!$A$2:$B$47,2,FALSE)</f>
        <v>Bassick HS</v>
      </c>
      <c r="B1223" s="207" t="str">
        <f>VLOOKUP(VALUE(D1223),$D$3:F$106,3,FALSE)</f>
        <v>Visual Arts</v>
      </c>
      <c r="C1223" s="751" t="s">
        <v>246</v>
      </c>
      <c r="D1223" s="751" t="s">
        <v>482</v>
      </c>
      <c r="E1223" s="751" t="s">
        <v>507</v>
      </c>
      <c r="F1223" s="751" t="s">
        <v>254</v>
      </c>
      <c r="G1223" s="752" t="s">
        <v>1681</v>
      </c>
      <c r="H1223" s="753">
        <v>52360</v>
      </c>
      <c r="I1223" s="754">
        <v>2084.9299999999998</v>
      </c>
      <c r="J1223" s="754">
        <v>0</v>
      </c>
      <c r="K1223" s="754">
        <v>0</v>
      </c>
      <c r="L1223" s="754">
        <v>429.32</v>
      </c>
      <c r="M1223" s="754">
        <f t="shared" si="63"/>
        <v>429.32</v>
      </c>
      <c r="N1223" s="756">
        <v>2084.9299999999998</v>
      </c>
      <c r="O1223" s="720">
        <f t="shared" si="64"/>
        <v>0</v>
      </c>
    </row>
    <row r="1224" spans="1:15" outlineLevel="2" x14ac:dyDescent="0.25">
      <c r="A1224" s="207" t="str">
        <f>VLOOKUP(RIGHT(E1224,3)+0,SchLocTable!$A$2:$B$47,2,FALSE)</f>
        <v>Bassick HS</v>
      </c>
      <c r="B1224" s="207" t="str">
        <f>VLOOKUP(VALUE(D1224),$D$3:F$106,3,FALSE)</f>
        <v>Visual Arts</v>
      </c>
      <c r="C1224" s="751" t="s">
        <v>246</v>
      </c>
      <c r="D1224" s="751" t="s">
        <v>482</v>
      </c>
      <c r="E1224" s="751" t="s">
        <v>507</v>
      </c>
      <c r="F1224" s="751" t="s">
        <v>259</v>
      </c>
      <c r="G1224" s="752" t="s">
        <v>1681</v>
      </c>
      <c r="H1224" s="753">
        <v>52917</v>
      </c>
      <c r="I1224" s="754">
        <v>38737.9</v>
      </c>
      <c r="J1224" s="754">
        <v>0</v>
      </c>
      <c r="K1224" s="754">
        <v>0</v>
      </c>
      <c r="L1224" s="754">
        <v>8016.3</v>
      </c>
      <c r="M1224" s="754">
        <f t="shared" si="63"/>
        <v>8016.3</v>
      </c>
      <c r="N1224" s="756">
        <v>38737.9</v>
      </c>
      <c r="O1224" s="720">
        <f t="shared" si="64"/>
        <v>0</v>
      </c>
    </row>
    <row r="1225" spans="1:15" outlineLevel="2" x14ac:dyDescent="0.25">
      <c r="A1225" s="207" t="str">
        <f>VLOOKUP(RIGHT(E1225,3)+0,SchLocTable!$A$2:$B$47,2,FALSE)</f>
        <v>Central HS</v>
      </c>
      <c r="B1225" s="207" t="str">
        <f>VLOOKUP(VALUE(D1225),$D$3:F$106,3,FALSE)</f>
        <v>Visual Arts</v>
      </c>
      <c r="C1225" s="751" t="s">
        <v>246</v>
      </c>
      <c r="D1225" s="751" t="s">
        <v>482</v>
      </c>
      <c r="E1225" s="751" t="s">
        <v>508</v>
      </c>
      <c r="F1225" s="751" t="s">
        <v>248</v>
      </c>
      <c r="G1225" s="752">
        <v>6</v>
      </c>
      <c r="H1225" s="753">
        <v>51000</v>
      </c>
      <c r="I1225" s="754">
        <v>508122.11</v>
      </c>
      <c r="J1225" s="754">
        <v>0</v>
      </c>
      <c r="K1225" s="754">
        <v>0</v>
      </c>
      <c r="L1225" s="754">
        <v>101721.9</v>
      </c>
      <c r="M1225" s="754">
        <f t="shared" si="63"/>
        <v>101721.9</v>
      </c>
      <c r="N1225" s="756">
        <v>508122.11</v>
      </c>
      <c r="O1225" s="720">
        <f t="shared" si="64"/>
        <v>0</v>
      </c>
    </row>
    <row r="1226" spans="1:15" outlineLevel="2" x14ac:dyDescent="0.25">
      <c r="A1226" s="207" t="str">
        <f>VLOOKUP(RIGHT(E1226,3)+0,SchLocTable!$A$2:$B$47,2,FALSE)</f>
        <v>Central HS</v>
      </c>
      <c r="B1226" s="207" t="str">
        <f>VLOOKUP(VALUE(D1226),$D$3:F$106,3,FALSE)</f>
        <v>Visual Arts</v>
      </c>
      <c r="C1226" s="751" t="s">
        <v>246</v>
      </c>
      <c r="D1226" s="751" t="s">
        <v>482</v>
      </c>
      <c r="E1226" s="751" t="s">
        <v>508</v>
      </c>
      <c r="F1226" s="751" t="s">
        <v>257</v>
      </c>
      <c r="G1226" s="752" t="s">
        <v>1681</v>
      </c>
      <c r="H1226" s="753">
        <v>51140</v>
      </c>
      <c r="I1226" s="754">
        <v>3300</v>
      </c>
      <c r="J1226" s="754">
        <v>0</v>
      </c>
      <c r="K1226" s="754">
        <v>0</v>
      </c>
      <c r="L1226" s="754">
        <v>0</v>
      </c>
      <c r="M1226" s="754">
        <f t="shared" si="63"/>
        <v>0</v>
      </c>
      <c r="N1226" s="756">
        <v>3300</v>
      </c>
      <c r="O1226" s="720">
        <f t="shared" si="64"/>
        <v>0</v>
      </c>
    </row>
    <row r="1227" spans="1:15" outlineLevel="2" x14ac:dyDescent="0.25">
      <c r="A1227" s="207" t="str">
        <f>VLOOKUP(RIGHT(E1227,3)+0,SchLocTable!$A$2:$B$47,2,FALSE)</f>
        <v>Central HS</v>
      </c>
      <c r="B1227" s="207" t="str">
        <f>VLOOKUP(VALUE(D1227),$D$3:F$106,3,FALSE)</f>
        <v>Visual Arts</v>
      </c>
      <c r="C1227" s="751" t="s">
        <v>246</v>
      </c>
      <c r="D1227" s="751" t="s">
        <v>482</v>
      </c>
      <c r="E1227" s="751" t="s">
        <v>508</v>
      </c>
      <c r="F1227" s="751" t="s">
        <v>254</v>
      </c>
      <c r="G1227" s="752" t="s">
        <v>1681</v>
      </c>
      <c r="H1227" s="753">
        <v>52360</v>
      </c>
      <c r="I1227" s="754">
        <v>7225.01</v>
      </c>
      <c r="J1227" s="754">
        <v>0</v>
      </c>
      <c r="K1227" s="754">
        <v>0</v>
      </c>
      <c r="L1227" s="754">
        <v>1332.21</v>
      </c>
      <c r="M1227" s="754">
        <f t="shared" si="63"/>
        <v>1332.21</v>
      </c>
      <c r="N1227" s="756">
        <v>7225.01</v>
      </c>
      <c r="O1227" s="720">
        <f t="shared" si="64"/>
        <v>0</v>
      </c>
    </row>
    <row r="1228" spans="1:15" outlineLevel="2" x14ac:dyDescent="0.25">
      <c r="A1228" s="207" t="str">
        <f>VLOOKUP(RIGHT(E1228,3)+0,SchLocTable!$A$2:$B$47,2,FALSE)</f>
        <v>Central HS</v>
      </c>
      <c r="B1228" s="207" t="str">
        <f>VLOOKUP(VALUE(D1228),$D$3:F$106,3,FALSE)</f>
        <v>Visual Arts</v>
      </c>
      <c r="C1228" s="751" t="s">
        <v>246</v>
      </c>
      <c r="D1228" s="751" t="s">
        <v>482</v>
      </c>
      <c r="E1228" s="751" t="s">
        <v>508</v>
      </c>
      <c r="F1228" s="751" t="s">
        <v>259</v>
      </c>
      <c r="G1228" s="752" t="s">
        <v>1681</v>
      </c>
      <c r="H1228" s="753">
        <v>52917</v>
      </c>
      <c r="I1228" s="754">
        <v>140320.32000000001</v>
      </c>
      <c r="J1228" s="754">
        <v>0</v>
      </c>
      <c r="K1228" s="754">
        <v>0</v>
      </c>
      <c r="L1228" s="754">
        <v>33409.599999999999</v>
      </c>
      <c r="M1228" s="754">
        <f t="shared" si="63"/>
        <v>33409.599999999999</v>
      </c>
      <c r="N1228" s="756">
        <v>140320.32000000001</v>
      </c>
      <c r="O1228" s="720">
        <f t="shared" si="64"/>
        <v>0</v>
      </c>
    </row>
    <row r="1229" spans="1:15" outlineLevel="2" x14ac:dyDescent="0.25">
      <c r="A1229" s="207" t="str">
        <f>VLOOKUP(RIGHT(E1229,3)+0,SchLocTable!$A$2:$B$47,2,FALSE)</f>
        <v>Harding HS</v>
      </c>
      <c r="B1229" s="207" t="str">
        <f>VLOOKUP(VALUE(D1229),$D$3:F$106,3,FALSE)</f>
        <v>Visual Arts</v>
      </c>
      <c r="C1229" s="751" t="s">
        <v>246</v>
      </c>
      <c r="D1229" s="751" t="s">
        <v>482</v>
      </c>
      <c r="E1229" s="751" t="s">
        <v>509</v>
      </c>
      <c r="F1229" s="751" t="s">
        <v>248</v>
      </c>
      <c r="G1229" s="752">
        <v>2</v>
      </c>
      <c r="H1229" s="753">
        <v>51000</v>
      </c>
      <c r="I1229" s="754">
        <v>169085.82</v>
      </c>
      <c r="J1229" s="754">
        <v>0</v>
      </c>
      <c r="K1229" s="754">
        <v>0</v>
      </c>
      <c r="L1229" s="754">
        <v>38177.120000000003</v>
      </c>
      <c r="M1229" s="754">
        <f t="shared" si="63"/>
        <v>38177.120000000003</v>
      </c>
      <c r="N1229" s="756">
        <v>169085.82</v>
      </c>
      <c r="O1229" s="720">
        <f t="shared" si="64"/>
        <v>0</v>
      </c>
    </row>
    <row r="1230" spans="1:15" outlineLevel="2" x14ac:dyDescent="0.25">
      <c r="A1230" s="207" t="str">
        <f>VLOOKUP(RIGHT(E1230,3)+0,SchLocTable!$A$2:$B$47,2,FALSE)</f>
        <v>Harding HS</v>
      </c>
      <c r="B1230" s="207" t="str">
        <f>VLOOKUP(VALUE(D1230),$D$3:F$106,3,FALSE)</f>
        <v>Visual Arts</v>
      </c>
      <c r="C1230" s="751" t="s">
        <v>246</v>
      </c>
      <c r="D1230" s="751" t="s">
        <v>482</v>
      </c>
      <c r="E1230" s="751" t="s">
        <v>509</v>
      </c>
      <c r="F1230" s="751" t="s">
        <v>257</v>
      </c>
      <c r="G1230" s="752" t="s">
        <v>1681</v>
      </c>
      <c r="H1230" s="753">
        <v>51140</v>
      </c>
      <c r="I1230" s="754">
        <v>1100</v>
      </c>
      <c r="J1230" s="754">
        <v>0</v>
      </c>
      <c r="K1230" s="754">
        <v>0</v>
      </c>
      <c r="L1230" s="754">
        <v>0</v>
      </c>
      <c r="M1230" s="754">
        <f t="shared" si="63"/>
        <v>0</v>
      </c>
      <c r="N1230" s="756">
        <v>1100</v>
      </c>
      <c r="O1230" s="720">
        <f t="shared" si="64"/>
        <v>0</v>
      </c>
    </row>
    <row r="1231" spans="1:15" outlineLevel="2" x14ac:dyDescent="0.25">
      <c r="A1231" s="207" t="str">
        <f>VLOOKUP(RIGHT(E1231,3)+0,SchLocTable!$A$2:$B$47,2,FALSE)</f>
        <v>Harding HS</v>
      </c>
      <c r="B1231" s="207" t="str">
        <f>VLOOKUP(VALUE(D1231),$D$3:F$106,3,FALSE)</f>
        <v>Visual Arts</v>
      </c>
      <c r="C1231" s="751" t="s">
        <v>246</v>
      </c>
      <c r="D1231" s="751" t="s">
        <v>482</v>
      </c>
      <c r="E1231" s="751" t="s">
        <v>509</v>
      </c>
      <c r="F1231" s="751" t="s">
        <v>254</v>
      </c>
      <c r="G1231" s="752" t="s">
        <v>1681</v>
      </c>
      <c r="H1231" s="753">
        <v>52360</v>
      </c>
      <c r="I1231" s="754">
        <v>2402.73</v>
      </c>
      <c r="J1231" s="754">
        <v>0</v>
      </c>
      <c r="K1231" s="754">
        <v>0</v>
      </c>
      <c r="L1231" s="754">
        <v>504.55</v>
      </c>
      <c r="M1231" s="754">
        <f t="shared" si="63"/>
        <v>504.55</v>
      </c>
      <c r="N1231" s="756">
        <v>2402.73</v>
      </c>
      <c r="O1231" s="720">
        <f t="shared" si="64"/>
        <v>0</v>
      </c>
    </row>
    <row r="1232" spans="1:15" outlineLevel="2" x14ac:dyDescent="0.25">
      <c r="A1232" s="207" t="str">
        <f>VLOOKUP(RIGHT(E1232,3)+0,SchLocTable!$A$2:$B$47,2,FALSE)</f>
        <v>Harding HS</v>
      </c>
      <c r="B1232" s="207" t="str">
        <f>VLOOKUP(VALUE(D1232),$D$3:F$106,3,FALSE)</f>
        <v>Visual Arts</v>
      </c>
      <c r="C1232" s="751" t="s">
        <v>246</v>
      </c>
      <c r="D1232" s="751" t="s">
        <v>482</v>
      </c>
      <c r="E1232" s="751" t="s">
        <v>509</v>
      </c>
      <c r="F1232" s="751" t="s">
        <v>259</v>
      </c>
      <c r="G1232" s="752" t="s">
        <v>1681</v>
      </c>
      <c r="H1232" s="753">
        <v>52917</v>
      </c>
      <c r="I1232" s="754">
        <v>41678.199999999997</v>
      </c>
      <c r="J1232" s="754">
        <v>0</v>
      </c>
      <c r="K1232" s="754">
        <v>0</v>
      </c>
      <c r="L1232" s="754">
        <v>10956.6</v>
      </c>
      <c r="M1232" s="754">
        <f t="shared" si="63"/>
        <v>10956.6</v>
      </c>
      <c r="N1232" s="756">
        <v>41678.199999999997</v>
      </c>
      <c r="O1232" s="720">
        <f t="shared" si="64"/>
        <v>0</v>
      </c>
    </row>
    <row r="1233" spans="1:15" outlineLevel="2" x14ac:dyDescent="0.25">
      <c r="A1233" s="207" t="e">
        <f>VLOOKUP(RIGHT(E1233,3)+0,SchLocTable!$A$2:$B$47,2,FALSE)</f>
        <v>#N/A</v>
      </c>
      <c r="B1233" s="207" t="str">
        <f>VLOOKUP(VALUE(D1233),$D$3:F$106,3,FALSE)</f>
        <v>Performing Arts</v>
      </c>
      <c r="C1233" s="751" t="s">
        <v>246</v>
      </c>
      <c r="D1233" s="751" t="s">
        <v>510</v>
      </c>
      <c r="E1233" s="751" t="s">
        <v>1840</v>
      </c>
      <c r="F1233" s="751" t="s">
        <v>248</v>
      </c>
      <c r="G1233" s="752">
        <v>1</v>
      </c>
      <c r="H1233" s="753">
        <v>51000</v>
      </c>
      <c r="I1233" s="754">
        <v>54507.76</v>
      </c>
      <c r="J1233" s="754">
        <v>0</v>
      </c>
      <c r="K1233" s="754">
        <v>0</v>
      </c>
      <c r="L1233" s="754">
        <v>10442.1</v>
      </c>
      <c r="M1233" s="754">
        <f t="shared" si="63"/>
        <v>10442.1</v>
      </c>
      <c r="N1233" s="756">
        <v>54507.76</v>
      </c>
      <c r="O1233" s="720">
        <f t="shared" si="64"/>
        <v>0</v>
      </c>
    </row>
    <row r="1234" spans="1:15" outlineLevel="2" x14ac:dyDescent="0.25">
      <c r="A1234" s="207" t="e">
        <f>VLOOKUP(RIGHT(E1234,3)+0,SchLocTable!$A$2:$B$47,2,FALSE)</f>
        <v>#N/A</v>
      </c>
      <c r="B1234" s="207" t="str">
        <f>VLOOKUP(VALUE(D1234),$D$3:F$106,3,FALSE)</f>
        <v>Performing Arts</v>
      </c>
      <c r="C1234" s="751" t="s">
        <v>246</v>
      </c>
      <c r="D1234" s="751" t="s">
        <v>510</v>
      </c>
      <c r="E1234" s="751" t="s">
        <v>1840</v>
      </c>
      <c r="F1234" s="751" t="s">
        <v>257</v>
      </c>
      <c r="G1234" s="752" t="s">
        <v>1681</v>
      </c>
      <c r="H1234" s="753">
        <v>51140</v>
      </c>
      <c r="I1234" s="754">
        <v>3900</v>
      </c>
      <c r="J1234" s="754">
        <v>0</v>
      </c>
      <c r="K1234" s="754">
        <v>0</v>
      </c>
      <c r="L1234" s="754">
        <v>0</v>
      </c>
      <c r="M1234" s="754">
        <f t="shared" si="63"/>
        <v>0</v>
      </c>
      <c r="N1234" s="756">
        <v>3900</v>
      </c>
      <c r="O1234" s="720">
        <f t="shared" si="64"/>
        <v>0</v>
      </c>
    </row>
    <row r="1235" spans="1:15" outlineLevel="2" x14ac:dyDescent="0.25">
      <c r="A1235" s="207" t="e">
        <f>VLOOKUP(RIGHT(E1235,3)+0,SchLocTable!$A$2:$B$47,2,FALSE)</f>
        <v>#N/A</v>
      </c>
      <c r="B1235" s="207" t="str">
        <f>VLOOKUP(VALUE(D1235),$D$3:F$106,3,FALSE)</f>
        <v>Performing Arts</v>
      </c>
      <c r="C1235" s="751" t="s">
        <v>246</v>
      </c>
      <c r="D1235" s="751" t="s">
        <v>510</v>
      </c>
      <c r="E1235" s="751" t="s">
        <v>1840</v>
      </c>
      <c r="F1235" s="751" t="s">
        <v>254</v>
      </c>
      <c r="G1235" s="752" t="s">
        <v>1681</v>
      </c>
      <c r="H1235" s="753">
        <v>52360</v>
      </c>
      <c r="I1235" s="754">
        <v>761.34</v>
      </c>
      <c r="J1235" s="754">
        <v>0</v>
      </c>
      <c r="K1235" s="754">
        <v>0</v>
      </c>
      <c r="L1235" s="754">
        <v>122.39</v>
      </c>
      <c r="M1235" s="754">
        <f t="shared" si="63"/>
        <v>122.39</v>
      </c>
      <c r="N1235" s="756">
        <v>761.34</v>
      </c>
      <c r="O1235" s="720">
        <f t="shared" si="64"/>
        <v>0</v>
      </c>
    </row>
    <row r="1236" spans="1:15" outlineLevel="2" x14ac:dyDescent="0.25">
      <c r="A1236" s="207" t="e">
        <f>VLOOKUP(RIGHT(E1236,3)+0,SchLocTable!$A$2:$B$47,2,FALSE)</f>
        <v>#N/A</v>
      </c>
      <c r="B1236" s="207" t="str">
        <f>VLOOKUP(VALUE(D1236),$D$3:F$106,3,FALSE)</f>
        <v>Performing Arts</v>
      </c>
      <c r="C1236" s="751" t="s">
        <v>246</v>
      </c>
      <c r="D1236" s="751" t="s">
        <v>510</v>
      </c>
      <c r="E1236" s="751" t="s">
        <v>1840</v>
      </c>
      <c r="F1236" s="751" t="s">
        <v>259</v>
      </c>
      <c r="G1236" s="752" t="s">
        <v>1681</v>
      </c>
      <c r="H1236" s="753">
        <v>52917</v>
      </c>
      <c r="I1236" s="754">
        <v>6780.5</v>
      </c>
      <c r="J1236" s="754">
        <v>0</v>
      </c>
      <c r="K1236" s="754">
        <v>0</v>
      </c>
      <c r="L1236" s="754">
        <v>6780.5</v>
      </c>
      <c r="M1236" s="754">
        <f t="shared" si="63"/>
        <v>6780.5</v>
      </c>
      <c r="N1236" s="756">
        <v>6780.5</v>
      </c>
      <c r="O1236" s="720">
        <f t="shared" si="64"/>
        <v>0</v>
      </c>
    </row>
    <row r="1237" spans="1:15" outlineLevel="2" x14ac:dyDescent="0.25">
      <c r="A1237" s="207" t="str">
        <f>VLOOKUP(RIGHT(E1237,3)+0,SchLocTable!$A$2:$B$47,2,FALSE)</f>
        <v>Barnum</v>
      </c>
      <c r="B1237" s="207" t="str">
        <f>VLOOKUP(VALUE(D1237),$D$3:F$106,3,FALSE)</f>
        <v>Performing Arts</v>
      </c>
      <c r="C1237" s="751" t="s">
        <v>246</v>
      </c>
      <c r="D1237" s="751" t="s">
        <v>510</v>
      </c>
      <c r="E1237" s="751" t="s">
        <v>1498</v>
      </c>
      <c r="F1237" s="751" t="s">
        <v>248</v>
      </c>
      <c r="G1237" s="752">
        <v>1</v>
      </c>
      <c r="H1237" s="753">
        <v>51000</v>
      </c>
      <c r="I1237" s="754">
        <v>70108.92</v>
      </c>
      <c r="J1237" s="754">
        <v>0</v>
      </c>
      <c r="K1237" s="754">
        <v>0</v>
      </c>
      <c r="L1237" s="754">
        <v>16692.599999999999</v>
      </c>
      <c r="M1237" s="754">
        <f t="shared" si="63"/>
        <v>16692.599999999999</v>
      </c>
      <c r="N1237" s="756">
        <v>70108.92</v>
      </c>
      <c r="O1237" s="720">
        <f t="shared" si="64"/>
        <v>0</v>
      </c>
    </row>
    <row r="1238" spans="1:15" outlineLevel="2" x14ac:dyDescent="0.25">
      <c r="A1238" s="207" t="str">
        <f>VLOOKUP(RIGHT(E1238,3)+0,SchLocTable!$A$2:$B$47,2,FALSE)</f>
        <v>Barnum</v>
      </c>
      <c r="B1238" s="207" t="str">
        <f>VLOOKUP(VALUE(D1238),$D$3:F$106,3,FALSE)</f>
        <v>Performing Arts</v>
      </c>
      <c r="C1238" s="751" t="s">
        <v>246</v>
      </c>
      <c r="D1238" s="751" t="s">
        <v>510</v>
      </c>
      <c r="E1238" s="751" t="s">
        <v>1498</v>
      </c>
      <c r="F1238" s="751" t="s">
        <v>254</v>
      </c>
      <c r="G1238" s="752" t="s">
        <v>1681</v>
      </c>
      <c r="H1238" s="753">
        <v>52360</v>
      </c>
      <c r="I1238" s="754">
        <v>981.12</v>
      </c>
      <c r="J1238" s="754">
        <v>0</v>
      </c>
      <c r="K1238" s="754">
        <v>0</v>
      </c>
      <c r="L1238" s="754">
        <v>206.58</v>
      </c>
      <c r="M1238" s="754">
        <f t="shared" si="63"/>
        <v>206.58</v>
      </c>
      <c r="N1238" s="756">
        <v>981.12</v>
      </c>
      <c r="O1238" s="720">
        <f t="shared" si="64"/>
        <v>0</v>
      </c>
    </row>
    <row r="1239" spans="1:15" outlineLevel="2" x14ac:dyDescent="0.25">
      <c r="A1239" s="207" t="str">
        <f>VLOOKUP(RIGHT(E1239,3)+0,SchLocTable!$A$2:$B$47,2,FALSE)</f>
        <v>Barnum</v>
      </c>
      <c r="B1239" s="207" t="str">
        <f>VLOOKUP(VALUE(D1239),$D$3:F$106,3,FALSE)</f>
        <v>Performing Arts</v>
      </c>
      <c r="C1239" s="751" t="s">
        <v>246</v>
      </c>
      <c r="D1239" s="751" t="s">
        <v>510</v>
      </c>
      <c r="E1239" s="751" t="s">
        <v>1498</v>
      </c>
      <c r="F1239" s="751" t="s">
        <v>292</v>
      </c>
      <c r="G1239" s="752" t="s">
        <v>1681</v>
      </c>
      <c r="H1239" s="753">
        <v>52385</v>
      </c>
      <c r="I1239" s="754">
        <v>0</v>
      </c>
      <c r="J1239" s="754">
        <v>0</v>
      </c>
      <c r="K1239" s="754">
        <v>0</v>
      </c>
      <c r="L1239" s="754">
        <v>0</v>
      </c>
      <c r="M1239" s="754">
        <f t="shared" si="63"/>
        <v>0</v>
      </c>
      <c r="N1239" s="756">
        <v>0</v>
      </c>
      <c r="O1239" s="720">
        <f t="shared" si="64"/>
        <v>0</v>
      </c>
    </row>
    <row r="1240" spans="1:15" outlineLevel="2" x14ac:dyDescent="0.25">
      <c r="A1240" s="207" t="str">
        <f>VLOOKUP(RIGHT(E1240,3)+0,SchLocTable!$A$2:$B$47,2,FALSE)</f>
        <v>Barnum</v>
      </c>
      <c r="B1240" s="207" t="str">
        <f>VLOOKUP(VALUE(D1240),$D$3:F$106,3,FALSE)</f>
        <v>Performing Arts</v>
      </c>
      <c r="C1240" s="751" t="s">
        <v>246</v>
      </c>
      <c r="D1240" s="751" t="s">
        <v>510</v>
      </c>
      <c r="E1240" s="751" t="s">
        <v>1498</v>
      </c>
      <c r="F1240" s="751" t="s">
        <v>259</v>
      </c>
      <c r="G1240" s="752" t="s">
        <v>1681</v>
      </c>
      <c r="H1240" s="753">
        <v>52917</v>
      </c>
      <c r="I1240" s="754">
        <v>34787.339999999997</v>
      </c>
      <c r="J1240" s="754">
        <v>0</v>
      </c>
      <c r="K1240" s="754">
        <v>0</v>
      </c>
      <c r="L1240" s="754">
        <v>8282.7000000000007</v>
      </c>
      <c r="M1240" s="754">
        <f t="shared" si="63"/>
        <v>8282.7000000000007</v>
      </c>
      <c r="N1240" s="756">
        <v>34787.339999999997</v>
      </c>
      <c r="O1240" s="720">
        <f t="shared" si="64"/>
        <v>0</v>
      </c>
    </row>
    <row r="1241" spans="1:15" outlineLevel="2" x14ac:dyDescent="0.25">
      <c r="A1241" s="207" t="str">
        <f>VLOOKUP(RIGHT(E1241,3)+0,SchLocTable!$A$2:$B$47,2,FALSE)</f>
        <v>Black Rock</v>
      </c>
      <c r="B1241" s="207" t="str">
        <f>VLOOKUP(VALUE(D1241),$D$3:F$106,3,FALSE)</f>
        <v>Performing Arts</v>
      </c>
      <c r="C1241" s="751" t="s">
        <v>246</v>
      </c>
      <c r="D1241" s="751" t="s">
        <v>510</v>
      </c>
      <c r="E1241" s="751" t="s">
        <v>511</v>
      </c>
      <c r="F1241" s="751" t="s">
        <v>248</v>
      </c>
      <c r="G1241" s="752" t="s">
        <v>1681</v>
      </c>
      <c r="H1241" s="753">
        <v>51000</v>
      </c>
      <c r="I1241" s="754">
        <v>0</v>
      </c>
      <c r="J1241" s="754">
        <v>0</v>
      </c>
      <c r="K1241" s="754">
        <v>0</v>
      </c>
      <c r="L1241" s="754">
        <v>0</v>
      </c>
      <c r="M1241" s="754">
        <f t="shared" si="63"/>
        <v>0</v>
      </c>
      <c r="N1241" s="756">
        <v>0</v>
      </c>
      <c r="O1241" s="720">
        <f t="shared" si="64"/>
        <v>0</v>
      </c>
    </row>
    <row r="1242" spans="1:15" outlineLevel="2" x14ac:dyDescent="0.25">
      <c r="A1242" s="207" t="str">
        <f>VLOOKUP(RIGHT(E1242,3)+0,SchLocTable!$A$2:$B$47,2,FALSE)</f>
        <v>Black Rock</v>
      </c>
      <c r="B1242" s="207" t="str">
        <f>VLOOKUP(VALUE(D1242),$D$3:F$106,3,FALSE)</f>
        <v>Performing Arts</v>
      </c>
      <c r="C1242" s="755" t="s">
        <v>246</v>
      </c>
      <c r="D1242" s="751" t="s">
        <v>510</v>
      </c>
      <c r="E1242" s="751" t="s">
        <v>511</v>
      </c>
      <c r="F1242" s="751" t="s">
        <v>257</v>
      </c>
      <c r="G1242" s="752" t="s">
        <v>1681</v>
      </c>
      <c r="H1242" s="753">
        <v>51140</v>
      </c>
      <c r="I1242" s="754">
        <v>1200</v>
      </c>
      <c r="J1242" s="754">
        <v>0</v>
      </c>
      <c r="K1242" s="754">
        <v>0</v>
      </c>
      <c r="L1242" s="754">
        <v>0</v>
      </c>
      <c r="M1242" s="754">
        <f t="shared" si="63"/>
        <v>0</v>
      </c>
      <c r="N1242" s="756">
        <v>1200</v>
      </c>
      <c r="O1242" s="720">
        <f t="shared" si="64"/>
        <v>0</v>
      </c>
    </row>
    <row r="1243" spans="1:15" outlineLevel="2" x14ac:dyDescent="0.25">
      <c r="A1243" s="207" t="str">
        <f>VLOOKUP(RIGHT(E1243,3)+0,SchLocTable!$A$2:$B$47,2,FALSE)</f>
        <v>Black Rock</v>
      </c>
      <c r="B1243" s="207" t="str">
        <f>VLOOKUP(VALUE(D1243),$D$3:F$106,3,FALSE)</f>
        <v>Performing Arts</v>
      </c>
      <c r="C1243" s="755" t="s">
        <v>246</v>
      </c>
      <c r="D1243" s="751" t="s">
        <v>510</v>
      </c>
      <c r="E1243" s="751" t="s">
        <v>511</v>
      </c>
      <c r="F1243" s="751" t="s">
        <v>254</v>
      </c>
      <c r="G1243" s="752" t="s">
        <v>1681</v>
      </c>
      <c r="H1243" s="753">
        <v>52360</v>
      </c>
      <c r="I1243" s="754">
        <v>0</v>
      </c>
      <c r="J1243" s="754">
        <v>0</v>
      </c>
      <c r="K1243" s="754">
        <v>0</v>
      </c>
      <c r="L1243" s="754">
        <v>0</v>
      </c>
      <c r="M1243" s="754">
        <f t="shared" si="63"/>
        <v>0</v>
      </c>
      <c r="N1243" s="756">
        <v>0</v>
      </c>
      <c r="O1243" s="720">
        <f t="shared" si="64"/>
        <v>0</v>
      </c>
    </row>
    <row r="1244" spans="1:15" outlineLevel="2" x14ac:dyDescent="0.25">
      <c r="A1244" s="207" t="str">
        <f>VLOOKUP(RIGHT(E1244,3)+0,SchLocTable!$A$2:$B$47,2,FALSE)</f>
        <v>Black Rock</v>
      </c>
      <c r="B1244" s="207" t="str">
        <f>VLOOKUP(VALUE(D1244),$D$3:F$106,3,FALSE)</f>
        <v>Performing Arts</v>
      </c>
      <c r="C1244" s="751" t="s">
        <v>246</v>
      </c>
      <c r="D1244" s="751" t="s">
        <v>510</v>
      </c>
      <c r="E1244" s="751" t="s">
        <v>511</v>
      </c>
      <c r="F1244" s="751" t="s">
        <v>259</v>
      </c>
      <c r="G1244" s="752" t="s">
        <v>1681</v>
      </c>
      <c r="H1244" s="753">
        <v>52917</v>
      </c>
      <c r="I1244" s="754">
        <v>0</v>
      </c>
      <c r="J1244" s="754">
        <v>0</v>
      </c>
      <c r="K1244" s="754">
        <v>0</v>
      </c>
      <c r="L1244" s="754">
        <v>0</v>
      </c>
      <c r="M1244" s="754">
        <f t="shared" si="63"/>
        <v>0</v>
      </c>
      <c r="N1244" s="756">
        <v>0</v>
      </c>
      <c r="O1244" s="720">
        <f t="shared" si="64"/>
        <v>0</v>
      </c>
    </row>
    <row r="1245" spans="1:15" outlineLevel="2" x14ac:dyDescent="0.25">
      <c r="A1245" s="207" t="str">
        <f>VLOOKUP(RIGHT(E1245,3)+0,SchLocTable!$A$2:$B$47,2,FALSE)</f>
        <v>Bryant</v>
      </c>
      <c r="B1245" s="207" t="str">
        <f>VLOOKUP(VALUE(D1245),$D$3:F$106,3,FALSE)</f>
        <v>Performing Arts</v>
      </c>
      <c r="C1245" s="751" t="s">
        <v>246</v>
      </c>
      <c r="D1245" s="751" t="s">
        <v>510</v>
      </c>
      <c r="E1245" s="751" t="s">
        <v>512</v>
      </c>
      <c r="F1245" s="751" t="s">
        <v>248</v>
      </c>
      <c r="G1245" s="752">
        <v>1</v>
      </c>
      <c r="H1245" s="753">
        <v>51000</v>
      </c>
      <c r="I1245" s="754">
        <v>49225</v>
      </c>
      <c r="J1245" s="754">
        <v>0</v>
      </c>
      <c r="K1245" s="754">
        <v>0</v>
      </c>
      <c r="L1245" s="754">
        <v>8500</v>
      </c>
      <c r="M1245" s="754">
        <f t="shared" si="63"/>
        <v>8500</v>
      </c>
      <c r="N1245" s="756">
        <v>49225</v>
      </c>
      <c r="O1245" s="720">
        <f t="shared" si="64"/>
        <v>0</v>
      </c>
    </row>
    <row r="1246" spans="1:15" outlineLevel="2" x14ac:dyDescent="0.25">
      <c r="A1246" s="207" t="str">
        <f>VLOOKUP(RIGHT(E1246,3)+0,SchLocTable!$A$2:$B$47,2,FALSE)</f>
        <v>Bryant</v>
      </c>
      <c r="B1246" s="207" t="str">
        <f>VLOOKUP(VALUE(D1246),$D$3:F$106,3,FALSE)</f>
        <v>Performing Arts</v>
      </c>
      <c r="C1246" s="751" t="s">
        <v>246</v>
      </c>
      <c r="D1246" s="751" t="s">
        <v>510</v>
      </c>
      <c r="E1246" s="751" t="s">
        <v>512</v>
      </c>
      <c r="F1246" s="751" t="s">
        <v>254</v>
      </c>
      <c r="G1246" s="752" t="s">
        <v>1681</v>
      </c>
      <c r="H1246" s="753">
        <v>52360</v>
      </c>
      <c r="I1246" s="754">
        <v>713.76</v>
      </c>
      <c r="J1246" s="754">
        <v>0</v>
      </c>
      <c r="K1246" s="754">
        <v>0</v>
      </c>
      <c r="L1246" s="754">
        <v>123.25</v>
      </c>
      <c r="M1246" s="754">
        <f t="shared" si="63"/>
        <v>123.25</v>
      </c>
      <c r="N1246" s="756">
        <v>713.76</v>
      </c>
      <c r="O1246" s="720">
        <f t="shared" si="64"/>
        <v>0</v>
      </c>
    </row>
    <row r="1247" spans="1:15" outlineLevel="2" x14ac:dyDescent="0.25">
      <c r="A1247" s="207" t="str">
        <f>VLOOKUP(RIGHT(E1247,3)+0,SchLocTable!$A$2:$B$47,2,FALSE)</f>
        <v>Bryant</v>
      </c>
      <c r="B1247" s="207" t="str">
        <f>VLOOKUP(VALUE(D1247),$D$3:F$106,3,FALSE)</f>
        <v>Performing Arts</v>
      </c>
      <c r="C1247" s="751" t="s">
        <v>246</v>
      </c>
      <c r="D1247" s="751" t="s">
        <v>510</v>
      </c>
      <c r="E1247" s="751" t="s">
        <v>512</v>
      </c>
      <c r="F1247" s="751" t="s">
        <v>292</v>
      </c>
      <c r="G1247" s="752" t="s">
        <v>1681</v>
      </c>
      <c r="H1247" s="753">
        <v>52385</v>
      </c>
      <c r="I1247" s="754">
        <v>527</v>
      </c>
      <c r="J1247" s="754">
        <v>0</v>
      </c>
      <c r="K1247" s="754">
        <v>0</v>
      </c>
      <c r="L1247" s="754">
        <v>527</v>
      </c>
      <c r="M1247" s="754">
        <f t="shared" si="63"/>
        <v>527</v>
      </c>
      <c r="N1247" s="756">
        <v>527</v>
      </c>
      <c r="O1247" s="720">
        <f t="shared" si="64"/>
        <v>0</v>
      </c>
    </row>
    <row r="1248" spans="1:15" outlineLevel="2" x14ac:dyDescent="0.25">
      <c r="A1248" s="207" t="str">
        <f>VLOOKUP(RIGHT(E1248,3)+0,SchLocTable!$A$2:$B$47,2,FALSE)</f>
        <v>Bryant</v>
      </c>
      <c r="B1248" s="207" t="str">
        <f>VLOOKUP(VALUE(D1248),$D$3:F$106,3,FALSE)</f>
        <v>Performing Arts</v>
      </c>
      <c r="C1248" s="751" t="s">
        <v>246</v>
      </c>
      <c r="D1248" s="751" t="s">
        <v>510</v>
      </c>
      <c r="E1248" s="751" t="s">
        <v>512</v>
      </c>
      <c r="F1248" s="751" t="s">
        <v>259</v>
      </c>
      <c r="G1248" s="752" t="s">
        <v>1681</v>
      </c>
      <c r="H1248" s="753">
        <v>52917</v>
      </c>
      <c r="I1248" s="754">
        <v>0</v>
      </c>
      <c r="J1248" s="754">
        <v>0</v>
      </c>
      <c r="K1248" s="754">
        <v>0</v>
      </c>
      <c r="L1248" s="754">
        <v>0</v>
      </c>
      <c r="M1248" s="754">
        <f t="shared" si="63"/>
        <v>0</v>
      </c>
      <c r="N1248" s="756">
        <v>0</v>
      </c>
      <c r="O1248" s="720">
        <f t="shared" si="64"/>
        <v>0</v>
      </c>
    </row>
    <row r="1249" spans="1:15" outlineLevel="2" x14ac:dyDescent="0.25">
      <c r="A1249" s="207" t="str">
        <f>VLOOKUP(RIGHT(E1249,3)+0,SchLocTable!$A$2:$B$47,2,FALSE)</f>
        <v>Columbus</v>
      </c>
      <c r="B1249" s="207" t="str">
        <f>VLOOKUP(VALUE(D1249),$D$3:F$106,3,FALSE)</f>
        <v>Performing Arts</v>
      </c>
      <c r="C1249" s="751" t="s">
        <v>246</v>
      </c>
      <c r="D1249" s="751" t="s">
        <v>510</v>
      </c>
      <c r="E1249" s="751" t="s">
        <v>513</v>
      </c>
      <c r="F1249" s="751" t="s">
        <v>248</v>
      </c>
      <c r="G1249" s="752">
        <v>2</v>
      </c>
      <c r="H1249" s="753">
        <v>51000</v>
      </c>
      <c r="I1249" s="754">
        <v>206306.41</v>
      </c>
      <c r="J1249" s="754">
        <v>0</v>
      </c>
      <c r="K1249" s="754">
        <v>0</v>
      </c>
      <c r="L1249" s="754">
        <v>39522.300000000003</v>
      </c>
      <c r="M1249" s="754">
        <f t="shared" si="63"/>
        <v>39522.300000000003</v>
      </c>
      <c r="N1249" s="756">
        <v>206306.41</v>
      </c>
      <c r="O1249" s="720">
        <f t="shared" si="64"/>
        <v>0</v>
      </c>
    </row>
    <row r="1250" spans="1:15" outlineLevel="2" x14ac:dyDescent="0.25">
      <c r="A1250" s="207" t="str">
        <f>VLOOKUP(RIGHT(E1250,3)+0,SchLocTable!$A$2:$B$47,2,FALSE)</f>
        <v>Columbus</v>
      </c>
      <c r="B1250" s="207" t="str">
        <f>VLOOKUP(VALUE(D1250),$D$3:F$106,3,FALSE)</f>
        <v>Performing Arts</v>
      </c>
      <c r="C1250" s="751" t="s">
        <v>246</v>
      </c>
      <c r="D1250" s="751" t="s">
        <v>510</v>
      </c>
      <c r="E1250" s="751" t="s">
        <v>513</v>
      </c>
      <c r="F1250" s="751" t="s">
        <v>254</v>
      </c>
      <c r="G1250" s="752" t="s">
        <v>1681</v>
      </c>
      <c r="H1250" s="753">
        <v>52360</v>
      </c>
      <c r="I1250" s="754">
        <v>2933.4</v>
      </c>
      <c r="J1250" s="754">
        <v>0</v>
      </c>
      <c r="K1250" s="754">
        <v>0</v>
      </c>
      <c r="L1250" s="754">
        <v>515.03</v>
      </c>
      <c r="M1250" s="754">
        <f t="shared" si="63"/>
        <v>515.03</v>
      </c>
      <c r="N1250" s="756">
        <v>2933.4</v>
      </c>
      <c r="O1250" s="720">
        <f t="shared" si="64"/>
        <v>0</v>
      </c>
    </row>
    <row r="1251" spans="1:15" outlineLevel="2" x14ac:dyDescent="0.25">
      <c r="A1251" s="207" t="str">
        <f>VLOOKUP(RIGHT(E1251,3)+0,SchLocTable!$A$2:$B$47,2,FALSE)</f>
        <v>Columbus</v>
      </c>
      <c r="B1251" s="207" t="str">
        <f>VLOOKUP(VALUE(D1251),$D$3:F$106,3,FALSE)</f>
        <v>Performing Arts</v>
      </c>
      <c r="C1251" s="751" t="s">
        <v>246</v>
      </c>
      <c r="D1251" s="751" t="s">
        <v>510</v>
      </c>
      <c r="E1251" s="751" t="s">
        <v>513</v>
      </c>
      <c r="F1251" s="751" t="s">
        <v>259</v>
      </c>
      <c r="G1251" s="752" t="s">
        <v>1681</v>
      </c>
      <c r="H1251" s="753">
        <v>52917</v>
      </c>
      <c r="I1251" s="754">
        <v>56956.2</v>
      </c>
      <c r="J1251" s="754">
        <v>0</v>
      </c>
      <c r="K1251" s="754">
        <v>0</v>
      </c>
      <c r="L1251" s="754">
        <v>13561</v>
      </c>
      <c r="M1251" s="754">
        <f t="shared" si="63"/>
        <v>13561</v>
      </c>
      <c r="N1251" s="756">
        <v>56956.2</v>
      </c>
      <c r="O1251" s="720">
        <f t="shared" si="64"/>
        <v>0</v>
      </c>
    </row>
    <row r="1252" spans="1:15" outlineLevel="2" x14ac:dyDescent="0.25">
      <c r="A1252" s="207" t="str">
        <f>VLOOKUP(RIGHT(E1252,3)+0,SchLocTable!$A$2:$B$47,2,FALSE)</f>
        <v>Marin</v>
      </c>
      <c r="B1252" s="207" t="str">
        <f>VLOOKUP(VALUE(D1252),$D$3:F$106,3,FALSE)</f>
        <v>Performing Arts</v>
      </c>
      <c r="C1252" s="755" t="s">
        <v>246</v>
      </c>
      <c r="D1252" s="751" t="s">
        <v>510</v>
      </c>
      <c r="E1252" s="751" t="s">
        <v>1783</v>
      </c>
      <c r="F1252" s="751" t="s">
        <v>248</v>
      </c>
      <c r="G1252" s="752" t="s">
        <v>1681</v>
      </c>
      <c r="H1252" s="753">
        <v>51000</v>
      </c>
      <c r="I1252" s="754">
        <v>0</v>
      </c>
      <c r="J1252" s="754">
        <v>0</v>
      </c>
      <c r="K1252" s="754">
        <v>0</v>
      </c>
      <c r="L1252" s="754">
        <v>0</v>
      </c>
      <c r="M1252" s="754">
        <f t="shared" si="63"/>
        <v>0</v>
      </c>
      <c r="N1252" s="756">
        <v>0</v>
      </c>
      <c r="O1252" s="720">
        <f t="shared" si="64"/>
        <v>0</v>
      </c>
    </row>
    <row r="1253" spans="1:15" outlineLevel="2" x14ac:dyDescent="0.25">
      <c r="A1253" s="207" t="str">
        <f>VLOOKUP(RIGHT(E1253,3)+0,SchLocTable!$A$2:$B$47,2,FALSE)</f>
        <v>Marin</v>
      </c>
      <c r="B1253" s="207" t="str">
        <f>VLOOKUP(VALUE(D1253),$D$3:F$106,3,FALSE)</f>
        <v>Performing Arts</v>
      </c>
      <c r="C1253" s="751" t="s">
        <v>246</v>
      </c>
      <c r="D1253" s="751" t="s">
        <v>510</v>
      </c>
      <c r="E1253" s="751" t="s">
        <v>1783</v>
      </c>
      <c r="F1253" s="751" t="s">
        <v>254</v>
      </c>
      <c r="G1253" s="752" t="s">
        <v>1681</v>
      </c>
      <c r="H1253" s="753">
        <v>52360</v>
      </c>
      <c r="I1253" s="754">
        <v>0</v>
      </c>
      <c r="J1253" s="754">
        <v>0</v>
      </c>
      <c r="K1253" s="754">
        <v>0</v>
      </c>
      <c r="L1253" s="754">
        <v>0</v>
      </c>
      <c r="M1253" s="754">
        <f t="shared" si="63"/>
        <v>0</v>
      </c>
      <c r="N1253" s="756">
        <v>0</v>
      </c>
      <c r="O1253" s="720">
        <f t="shared" si="64"/>
        <v>0</v>
      </c>
    </row>
    <row r="1254" spans="1:15" outlineLevel="2" x14ac:dyDescent="0.25">
      <c r="A1254" s="207" t="str">
        <f>VLOOKUP(RIGHT(E1254,3)+0,SchLocTable!$A$2:$B$47,2,FALSE)</f>
        <v>Marin</v>
      </c>
      <c r="B1254" s="207" t="str">
        <f>VLOOKUP(VALUE(D1254),$D$3:F$106,3,FALSE)</f>
        <v>Performing Arts</v>
      </c>
      <c r="C1254" s="751" t="s">
        <v>246</v>
      </c>
      <c r="D1254" s="751" t="s">
        <v>510</v>
      </c>
      <c r="E1254" s="751" t="s">
        <v>1783</v>
      </c>
      <c r="F1254" s="751" t="s">
        <v>292</v>
      </c>
      <c r="G1254" s="752" t="s">
        <v>1681</v>
      </c>
      <c r="H1254" s="753">
        <v>52385</v>
      </c>
      <c r="I1254" s="754">
        <v>0</v>
      </c>
      <c r="J1254" s="754">
        <v>0</v>
      </c>
      <c r="K1254" s="754">
        <v>0</v>
      </c>
      <c r="L1254" s="754">
        <v>0</v>
      </c>
      <c r="M1254" s="754">
        <f t="shared" si="63"/>
        <v>0</v>
      </c>
      <c r="N1254" s="756">
        <v>0</v>
      </c>
      <c r="O1254" s="720">
        <f t="shared" si="64"/>
        <v>0</v>
      </c>
    </row>
    <row r="1255" spans="1:15" outlineLevel="2" x14ac:dyDescent="0.25">
      <c r="A1255" s="207" t="str">
        <f>VLOOKUP(RIGHT(E1255,3)+0,SchLocTable!$A$2:$B$47,2,FALSE)</f>
        <v>Marin</v>
      </c>
      <c r="B1255" s="207" t="str">
        <f>VLOOKUP(VALUE(D1255),$D$3:F$106,3,FALSE)</f>
        <v>Performing Arts</v>
      </c>
      <c r="C1255" s="751" t="s">
        <v>246</v>
      </c>
      <c r="D1255" s="751" t="s">
        <v>510</v>
      </c>
      <c r="E1255" s="751" t="s">
        <v>1783</v>
      </c>
      <c r="F1255" s="751" t="s">
        <v>259</v>
      </c>
      <c r="G1255" s="752" t="s">
        <v>1681</v>
      </c>
      <c r="H1255" s="753">
        <v>52917</v>
      </c>
      <c r="I1255" s="754">
        <v>0</v>
      </c>
      <c r="J1255" s="754">
        <v>0</v>
      </c>
      <c r="K1255" s="754">
        <v>0</v>
      </c>
      <c r="L1255" s="754">
        <v>0</v>
      </c>
      <c r="M1255" s="754">
        <f t="shared" si="63"/>
        <v>0</v>
      </c>
      <c r="N1255" s="756">
        <v>0</v>
      </c>
      <c r="O1255" s="720">
        <f t="shared" si="64"/>
        <v>0</v>
      </c>
    </row>
    <row r="1256" spans="1:15" outlineLevel="2" x14ac:dyDescent="0.25">
      <c r="A1256" s="207" t="str">
        <f>VLOOKUP(RIGHT(E1256,3)+0,SchLocTable!$A$2:$B$47,2,FALSE)</f>
        <v>Hallen</v>
      </c>
      <c r="B1256" s="207" t="str">
        <f>VLOOKUP(VALUE(D1256),$D$3:F$106,3,FALSE)</f>
        <v>Performing Arts</v>
      </c>
      <c r="C1256" s="751" t="s">
        <v>246</v>
      </c>
      <c r="D1256" s="751" t="s">
        <v>510</v>
      </c>
      <c r="E1256" s="751" t="s">
        <v>514</v>
      </c>
      <c r="F1256" s="751" t="s">
        <v>248</v>
      </c>
      <c r="G1256" s="752" t="s">
        <v>1681</v>
      </c>
      <c r="H1256" s="753">
        <v>51000</v>
      </c>
      <c r="I1256" s="754">
        <v>0</v>
      </c>
      <c r="J1256" s="754">
        <v>0</v>
      </c>
      <c r="K1256" s="754">
        <v>0</v>
      </c>
      <c r="L1256" s="754">
        <v>0</v>
      </c>
      <c r="M1256" s="754">
        <f t="shared" si="63"/>
        <v>0</v>
      </c>
      <c r="N1256" s="756">
        <v>0</v>
      </c>
      <c r="O1256" s="720">
        <f t="shared" si="64"/>
        <v>0</v>
      </c>
    </row>
    <row r="1257" spans="1:15" outlineLevel="2" x14ac:dyDescent="0.25">
      <c r="A1257" s="207" t="str">
        <f>VLOOKUP(RIGHT(E1257,3)+0,SchLocTable!$A$2:$B$47,2,FALSE)</f>
        <v>Hallen</v>
      </c>
      <c r="B1257" s="207" t="str">
        <f>VLOOKUP(VALUE(D1257),$D$3:F$106,3,FALSE)</f>
        <v>Performing Arts</v>
      </c>
      <c r="C1257" s="755" t="s">
        <v>246</v>
      </c>
      <c r="D1257" s="751" t="s">
        <v>510</v>
      </c>
      <c r="E1257" s="751" t="s">
        <v>514</v>
      </c>
      <c r="F1257" s="751" t="s">
        <v>254</v>
      </c>
      <c r="G1257" s="752" t="s">
        <v>1681</v>
      </c>
      <c r="H1257" s="753">
        <v>52360</v>
      </c>
      <c r="I1257" s="754">
        <v>0</v>
      </c>
      <c r="J1257" s="754">
        <v>0</v>
      </c>
      <c r="K1257" s="754">
        <v>0</v>
      </c>
      <c r="L1257" s="754">
        <v>0</v>
      </c>
      <c r="M1257" s="754">
        <f t="shared" si="63"/>
        <v>0</v>
      </c>
      <c r="N1257" s="756">
        <v>0</v>
      </c>
      <c r="O1257" s="720">
        <f t="shared" si="64"/>
        <v>0</v>
      </c>
    </row>
    <row r="1258" spans="1:15" outlineLevel="2" x14ac:dyDescent="0.25">
      <c r="A1258" s="207" t="str">
        <f>VLOOKUP(RIGHT(E1258,3)+0,SchLocTable!$A$2:$B$47,2,FALSE)</f>
        <v>Hooker</v>
      </c>
      <c r="B1258" s="207" t="str">
        <f>VLOOKUP(VALUE(D1258),$D$3:F$106,3,FALSE)</f>
        <v>Performing Arts</v>
      </c>
      <c r="C1258" s="751" t="s">
        <v>246</v>
      </c>
      <c r="D1258" s="751" t="s">
        <v>510</v>
      </c>
      <c r="E1258" s="751" t="s">
        <v>1867</v>
      </c>
      <c r="F1258" s="751" t="s">
        <v>257</v>
      </c>
      <c r="G1258" s="752" t="s">
        <v>1681</v>
      </c>
      <c r="H1258" s="753">
        <v>51140</v>
      </c>
      <c r="I1258" s="754">
        <v>1100</v>
      </c>
      <c r="J1258" s="754">
        <v>0</v>
      </c>
      <c r="K1258" s="754">
        <v>0</v>
      </c>
      <c r="L1258" s="754">
        <v>0</v>
      </c>
      <c r="M1258" s="754">
        <f t="shared" si="63"/>
        <v>0</v>
      </c>
      <c r="N1258" s="756">
        <v>1100</v>
      </c>
      <c r="O1258" s="720">
        <f t="shared" si="64"/>
        <v>0</v>
      </c>
    </row>
    <row r="1259" spans="1:15" outlineLevel="2" x14ac:dyDescent="0.25">
      <c r="A1259" s="207" t="str">
        <f>VLOOKUP(RIGHT(E1259,3)+0,SchLocTable!$A$2:$B$47,2,FALSE)</f>
        <v>Hooker</v>
      </c>
      <c r="B1259" s="207" t="str">
        <f>VLOOKUP(VALUE(D1259),$D$3:F$106,3,FALSE)</f>
        <v>Performing Arts</v>
      </c>
      <c r="C1259" s="751" t="s">
        <v>246</v>
      </c>
      <c r="D1259" s="751" t="s">
        <v>510</v>
      </c>
      <c r="E1259" s="751" t="s">
        <v>1867</v>
      </c>
      <c r="F1259" s="751" t="s">
        <v>254</v>
      </c>
      <c r="G1259" s="752" t="s">
        <v>1681</v>
      </c>
      <c r="H1259" s="753">
        <v>52360</v>
      </c>
      <c r="I1259" s="754">
        <v>0</v>
      </c>
      <c r="J1259" s="754">
        <v>0</v>
      </c>
      <c r="K1259" s="754">
        <v>0</v>
      </c>
      <c r="L1259" s="754">
        <v>0</v>
      </c>
      <c r="M1259" s="754">
        <f t="shared" si="63"/>
        <v>0</v>
      </c>
      <c r="N1259" s="756">
        <v>0</v>
      </c>
      <c r="O1259" s="720">
        <f t="shared" si="64"/>
        <v>0</v>
      </c>
    </row>
    <row r="1260" spans="1:15" outlineLevel="2" x14ac:dyDescent="0.25">
      <c r="A1260" s="207" t="str">
        <f>VLOOKUP(RIGHT(E1260,3)+0,SchLocTable!$A$2:$B$47,2,FALSE)</f>
        <v>Batalla</v>
      </c>
      <c r="B1260" s="207" t="str">
        <f>VLOOKUP(VALUE(D1260),$D$3:F$106,3,FALSE)</f>
        <v>Performing Arts</v>
      </c>
      <c r="C1260" s="751" t="s">
        <v>246</v>
      </c>
      <c r="D1260" s="751" t="s">
        <v>510</v>
      </c>
      <c r="E1260" s="751" t="s">
        <v>515</v>
      </c>
      <c r="F1260" s="751" t="s">
        <v>248</v>
      </c>
      <c r="G1260" s="752">
        <v>1</v>
      </c>
      <c r="H1260" s="753">
        <v>51000</v>
      </c>
      <c r="I1260" s="754">
        <v>58141.67</v>
      </c>
      <c r="J1260" s="754">
        <v>0</v>
      </c>
      <c r="K1260" s="754">
        <v>0</v>
      </c>
      <c r="L1260" s="754">
        <v>11138.25</v>
      </c>
      <c r="M1260" s="754">
        <f t="shared" si="63"/>
        <v>11138.25</v>
      </c>
      <c r="N1260" s="756">
        <v>58141.67</v>
      </c>
      <c r="O1260" s="720">
        <f t="shared" si="64"/>
        <v>0</v>
      </c>
    </row>
    <row r="1261" spans="1:15" outlineLevel="2" x14ac:dyDescent="0.25">
      <c r="A1261" s="207" t="str">
        <f>VLOOKUP(RIGHT(E1261,3)+0,SchLocTable!$A$2:$B$47,2,FALSE)</f>
        <v>Batalla</v>
      </c>
      <c r="B1261" s="207" t="str">
        <f>VLOOKUP(VALUE(D1261),$D$3:F$106,3,FALSE)</f>
        <v>Performing Arts</v>
      </c>
      <c r="C1261" s="751" t="s">
        <v>246</v>
      </c>
      <c r="D1261" s="751" t="s">
        <v>510</v>
      </c>
      <c r="E1261" s="751" t="s">
        <v>515</v>
      </c>
      <c r="F1261" s="751" t="s">
        <v>254</v>
      </c>
      <c r="G1261" s="752" t="s">
        <v>1681</v>
      </c>
      <c r="H1261" s="753">
        <v>52360</v>
      </c>
      <c r="I1261" s="754">
        <v>843.05</v>
      </c>
      <c r="J1261" s="754">
        <v>0</v>
      </c>
      <c r="K1261" s="754">
        <v>0</v>
      </c>
      <c r="L1261" s="754">
        <v>161.5</v>
      </c>
      <c r="M1261" s="754">
        <f t="shared" si="63"/>
        <v>161.5</v>
      </c>
      <c r="N1261" s="756">
        <v>843.05</v>
      </c>
      <c r="O1261" s="720">
        <f t="shared" si="64"/>
        <v>0</v>
      </c>
    </row>
    <row r="1262" spans="1:15" outlineLevel="2" x14ac:dyDescent="0.25">
      <c r="A1262" s="207" t="str">
        <f>VLOOKUP(RIGHT(E1262,3)+0,SchLocTable!$A$2:$B$47,2,FALSE)</f>
        <v>Batalla</v>
      </c>
      <c r="B1262" s="207" t="str">
        <f>VLOOKUP(VALUE(D1262),$D$3:F$106,3,FALSE)</f>
        <v>Performing Arts</v>
      </c>
      <c r="C1262" s="751" t="s">
        <v>246</v>
      </c>
      <c r="D1262" s="751" t="s">
        <v>510</v>
      </c>
      <c r="E1262" s="751" t="s">
        <v>515</v>
      </c>
      <c r="F1262" s="751" t="s">
        <v>292</v>
      </c>
      <c r="G1262" s="752" t="s">
        <v>1681</v>
      </c>
      <c r="H1262" s="753">
        <v>52385</v>
      </c>
      <c r="I1262" s="754">
        <v>0</v>
      </c>
      <c r="J1262" s="754">
        <v>0</v>
      </c>
      <c r="K1262" s="754">
        <v>0</v>
      </c>
      <c r="L1262" s="754">
        <v>0</v>
      </c>
      <c r="M1262" s="754">
        <f t="shared" si="63"/>
        <v>0</v>
      </c>
      <c r="N1262" s="756">
        <v>0</v>
      </c>
      <c r="O1262" s="720">
        <f t="shared" si="64"/>
        <v>0</v>
      </c>
    </row>
    <row r="1263" spans="1:15" outlineLevel="2" x14ac:dyDescent="0.25">
      <c r="A1263" s="207" t="str">
        <f>VLOOKUP(RIGHT(E1263,3)+0,SchLocTable!$A$2:$B$47,2,FALSE)</f>
        <v>Batalla</v>
      </c>
      <c r="B1263" s="207" t="str">
        <f>VLOOKUP(VALUE(D1263),$D$3:F$106,3,FALSE)</f>
        <v>Performing Arts</v>
      </c>
      <c r="C1263" s="751" t="s">
        <v>246</v>
      </c>
      <c r="D1263" s="751" t="s">
        <v>510</v>
      </c>
      <c r="E1263" s="751" t="s">
        <v>515</v>
      </c>
      <c r="F1263" s="751" t="s">
        <v>259</v>
      </c>
      <c r="G1263" s="752" t="s">
        <v>1681</v>
      </c>
      <c r="H1263" s="753">
        <v>52917</v>
      </c>
      <c r="I1263" s="754">
        <v>0</v>
      </c>
      <c r="J1263" s="754">
        <v>0</v>
      </c>
      <c r="K1263" s="754">
        <v>0</v>
      </c>
      <c r="L1263" s="754">
        <v>0</v>
      </c>
      <c r="M1263" s="754">
        <f t="shared" si="63"/>
        <v>0</v>
      </c>
      <c r="N1263" s="756">
        <v>0</v>
      </c>
      <c r="O1263" s="720">
        <f t="shared" si="64"/>
        <v>0</v>
      </c>
    </row>
    <row r="1264" spans="1:15" outlineLevel="2" x14ac:dyDescent="0.25">
      <c r="A1264" s="207" t="str">
        <f>VLOOKUP(RIGHT(E1264,3)+0,SchLocTable!$A$2:$B$47,2,FALSE)</f>
        <v>Park City Magnet</v>
      </c>
      <c r="B1264" s="207" t="str">
        <f>VLOOKUP(VALUE(D1264),$D$3:F$106,3,FALSE)</f>
        <v>Performing Arts</v>
      </c>
      <c r="C1264" s="751" t="s">
        <v>246</v>
      </c>
      <c r="D1264" s="751" t="s">
        <v>510</v>
      </c>
      <c r="E1264" s="751" t="s">
        <v>516</v>
      </c>
      <c r="F1264" s="751" t="s">
        <v>248</v>
      </c>
      <c r="G1264" s="752" t="s">
        <v>1681</v>
      </c>
      <c r="H1264" s="753">
        <v>51000</v>
      </c>
      <c r="I1264" s="754">
        <v>0</v>
      </c>
      <c r="J1264" s="754">
        <v>0</v>
      </c>
      <c r="K1264" s="754">
        <v>0</v>
      </c>
      <c r="L1264" s="754">
        <v>0</v>
      </c>
      <c r="M1264" s="754">
        <f t="shared" si="63"/>
        <v>0</v>
      </c>
      <c r="N1264" s="756">
        <v>0</v>
      </c>
      <c r="O1264" s="720">
        <f t="shared" si="64"/>
        <v>0</v>
      </c>
    </row>
    <row r="1265" spans="1:15" outlineLevel="2" x14ac:dyDescent="0.25">
      <c r="A1265" s="207" t="str">
        <f>VLOOKUP(RIGHT(E1265,3)+0,SchLocTable!$A$2:$B$47,2,FALSE)</f>
        <v>Park City Magnet</v>
      </c>
      <c r="B1265" s="207" t="str">
        <f>VLOOKUP(VALUE(D1265),$D$3:F$106,3,FALSE)</f>
        <v>Performing Arts</v>
      </c>
      <c r="C1265" s="751" t="s">
        <v>246</v>
      </c>
      <c r="D1265" s="751" t="s">
        <v>510</v>
      </c>
      <c r="E1265" s="751" t="s">
        <v>516</v>
      </c>
      <c r="F1265" s="751" t="s">
        <v>257</v>
      </c>
      <c r="G1265" s="752" t="s">
        <v>1681</v>
      </c>
      <c r="H1265" s="753">
        <v>51140</v>
      </c>
      <c r="I1265" s="754">
        <v>2600</v>
      </c>
      <c r="J1265" s="754">
        <v>0</v>
      </c>
      <c r="K1265" s="754">
        <v>0</v>
      </c>
      <c r="L1265" s="754">
        <v>0</v>
      </c>
      <c r="M1265" s="754">
        <f t="shared" si="63"/>
        <v>0</v>
      </c>
      <c r="N1265" s="756">
        <v>2600</v>
      </c>
      <c r="O1265" s="720">
        <f t="shared" si="64"/>
        <v>0</v>
      </c>
    </row>
    <row r="1266" spans="1:15" outlineLevel="2" x14ac:dyDescent="0.25">
      <c r="A1266" s="207" t="str">
        <f>VLOOKUP(RIGHT(E1266,3)+0,SchLocTable!$A$2:$B$47,2,FALSE)</f>
        <v>Park City Magnet</v>
      </c>
      <c r="B1266" s="207" t="str">
        <f>VLOOKUP(VALUE(D1266),$D$3:F$106,3,FALSE)</f>
        <v>Performing Arts</v>
      </c>
      <c r="C1266" s="751" t="s">
        <v>246</v>
      </c>
      <c r="D1266" s="751" t="s">
        <v>510</v>
      </c>
      <c r="E1266" s="751" t="s">
        <v>516</v>
      </c>
      <c r="F1266" s="751" t="s">
        <v>252</v>
      </c>
      <c r="G1266" s="752" t="s">
        <v>1681</v>
      </c>
      <c r="H1266" s="753">
        <v>51154</v>
      </c>
      <c r="I1266" s="754">
        <v>0</v>
      </c>
      <c r="J1266" s="754">
        <v>0</v>
      </c>
      <c r="K1266" s="754">
        <v>0</v>
      </c>
      <c r="L1266" s="754">
        <v>0</v>
      </c>
      <c r="M1266" s="754">
        <f t="shared" si="63"/>
        <v>0</v>
      </c>
      <c r="N1266" s="756">
        <v>0</v>
      </c>
      <c r="O1266" s="720">
        <f t="shared" si="64"/>
        <v>0</v>
      </c>
    </row>
    <row r="1267" spans="1:15" outlineLevel="2" x14ac:dyDescent="0.25">
      <c r="A1267" s="207" t="str">
        <f>VLOOKUP(RIGHT(E1267,3)+0,SchLocTable!$A$2:$B$47,2,FALSE)</f>
        <v>Park City Magnet</v>
      </c>
      <c r="B1267" s="207" t="str">
        <f>VLOOKUP(VALUE(D1267),$D$3:F$106,3,FALSE)</f>
        <v>Performing Arts</v>
      </c>
      <c r="C1267" s="751" t="s">
        <v>246</v>
      </c>
      <c r="D1267" s="751" t="s">
        <v>510</v>
      </c>
      <c r="E1267" s="751" t="s">
        <v>516</v>
      </c>
      <c r="F1267" s="751" t="s">
        <v>254</v>
      </c>
      <c r="G1267" s="752" t="s">
        <v>1681</v>
      </c>
      <c r="H1267" s="753">
        <v>52360</v>
      </c>
      <c r="I1267" s="754">
        <v>0</v>
      </c>
      <c r="J1267" s="754">
        <v>0</v>
      </c>
      <c r="K1267" s="754">
        <v>0</v>
      </c>
      <c r="L1267" s="754">
        <v>0</v>
      </c>
      <c r="M1267" s="754">
        <f t="shared" si="63"/>
        <v>0</v>
      </c>
      <c r="N1267" s="756">
        <v>0</v>
      </c>
      <c r="O1267" s="720">
        <f t="shared" si="64"/>
        <v>0</v>
      </c>
    </row>
    <row r="1268" spans="1:15" outlineLevel="2" x14ac:dyDescent="0.25">
      <c r="A1268" s="207" t="str">
        <f>VLOOKUP(RIGHT(E1268,3)+0,SchLocTable!$A$2:$B$47,2,FALSE)</f>
        <v>Park City Magnet</v>
      </c>
      <c r="B1268" s="207" t="str">
        <f>VLOOKUP(VALUE(D1268),$D$3:F$106,3,FALSE)</f>
        <v>Performing Arts</v>
      </c>
      <c r="C1268" s="751" t="s">
        <v>246</v>
      </c>
      <c r="D1268" s="751" t="s">
        <v>510</v>
      </c>
      <c r="E1268" s="751" t="s">
        <v>516</v>
      </c>
      <c r="F1268" s="751" t="s">
        <v>259</v>
      </c>
      <c r="G1268" s="752" t="s">
        <v>1681</v>
      </c>
      <c r="H1268" s="753">
        <v>52917</v>
      </c>
      <c r="I1268" s="754">
        <v>0</v>
      </c>
      <c r="J1268" s="754">
        <v>0</v>
      </c>
      <c r="K1268" s="754">
        <v>0</v>
      </c>
      <c r="L1268" s="754">
        <v>0</v>
      </c>
      <c r="M1268" s="754">
        <f t="shared" si="63"/>
        <v>0</v>
      </c>
      <c r="N1268" s="756">
        <v>0</v>
      </c>
      <c r="O1268" s="720">
        <f t="shared" si="64"/>
        <v>0</v>
      </c>
    </row>
    <row r="1269" spans="1:15" outlineLevel="2" x14ac:dyDescent="0.25">
      <c r="A1269" s="207" t="str">
        <f>VLOOKUP(RIGHT(E1269,3)+0,SchLocTable!$A$2:$B$47,2,FALSE)</f>
        <v>Madison</v>
      </c>
      <c r="B1269" s="207" t="str">
        <f>VLOOKUP(VALUE(D1269),$D$3:F$106,3,FALSE)</f>
        <v>Performing Arts</v>
      </c>
      <c r="C1269" s="751" t="s">
        <v>246</v>
      </c>
      <c r="D1269" s="751" t="s">
        <v>510</v>
      </c>
      <c r="E1269" s="751" t="s">
        <v>517</v>
      </c>
      <c r="F1269" s="751" t="s">
        <v>248</v>
      </c>
      <c r="G1269" s="752">
        <v>1</v>
      </c>
      <c r="H1269" s="753">
        <v>51000</v>
      </c>
      <c r="I1269" s="754">
        <v>57427.42</v>
      </c>
      <c r="J1269" s="754">
        <v>0</v>
      </c>
      <c r="K1269" s="754">
        <v>0</v>
      </c>
      <c r="L1269" s="754">
        <v>13298.62</v>
      </c>
      <c r="M1269" s="754">
        <f t="shared" si="63"/>
        <v>13298.62</v>
      </c>
      <c r="N1269" s="756">
        <v>57427.42</v>
      </c>
      <c r="O1269" s="720">
        <f t="shared" si="64"/>
        <v>0</v>
      </c>
    </row>
    <row r="1270" spans="1:15" outlineLevel="2" x14ac:dyDescent="0.25">
      <c r="A1270" s="207" t="str">
        <f>VLOOKUP(RIGHT(E1270,3)+0,SchLocTable!$A$2:$B$47,2,FALSE)</f>
        <v>Madison</v>
      </c>
      <c r="B1270" s="207" t="str">
        <f>VLOOKUP(VALUE(D1270),$D$3:F$106,3,FALSE)</f>
        <v>Performing Arts</v>
      </c>
      <c r="C1270" s="751" t="s">
        <v>246</v>
      </c>
      <c r="D1270" s="751" t="s">
        <v>510</v>
      </c>
      <c r="E1270" s="751" t="s">
        <v>517</v>
      </c>
      <c r="F1270" s="751" t="s">
        <v>254</v>
      </c>
      <c r="G1270" s="752" t="s">
        <v>1681</v>
      </c>
      <c r="H1270" s="753">
        <v>52360</v>
      </c>
      <c r="I1270" s="754">
        <v>832.7</v>
      </c>
      <c r="J1270" s="754">
        <v>0</v>
      </c>
      <c r="K1270" s="754">
        <v>0</v>
      </c>
      <c r="L1270" s="754">
        <v>192.83</v>
      </c>
      <c r="M1270" s="754">
        <f t="shared" si="63"/>
        <v>192.83</v>
      </c>
      <c r="N1270" s="756">
        <v>832.7</v>
      </c>
      <c r="O1270" s="720">
        <f t="shared" si="64"/>
        <v>0</v>
      </c>
    </row>
    <row r="1271" spans="1:15" outlineLevel="2" x14ac:dyDescent="0.25">
      <c r="A1271" s="207" t="str">
        <f>VLOOKUP(RIGHT(E1271,3)+0,SchLocTable!$A$2:$B$47,2,FALSE)</f>
        <v>Madison</v>
      </c>
      <c r="B1271" s="207" t="str">
        <f>VLOOKUP(VALUE(D1271),$D$3:F$106,3,FALSE)</f>
        <v>Performing Arts</v>
      </c>
      <c r="C1271" s="751" t="s">
        <v>246</v>
      </c>
      <c r="D1271" s="751" t="s">
        <v>510</v>
      </c>
      <c r="E1271" s="751" t="s">
        <v>517</v>
      </c>
      <c r="F1271" s="751" t="s">
        <v>292</v>
      </c>
      <c r="G1271" s="752" t="s">
        <v>1681</v>
      </c>
      <c r="H1271" s="753">
        <v>52385</v>
      </c>
      <c r="I1271" s="754">
        <v>248</v>
      </c>
      <c r="J1271" s="754">
        <v>0</v>
      </c>
      <c r="K1271" s="754">
        <v>0</v>
      </c>
      <c r="L1271" s="754">
        <v>248</v>
      </c>
      <c r="M1271" s="754">
        <f t="shared" si="63"/>
        <v>248</v>
      </c>
      <c r="N1271" s="756">
        <v>248</v>
      </c>
      <c r="O1271" s="720">
        <f t="shared" si="64"/>
        <v>0</v>
      </c>
    </row>
    <row r="1272" spans="1:15" outlineLevel="2" x14ac:dyDescent="0.25">
      <c r="A1272" s="207" t="str">
        <f>VLOOKUP(RIGHT(E1272,3)+0,SchLocTable!$A$2:$B$47,2,FALSE)</f>
        <v>Madison</v>
      </c>
      <c r="B1272" s="207" t="str">
        <f>VLOOKUP(VALUE(D1272),$D$3:F$106,3,FALSE)</f>
        <v>Performing Arts</v>
      </c>
      <c r="C1272" s="751" t="s">
        <v>246</v>
      </c>
      <c r="D1272" s="751" t="s">
        <v>510</v>
      </c>
      <c r="E1272" s="751" t="s">
        <v>517</v>
      </c>
      <c r="F1272" s="751" t="s">
        <v>259</v>
      </c>
      <c r="G1272" s="752" t="s">
        <v>1681</v>
      </c>
      <c r="H1272" s="753">
        <v>52917</v>
      </c>
      <c r="I1272" s="754">
        <v>0</v>
      </c>
      <c r="J1272" s="754">
        <v>0</v>
      </c>
      <c r="K1272" s="754">
        <v>0</v>
      </c>
      <c r="L1272" s="754">
        <v>0</v>
      </c>
      <c r="M1272" s="754">
        <f t="shared" si="63"/>
        <v>0</v>
      </c>
      <c r="N1272" s="756">
        <v>0</v>
      </c>
      <c r="O1272" s="720">
        <f t="shared" si="64"/>
        <v>0</v>
      </c>
    </row>
    <row r="1273" spans="1:15" outlineLevel="2" x14ac:dyDescent="0.25">
      <c r="A1273" s="207" t="str">
        <f>VLOOKUP(RIGHT(E1273,3)+0,SchLocTable!$A$2:$B$47,2,FALSE)</f>
        <v>Classical Studies Academy</v>
      </c>
      <c r="B1273" s="207" t="str">
        <f>VLOOKUP(VALUE(D1273),$D$3:F$106,3,FALSE)</f>
        <v>Performing Arts</v>
      </c>
      <c r="C1273" s="751" t="s">
        <v>246</v>
      </c>
      <c r="D1273" s="751" t="s">
        <v>510</v>
      </c>
      <c r="E1273" s="751" t="s">
        <v>518</v>
      </c>
      <c r="F1273" s="751" t="s">
        <v>248</v>
      </c>
      <c r="G1273" s="752" t="s">
        <v>1681</v>
      </c>
      <c r="H1273" s="753">
        <v>51000</v>
      </c>
      <c r="I1273" s="754">
        <v>0</v>
      </c>
      <c r="J1273" s="754">
        <v>0</v>
      </c>
      <c r="K1273" s="754">
        <v>0</v>
      </c>
      <c r="L1273" s="754">
        <v>0</v>
      </c>
      <c r="M1273" s="754">
        <f t="shared" si="63"/>
        <v>0</v>
      </c>
      <c r="N1273" s="756">
        <v>0</v>
      </c>
      <c r="O1273" s="720">
        <f t="shared" si="64"/>
        <v>0</v>
      </c>
    </row>
    <row r="1274" spans="1:15" outlineLevel="2" x14ac:dyDescent="0.25">
      <c r="A1274" s="207" t="str">
        <f>VLOOKUP(RIGHT(E1274,3)+0,SchLocTable!$A$2:$B$47,2,FALSE)</f>
        <v>Classical Studies Academy</v>
      </c>
      <c r="B1274" s="207" t="str">
        <f>VLOOKUP(VALUE(D1274),$D$3:F$106,3,FALSE)</f>
        <v>Performing Arts</v>
      </c>
      <c r="C1274" s="751" t="s">
        <v>246</v>
      </c>
      <c r="D1274" s="751" t="s">
        <v>510</v>
      </c>
      <c r="E1274" s="751" t="s">
        <v>518</v>
      </c>
      <c r="F1274" s="751" t="s">
        <v>454</v>
      </c>
      <c r="G1274" s="752" t="s">
        <v>1681</v>
      </c>
      <c r="H1274" s="753">
        <v>51404</v>
      </c>
      <c r="I1274" s="754">
        <v>0</v>
      </c>
      <c r="J1274" s="754">
        <v>0</v>
      </c>
      <c r="K1274" s="754">
        <v>0</v>
      </c>
      <c r="L1274" s="754">
        <v>0</v>
      </c>
      <c r="M1274" s="754">
        <f t="shared" si="63"/>
        <v>0</v>
      </c>
      <c r="N1274" s="756">
        <v>0</v>
      </c>
      <c r="O1274" s="720">
        <f t="shared" si="64"/>
        <v>0</v>
      </c>
    </row>
    <row r="1275" spans="1:15" outlineLevel="1" x14ac:dyDescent="0.25">
      <c r="A1275" s="207" t="str">
        <f>VLOOKUP(RIGHT(E1275,3)+0,SchLocTable!$A$2:$B$47,2,FALSE)</f>
        <v>Classical Studies Academy</v>
      </c>
      <c r="B1275" s="207" t="str">
        <f>VLOOKUP(VALUE(D1275),$D$3:F$106,3,FALSE)</f>
        <v>Performing Arts</v>
      </c>
      <c r="C1275" s="755" t="s">
        <v>246</v>
      </c>
      <c r="D1275" s="751" t="s">
        <v>510</v>
      </c>
      <c r="E1275" s="751" t="s">
        <v>518</v>
      </c>
      <c r="F1275" s="751" t="s">
        <v>254</v>
      </c>
      <c r="G1275" s="752" t="s">
        <v>1681</v>
      </c>
      <c r="H1275" s="753">
        <v>52360</v>
      </c>
      <c r="I1275" s="754">
        <v>0</v>
      </c>
      <c r="J1275" s="754">
        <v>0</v>
      </c>
      <c r="K1275" s="754">
        <v>0</v>
      </c>
      <c r="L1275" s="754">
        <v>0</v>
      </c>
      <c r="M1275" s="754">
        <f t="shared" si="63"/>
        <v>0</v>
      </c>
      <c r="N1275" s="756">
        <v>0</v>
      </c>
      <c r="O1275" s="720">
        <f t="shared" si="64"/>
        <v>0</v>
      </c>
    </row>
    <row r="1276" spans="1:15" outlineLevel="2" x14ac:dyDescent="0.25">
      <c r="A1276" s="207" t="str">
        <f>VLOOKUP(RIGHT(E1276,3)+0,SchLocTable!$A$2:$B$47,2,FALSE)</f>
        <v>Classical Studies Academy</v>
      </c>
      <c r="B1276" s="207" t="str">
        <f>VLOOKUP(VALUE(D1276),$D$3:F$106,3,FALSE)</f>
        <v>Performing Arts</v>
      </c>
      <c r="C1276" s="751" t="s">
        <v>246</v>
      </c>
      <c r="D1276" s="751" t="s">
        <v>510</v>
      </c>
      <c r="E1276" s="751" t="s">
        <v>518</v>
      </c>
      <c r="F1276" s="751" t="s">
        <v>259</v>
      </c>
      <c r="G1276" s="752" t="s">
        <v>1681</v>
      </c>
      <c r="H1276" s="753">
        <v>52917</v>
      </c>
      <c r="I1276" s="754">
        <v>0</v>
      </c>
      <c r="J1276" s="754">
        <v>0</v>
      </c>
      <c r="K1276" s="754">
        <v>0</v>
      </c>
      <c r="L1276" s="754">
        <v>0</v>
      </c>
      <c r="M1276" s="754">
        <f t="shared" si="63"/>
        <v>0</v>
      </c>
      <c r="N1276" s="756">
        <v>0</v>
      </c>
      <c r="O1276" s="720">
        <f t="shared" si="64"/>
        <v>0</v>
      </c>
    </row>
    <row r="1277" spans="1:15" outlineLevel="2" x14ac:dyDescent="0.25">
      <c r="A1277" s="207" t="str">
        <f>VLOOKUP(RIGHT(E1277,3)+0,SchLocTable!$A$2:$B$47,2,FALSE)</f>
        <v>Tisdale</v>
      </c>
      <c r="B1277" s="207" t="str">
        <f>VLOOKUP(VALUE(D1277),$D$3:F$106,3,FALSE)</f>
        <v>Performing Arts</v>
      </c>
      <c r="C1277" s="751" t="s">
        <v>246</v>
      </c>
      <c r="D1277" s="751" t="s">
        <v>510</v>
      </c>
      <c r="E1277" s="751" t="s">
        <v>519</v>
      </c>
      <c r="F1277" s="751" t="s">
        <v>248</v>
      </c>
      <c r="G1277" s="752" t="s">
        <v>1681</v>
      </c>
      <c r="H1277" s="753">
        <v>51000</v>
      </c>
      <c r="I1277" s="754">
        <v>0</v>
      </c>
      <c r="J1277" s="754">
        <v>0</v>
      </c>
      <c r="K1277" s="754">
        <v>0</v>
      </c>
      <c r="L1277" s="754">
        <v>0</v>
      </c>
      <c r="M1277" s="754">
        <f t="shared" si="63"/>
        <v>0</v>
      </c>
      <c r="N1277" s="756">
        <v>0</v>
      </c>
      <c r="O1277" s="720">
        <f t="shared" si="64"/>
        <v>0</v>
      </c>
    </row>
    <row r="1278" spans="1:15" outlineLevel="2" x14ac:dyDescent="0.25">
      <c r="A1278" s="207" t="str">
        <f>VLOOKUP(RIGHT(E1278,3)+0,SchLocTable!$A$2:$B$47,2,FALSE)</f>
        <v>Tisdale</v>
      </c>
      <c r="B1278" s="207" t="str">
        <f>VLOOKUP(VALUE(D1278),$D$3:F$106,3,FALSE)</f>
        <v>Performing Arts</v>
      </c>
      <c r="C1278" s="755" t="s">
        <v>246</v>
      </c>
      <c r="D1278" s="751" t="s">
        <v>510</v>
      </c>
      <c r="E1278" s="751" t="s">
        <v>519</v>
      </c>
      <c r="F1278" s="751" t="s">
        <v>254</v>
      </c>
      <c r="G1278" s="752" t="s">
        <v>1681</v>
      </c>
      <c r="H1278" s="753">
        <v>52360</v>
      </c>
      <c r="I1278" s="754">
        <v>0</v>
      </c>
      <c r="J1278" s="754">
        <v>0</v>
      </c>
      <c r="K1278" s="754">
        <v>0</v>
      </c>
      <c r="L1278" s="754">
        <v>0</v>
      </c>
      <c r="M1278" s="754">
        <f t="shared" si="63"/>
        <v>0</v>
      </c>
      <c r="N1278" s="756">
        <v>0</v>
      </c>
      <c r="O1278" s="720">
        <f t="shared" si="64"/>
        <v>0</v>
      </c>
    </row>
    <row r="1279" spans="1:15" outlineLevel="2" x14ac:dyDescent="0.25">
      <c r="A1279" s="207" t="str">
        <f>VLOOKUP(RIGHT(E1279,3)+0,SchLocTable!$A$2:$B$47,2,FALSE)</f>
        <v>Tisdale</v>
      </c>
      <c r="B1279" s="207" t="str">
        <f>VLOOKUP(VALUE(D1279),$D$3:F$106,3,FALSE)</f>
        <v>Performing Arts</v>
      </c>
      <c r="C1279" s="751" t="s">
        <v>246</v>
      </c>
      <c r="D1279" s="751" t="s">
        <v>510</v>
      </c>
      <c r="E1279" s="751" t="s">
        <v>519</v>
      </c>
      <c r="F1279" s="751" t="s">
        <v>292</v>
      </c>
      <c r="G1279" s="752" t="s">
        <v>1681</v>
      </c>
      <c r="H1279" s="753">
        <v>52385</v>
      </c>
      <c r="I1279" s="754">
        <v>0</v>
      </c>
      <c r="J1279" s="754">
        <v>0</v>
      </c>
      <c r="K1279" s="754">
        <v>0</v>
      </c>
      <c r="L1279" s="754">
        <v>0</v>
      </c>
      <c r="M1279" s="754">
        <f t="shared" ref="M1279:M1342" si="65">SUM(J1279:L1279)</f>
        <v>0</v>
      </c>
      <c r="N1279" s="756">
        <v>0</v>
      </c>
      <c r="O1279" s="720">
        <f t="shared" ref="O1279:O1342" si="66">I1279-N1279</f>
        <v>0</v>
      </c>
    </row>
    <row r="1280" spans="1:15" outlineLevel="2" x14ac:dyDescent="0.25">
      <c r="A1280" s="207" t="str">
        <f>VLOOKUP(RIGHT(E1280,3)+0,SchLocTable!$A$2:$B$47,2,FALSE)</f>
        <v>Tisdale</v>
      </c>
      <c r="B1280" s="207" t="str">
        <f>VLOOKUP(VALUE(D1280),$D$3:F$106,3,FALSE)</f>
        <v>Performing Arts</v>
      </c>
      <c r="C1280" s="751" t="s">
        <v>246</v>
      </c>
      <c r="D1280" s="751" t="s">
        <v>510</v>
      </c>
      <c r="E1280" s="751" t="s">
        <v>519</v>
      </c>
      <c r="F1280" s="751" t="s">
        <v>259</v>
      </c>
      <c r="G1280" s="752" t="s">
        <v>1681</v>
      </c>
      <c r="H1280" s="753">
        <v>52917</v>
      </c>
      <c r="I1280" s="754">
        <v>0</v>
      </c>
      <c r="J1280" s="754">
        <v>0</v>
      </c>
      <c r="K1280" s="754">
        <v>0</v>
      </c>
      <c r="L1280" s="754">
        <v>0</v>
      </c>
      <c r="M1280" s="754">
        <f t="shared" si="65"/>
        <v>0</v>
      </c>
      <c r="N1280" s="756">
        <v>0</v>
      </c>
      <c r="O1280" s="720">
        <f t="shared" si="66"/>
        <v>0</v>
      </c>
    </row>
    <row r="1281" spans="1:15" outlineLevel="2" x14ac:dyDescent="0.25">
      <c r="A1281" s="207" t="str">
        <f>VLOOKUP(RIGHT(E1281,3)+0,SchLocTable!$A$2:$B$47,2,FALSE)</f>
        <v>Read</v>
      </c>
      <c r="B1281" s="207" t="str">
        <f>VLOOKUP(VALUE(D1281),$D$3:F$106,3,FALSE)</f>
        <v>Performing Arts</v>
      </c>
      <c r="C1281" s="751" t="s">
        <v>246</v>
      </c>
      <c r="D1281" s="751" t="s">
        <v>510</v>
      </c>
      <c r="E1281" s="751" t="s">
        <v>520</v>
      </c>
      <c r="F1281" s="751" t="s">
        <v>248</v>
      </c>
      <c r="G1281" s="752">
        <v>1</v>
      </c>
      <c r="H1281" s="753">
        <v>51000</v>
      </c>
      <c r="I1281" s="754">
        <v>77802.06</v>
      </c>
      <c r="J1281" s="754">
        <v>0</v>
      </c>
      <c r="K1281" s="754">
        <v>0</v>
      </c>
      <c r="L1281" s="754">
        <v>18524.3</v>
      </c>
      <c r="M1281" s="754">
        <f t="shared" si="65"/>
        <v>18524.3</v>
      </c>
      <c r="N1281" s="756">
        <v>77802.06</v>
      </c>
      <c r="O1281" s="720">
        <f t="shared" si="66"/>
        <v>0</v>
      </c>
    </row>
    <row r="1282" spans="1:15" outlineLevel="2" x14ac:dyDescent="0.25">
      <c r="A1282" s="207" t="str">
        <f>VLOOKUP(RIGHT(E1282,3)+0,SchLocTable!$A$2:$B$47,2,FALSE)</f>
        <v>Read</v>
      </c>
      <c r="B1282" s="207" t="str">
        <f>VLOOKUP(VALUE(D1282),$D$3:F$106,3,FALSE)</f>
        <v>Performing Arts</v>
      </c>
      <c r="C1282" s="751" t="s">
        <v>246</v>
      </c>
      <c r="D1282" s="751" t="s">
        <v>510</v>
      </c>
      <c r="E1282" s="751" t="s">
        <v>520</v>
      </c>
      <c r="F1282" s="751" t="s">
        <v>254</v>
      </c>
      <c r="G1282" s="752" t="s">
        <v>1681</v>
      </c>
      <c r="H1282" s="753">
        <v>52360</v>
      </c>
      <c r="I1282" s="754">
        <v>1114.1099999999999</v>
      </c>
      <c r="J1282" s="754">
        <v>0</v>
      </c>
      <c r="K1282" s="754">
        <v>0</v>
      </c>
      <c r="L1282" s="754">
        <v>254.58</v>
      </c>
      <c r="M1282" s="754">
        <f t="shared" si="65"/>
        <v>254.58</v>
      </c>
      <c r="N1282" s="756">
        <v>1114.1099999999999</v>
      </c>
      <c r="O1282" s="720">
        <f t="shared" si="66"/>
        <v>0</v>
      </c>
    </row>
    <row r="1283" spans="1:15" outlineLevel="2" x14ac:dyDescent="0.25">
      <c r="A1283" s="207" t="str">
        <f>VLOOKUP(RIGHT(E1283,3)+0,SchLocTable!$A$2:$B$47,2,FALSE)</f>
        <v>Read</v>
      </c>
      <c r="B1283" s="207" t="str">
        <f>VLOOKUP(VALUE(D1283),$D$3:F$106,3,FALSE)</f>
        <v>Performing Arts</v>
      </c>
      <c r="C1283" s="751" t="s">
        <v>246</v>
      </c>
      <c r="D1283" s="751" t="s">
        <v>510</v>
      </c>
      <c r="E1283" s="751" t="s">
        <v>520</v>
      </c>
      <c r="F1283" s="751" t="s">
        <v>292</v>
      </c>
      <c r="G1283" s="752" t="s">
        <v>1681</v>
      </c>
      <c r="H1283" s="753">
        <v>52385</v>
      </c>
      <c r="I1283" s="754">
        <v>0</v>
      </c>
      <c r="J1283" s="754">
        <v>0</v>
      </c>
      <c r="K1283" s="754">
        <v>0</v>
      </c>
      <c r="L1283" s="754">
        <v>0</v>
      </c>
      <c r="M1283" s="754">
        <f t="shared" si="65"/>
        <v>0</v>
      </c>
      <c r="N1283" s="756">
        <v>0</v>
      </c>
      <c r="O1283" s="720">
        <f t="shared" si="66"/>
        <v>0</v>
      </c>
    </row>
    <row r="1284" spans="1:15" outlineLevel="2" x14ac:dyDescent="0.25">
      <c r="A1284" s="207" t="str">
        <f>VLOOKUP(RIGHT(E1284,3)+0,SchLocTable!$A$2:$B$47,2,FALSE)</f>
        <v>Read</v>
      </c>
      <c r="B1284" s="207" t="str">
        <f>VLOOKUP(VALUE(D1284),$D$3:F$106,3,FALSE)</f>
        <v>Performing Arts</v>
      </c>
      <c r="C1284" s="751" t="s">
        <v>246</v>
      </c>
      <c r="D1284" s="751" t="s">
        <v>510</v>
      </c>
      <c r="E1284" s="751" t="s">
        <v>520</v>
      </c>
      <c r="F1284" s="751" t="s">
        <v>259</v>
      </c>
      <c r="G1284" s="752" t="s">
        <v>1681</v>
      </c>
      <c r="H1284" s="753">
        <v>52917</v>
      </c>
      <c r="I1284" s="754">
        <v>11844</v>
      </c>
      <c r="J1284" s="754">
        <v>0</v>
      </c>
      <c r="K1284" s="754">
        <v>0</v>
      </c>
      <c r="L1284" s="754">
        <v>2820</v>
      </c>
      <c r="M1284" s="754">
        <f t="shared" si="65"/>
        <v>2820</v>
      </c>
      <c r="N1284" s="756">
        <v>11844</v>
      </c>
      <c r="O1284" s="720">
        <f t="shared" si="66"/>
        <v>0</v>
      </c>
    </row>
    <row r="1285" spans="1:15" outlineLevel="2" x14ac:dyDescent="0.25">
      <c r="A1285" s="207" t="str">
        <f>VLOOKUP(RIGHT(E1285,3)+0,SchLocTable!$A$2:$B$47,2,FALSE)</f>
        <v>Roosevelt</v>
      </c>
      <c r="B1285" s="207" t="str">
        <f>VLOOKUP(VALUE(D1285),$D$3:F$106,3,FALSE)</f>
        <v>Performing Arts</v>
      </c>
      <c r="C1285" s="751" t="s">
        <v>246</v>
      </c>
      <c r="D1285" s="751" t="s">
        <v>510</v>
      </c>
      <c r="E1285" s="751" t="s">
        <v>521</v>
      </c>
      <c r="F1285" s="751" t="s">
        <v>248</v>
      </c>
      <c r="G1285" s="752">
        <v>1</v>
      </c>
      <c r="H1285" s="753">
        <v>51000</v>
      </c>
      <c r="I1285" s="754">
        <v>52561.95</v>
      </c>
      <c r="J1285" s="754">
        <v>0</v>
      </c>
      <c r="K1285" s="754">
        <v>0</v>
      </c>
      <c r="L1285" s="754">
        <v>12514.75</v>
      </c>
      <c r="M1285" s="754">
        <f t="shared" si="65"/>
        <v>12514.75</v>
      </c>
      <c r="N1285" s="756">
        <v>52561.95</v>
      </c>
      <c r="O1285" s="720">
        <f t="shared" si="66"/>
        <v>0</v>
      </c>
    </row>
    <row r="1286" spans="1:15" outlineLevel="2" x14ac:dyDescent="0.25">
      <c r="A1286" s="207" t="str">
        <f>VLOOKUP(RIGHT(E1286,3)+0,SchLocTable!$A$2:$B$47,2,FALSE)</f>
        <v>Roosevelt</v>
      </c>
      <c r="B1286" s="207" t="str">
        <f>VLOOKUP(VALUE(D1286),$D$3:F$106,3,FALSE)</f>
        <v>Performing Arts</v>
      </c>
      <c r="C1286" s="751" t="s">
        <v>246</v>
      </c>
      <c r="D1286" s="751" t="s">
        <v>510</v>
      </c>
      <c r="E1286" s="751" t="s">
        <v>521</v>
      </c>
      <c r="F1286" s="751" t="s">
        <v>257</v>
      </c>
      <c r="G1286" s="752" t="s">
        <v>1681</v>
      </c>
      <c r="H1286" s="753">
        <v>51140</v>
      </c>
      <c r="I1286" s="754">
        <v>0</v>
      </c>
      <c r="J1286" s="754">
        <v>0</v>
      </c>
      <c r="K1286" s="754">
        <v>0</v>
      </c>
      <c r="L1286" s="754">
        <v>0</v>
      </c>
      <c r="M1286" s="754">
        <f t="shared" si="65"/>
        <v>0</v>
      </c>
      <c r="N1286" s="756">
        <v>0</v>
      </c>
      <c r="O1286" s="720">
        <f t="shared" si="66"/>
        <v>0</v>
      </c>
    </row>
    <row r="1287" spans="1:15" outlineLevel="2" x14ac:dyDescent="0.25">
      <c r="A1287" s="207" t="str">
        <f>VLOOKUP(RIGHT(E1287,3)+0,SchLocTable!$A$2:$B$47,2,FALSE)</f>
        <v>Roosevelt</v>
      </c>
      <c r="B1287" s="207" t="str">
        <f>VLOOKUP(VALUE(D1287),$D$3:F$106,3,FALSE)</f>
        <v>Performing Arts</v>
      </c>
      <c r="C1287" s="751" t="s">
        <v>246</v>
      </c>
      <c r="D1287" s="751" t="s">
        <v>510</v>
      </c>
      <c r="E1287" s="751" t="s">
        <v>521</v>
      </c>
      <c r="F1287" s="751" t="s">
        <v>254</v>
      </c>
      <c r="G1287" s="752" t="s">
        <v>1681</v>
      </c>
      <c r="H1287" s="753">
        <v>52360</v>
      </c>
      <c r="I1287" s="754">
        <v>762.14</v>
      </c>
      <c r="J1287" s="754">
        <v>0</v>
      </c>
      <c r="K1287" s="754">
        <v>0</v>
      </c>
      <c r="L1287" s="754">
        <v>181.46</v>
      </c>
      <c r="M1287" s="754">
        <f t="shared" si="65"/>
        <v>181.46</v>
      </c>
      <c r="N1287" s="756">
        <v>762.14</v>
      </c>
      <c r="O1287" s="720">
        <f t="shared" si="66"/>
        <v>0</v>
      </c>
    </row>
    <row r="1288" spans="1:15" outlineLevel="1" x14ac:dyDescent="0.25">
      <c r="A1288" s="207" t="str">
        <f>VLOOKUP(RIGHT(E1288,3)+0,SchLocTable!$A$2:$B$47,2,FALSE)</f>
        <v>Roosevelt</v>
      </c>
      <c r="B1288" s="207" t="str">
        <f>VLOOKUP(VALUE(D1288),$D$3:F$106,3,FALSE)</f>
        <v>Performing Arts</v>
      </c>
      <c r="C1288" s="755" t="s">
        <v>246</v>
      </c>
      <c r="D1288" s="751" t="s">
        <v>510</v>
      </c>
      <c r="E1288" s="751" t="s">
        <v>521</v>
      </c>
      <c r="F1288" s="751" t="s">
        <v>259</v>
      </c>
      <c r="G1288" s="752" t="s">
        <v>1681</v>
      </c>
      <c r="H1288" s="753">
        <v>52917</v>
      </c>
      <c r="I1288" s="754">
        <v>0</v>
      </c>
      <c r="J1288" s="754">
        <v>0</v>
      </c>
      <c r="K1288" s="754">
        <v>0</v>
      </c>
      <c r="L1288" s="754">
        <v>0</v>
      </c>
      <c r="M1288" s="754">
        <f t="shared" si="65"/>
        <v>0</v>
      </c>
      <c r="N1288" s="756">
        <v>0</v>
      </c>
      <c r="O1288" s="720">
        <f t="shared" si="66"/>
        <v>0</v>
      </c>
    </row>
    <row r="1289" spans="1:15" outlineLevel="2" x14ac:dyDescent="0.25">
      <c r="A1289" s="207" t="str">
        <f>VLOOKUP(RIGHT(E1289,3)+0,SchLocTable!$A$2:$B$47,2,FALSE)</f>
        <v>Waltersville</v>
      </c>
      <c r="B1289" s="207" t="str">
        <f>VLOOKUP(VALUE(D1289),$D$3:F$106,3,FALSE)</f>
        <v>Performing Arts</v>
      </c>
      <c r="C1289" s="751" t="s">
        <v>246</v>
      </c>
      <c r="D1289" s="751" t="s">
        <v>510</v>
      </c>
      <c r="E1289" s="751" t="s">
        <v>1484</v>
      </c>
      <c r="F1289" s="751" t="s">
        <v>248</v>
      </c>
      <c r="G1289" s="752" t="s">
        <v>1681</v>
      </c>
      <c r="H1289" s="753">
        <v>51000</v>
      </c>
      <c r="I1289" s="754">
        <v>0</v>
      </c>
      <c r="J1289" s="754">
        <v>0</v>
      </c>
      <c r="K1289" s="754">
        <v>0</v>
      </c>
      <c r="L1289" s="754">
        <v>0</v>
      </c>
      <c r="M1289" s="754">
        <f t="shared" si="65"/>
        <v>0</v>
      </c>
      <c r="N1289" s="756">
        <v>0</v>
      </c>
      <c r="O1289" s="720">
        <f t="shared" si="66"/>
        <v>0</v>
      </c>
    </row>
    <row r="1290" spans="1:15" outlineLevel="2" x14ac:dyDescent="0.25">
      <c r="A1290" s="207" t="str">
        <f>VLOOKUP(RIGHT(E1290,3)+0,SchLocTable!$A$2:$B$47,2,FALSE)</f>
        <v>Waltersville</v>
      </c>
      <c r="B1290" s="207" t="str">
        <f>VLOOKUP(VALUE(D1290),$D$3:F$106,3,FALSE)</f>
        <v>Performing Arts</v>
      </c>
      <c r="C1290" s="755" t="s">
        <v>246</v>
      </c>
      <c r="D1290" s="751" t="s">
        <v>510</v>
      </c>
      <c r="E1290" s="751" t="s">
        <v>1484</v>
      </c>
      <c r="F1290" s="751" t="s">
        <v>257</v>
      </c>
      <c r="G1290" s="752" t="s">
        <v>1681</v>
      </c>
      <c r="H1290" s="753">
        <v>51140</v>
      </c>
      <c r="I1290" s="754">
        <v>0</v>
      </c>
      <c r="J1290" s="754">
        <v>0</v>
      </c>
      <c r="K1290" s="754">
        <v>0</v>
      </c>
      <c r="L1290" s="754">
        <v>0</v>
      </c>
      <c r="M1290" s="754">
        <f t="shared" si="65"/>
        <v>0</v>
      </c>
      <c r="N1290" s="756">
        <v>0</v>
      </c>
      <c r="O1290" s="720">
        <f t="shared" si="66"/>
        <v>0</v>
      </c>
    </row>
    <row r="1291" spans="1:15" outlineLevel="2" x14ac:dyDescent="0.25">
      <c r="A1291" s="207" t="str">
        <f>VLOOKUP(RIGHT(E1291,3)+0,SchLocTable!$A$2:$B$47,2,FALSE)</f>
        <v>Waltersville</v>
      </c>
      <c r="B1291" s="207" t="str">
        <f>VLOOKUP(VALUE(D1291),$D$3:F$106,3,FALSE)</f>
        <v>Performing Arts</v>
      </c>
      <c r="C1291" s="751" t="s">
        <v>246</v>
      </c>
      <c r="D1291" s="751" t="s">
        <v>510</v>
      </c>
      <c r="E1291" s="751" t="s">
        <v>1484</v>
      </c>
      <c r="F1291" s="751" t="s">
        <v>254</v>
      </c>
      <c r="G1291" s="752" t="s">
        <v>1681</v>
      </c>
      <c r="H1291" s="753">
        <v>52360</v>
      </c>
      <c r="I1291" s="754">
        <v>0</v>
      </c>
      <c r="J1291" s="754">
        <v>0</v>
      </c>
      <c r="K1291" s="754">
        <v>0</v>
      </c>
      <c r="L1291" s="754">
        <v>0</v>
      </c>
      <c r="M1291" s="754">
        <f t="shared" si="65"/>
        <v>0</v>
      </c>
      <c r="N1291" s="756">
        <v>0</v>
      </c>
      <c r="O1291" s="720">
        <f t="shared" si="66"/>
        <v>0</v>
      </c>
    </row>
    <row r="1292" spans="1:15" outlineLevel="2" x14ac:dyDescent="0.25">
      <c r="A1292" s="207" t="str">
        <f>VLOOKUP(RIGHT(E1292,3)+0,SchLocTable!$A$2:$B$47,2,FALSE)</f>
        <v>Waltersville</v>
      </c>
      <c r="B1292" s="207" t="str">
        <f>VLOOKUP(VALUE(D1292),$D$3:F$106,3,FALSE)</f>
        <v>Performing Arts</v>
      </c>
      <c r="C1292" s="751" t="s">
        <v>246</v>
      </c>
      <c r="D1292" s="751" t="s">
        <v>510</v>
      </c>
      <c r="E1292" s="751" t="s">
        <v>1484</v>
      </c>
      <c r="F1292" s="751" t="s">
        <v>259</v>
      </c>
      <c r="G1292" s="752" t="s">
        <v>1681</v>
      </c>
      <c r="H1292" s="753">
        <v>52917</v>
      </c>
      <c r="I1292" s="754">
        <v>0</v>
      </c>
      <c r="J1292" s="754">
        <v>0</v>
      </c>
      <c r="K1292" s="754">
        <v>0</v>
      </c>
      <c r="L1292" s="754">
        <v>0</v>
      </c>
      <c r="M1292" s="754">
        <f t="shared" si="65"/>
        <v>0</v>
      </c>
      <c r="N1292" s="756">
        <v>0</v>
      </c>
      <c r="O1292" s="720">
        <f t="shared" si="66"/>
        <v>0</v>
      </c>
    </row>
    <row r="1293" spans="1:15" outlineLevel="2" x14ac:dyDescent="0.25">
      <c r="A1293" s="207" t="str">
        <f>VLOOKUP(RIGHT(E1293,3)+0,SchLocTable!$A$2:$B$47,2,FALSE)</f>
        <v>Claytor</v>
      </c>
      <c r="B1293" s="207" t="str">
        <f>VLOOKUP(VALUE(D1293),$D$3:F$106,3,FALSE)</f>
        <v>Performing Arts</v>
      </c>
      <c r="C1293" s="751" t="s">
        <v>246</v>
      </c>
      <c r="D1293" s="751" t="s">
        <v>510</v>
      </c>
      <c r="E1293" s="751" t="s">
        <v>1648</v>
      </c>
      <c r="F1293" s="751" t="s">
        <v>248</v>
      </c>
      <c r="G1293" s="752">
        <v>1</v>
      </c>
      <c r="H1293" s="753">
        <v>51000</v>
      </c>
      <c r="I1293" s="754">
        <v>49225</v>
      </c>
      <c r="J1293" s="754">
        <v>0</v>
      </c>
      <c r="K1293" s="754">
        <v>0</v>
      </c>
      <c r="L1293" s="754">
        <v>8500</v>
      </c>
      <c r="M1293" s="754">
        <f t="shared" si="65"/>
        <v>8500</v>
      </c>
      <c r="N1293" s="756">
        <v>49225</v>
      </c>
      <c r="O1293" s="720">
        <f t="shared" si="66"/>
        <v>0</v>
      </c>
    </row>
    <row r="1294" spans="1:15" outlineLevel="1" x14ac:dyDescent="0.25">
      <c r="A1294" s="207" t="str">
        <f>VLOOKUP(RIGHT(E1294,3)+0,SchLocTable!$A$2:$B$47,2,FALSE)</f>
        <v>Claytor</v>
      </c>
      <c r="B1294" s="207" t="str">
        <f>VLOOKUP(VALUE(D1294),$D$3:F$106,3,FALSE)</f>
        <v>Performing Arts</v>
      </c>
      <c r="C1294" s="751" t="s">
        <v>246</v>
      </c>
      <c r="D1294" s="751" t="s">
        <v>510</v>
      </c>
      <c r="E1294" s="751" t="s">
        <v>1648</v>
      </c>
      <c r="F1294" s="751" t="s">
        <v>254</v>
      </c>
      <c r="G1294" s="752" t="s">
        <v>1681</v>
      </c>
      <c r="H1294" s="753">
        <v>52360</v>
      </c>
      <c r="I1294" s="754">
        <v>713.76</v>
      </c>
      <c r="J1294" s="754">
        <v>0</v>
      </c>
      <c r="K1294" s="754">
        <v>0</v>
      </c>
      <c r="L1294" s="754">
        <v>123.25</v>
      </c>
      <c r="M1294" s="754">
        <f t="shared" si="65"/>
        <v>123.25</v>
      </c>
      <c r="N1294" s="756">
        <v>713.76</v>
      </c>
      <c r="O1294" s="720">
        <f t="shared" si="66"/>
        <v>0</v>
      </c>
    </row>
    <row r="1295" spans="1:15" outlineLevel="2" x14ac:dyDescent="0.25">
      <c r="A1295" s="207" t="str">
        <f>VLOOKUP(RIGHT(E1295,3)+0,SchLocTable!$A$2:$B$47,2,FALSE)</f>
        <v>Claytor</v>
      </c>
      <c r="B1295" s="207" t="str">
        <f>VLOOKUP(VALUE(D1295),$D$3:F$106,3,FALSE)</f>
        <v>Performing Arts</v>
      </c>
      <c r="C1295" s="751" t="s">
        <v>246</v>
      </c>
      <c r="D1295" s="751" t="s">
        <v>510</v>
      </c>
      <c r="E1295" s="751" t="s">
        <v>1648</v>
      </c>
      <c r="F1295" s="751" t="s">
        <v>292</v>
      </c>
      <c r="G1295" s="752" t="s">
        <v>1681</v>
      </c>
      <c r="H1295" s="753">
        <v>52385</v>
      </c>
      <c r="I1295" s="754">
        <v>3051.95</v>
      </c>
      <c r="J1295" s="754">
        <v>0</v>
      </c>
      <c r="K1295" s="754">
        <v>0</v>
      </c>
      <c r="L1295" s="754">
        <v>527</v>
      </c>
      <c r="M1295" s="754">
        <f t="shared" si="65"/>
        <v>527</v>
      </c>
      <c r="N1295" s="756">
        <v>3051.95</v>
      </c>
      <c r="O1295" s="720">
        <f t="shared" si="66"/>
        <v>0</v>
      </c>
    </row>
    <row r="1296" spans="1:15" outlineLevel="2" x14ac:dyDescent="0.25">
      <c r="A1296" s="207" t="str">
        <f>VLOOKUP(RIGHT(E1296,3)+0,SchLocTable!$A$2:$B$47,2,FALSE)</f>
        <v>Johnson</v>
      </c>
      <c r="B1296" s="207" t="str">
        <f>VLOOKUP(VALUE(D1296),$D$3:F$106,3,FALSE)</f>
        <v>Performing Arts</v>
      </c>
      <c r="C1296" s="751" t="s">
        <v>246</v>
      </c>
      <c r="D1296" s="751" t="s">
        <v>510</v>
      </c>
      <c r="E1296" s="751" t="s">
        <v>1996</v>
      </c>
      <c r="F1296" s="751" t="s">
        <v>248</v>
      </c>
      <c r="G1296" s="752">
        <v>1</v>
      </c>
      <c r="H1296" s="753">
        <v>51000</v>
      </c>
      <c r="I1296" s="754">
        <v>70291.22</v>
      </c>
      <c r="J1296" s="754">
        <v>0</v>
      </c>
      <c r="K1296" s="754">
        <v>0</v>
      </c>
      <c r="L1296" s="754">
        <v>13465.75</v>
      </c>
      <c r="M1296" s="754">
        <f t="shared" si="65"/>
        <v>13465.75</v>
      </c>
      <c r="N1296" s="756">
        <v>70291.22</v>
      </c>
      <c r="O1296" s="720">
        <f t="shared" si="66"/>
        <v>0</v>
      </c>
    </row>
    <row r="1297" spans="1:15" outlineLevel="2" x14ac:dyDescent="0.25">
      <c r="A1297" s="207" t="str">
        <f>VLOOKUP(RIGHT(E1297,3)+0,SchLocTable!$A$2:$B$47,2,FALSE)</f>
        <v>Johnson</v>
      </c>
      <c r="B1297" s="207" t="str">
        <f>VLOOKUP(VALUE(D1297),$D$3:F$106,3,FALSE)</f>
        <v>Performing Arts</v>
      </c>
      <c r="C1297" s="755" t="s">
        <v>246</v>
      </c>
      <c r="D1297" s="751" t="s">
        <v>510</v>
      </c>
      <c r="E1297" s="751" t="s">
        <v>1996</v>
      </c>
      <c r="F1297" s="751" t="s">
        <v>254</v>
      </c>
      <c r="G1297" s="752" t="s">
        <v>1681</v>
      </c>
      <c r="H1297" s="753">
        <v>52360</v>
      </c>
      <c r="I1297" s="754">
        <v>1007.19</v>
      </c>
      <c r="J1297" s="754">
        <v>0</v>
      </c>
      <c r="K1297" s="754">
        <v>0</v>
      </c>
      <c r="L1297" s="754">
        <v>183.22</v>
      </c>
      <c r="M1297" s="754">
        <f t="shared" si="65"/>
        <v>183.22</v>
      </c>
      <c r="N1297" s="756">
        <v>1007.19</v>
      </c>
      <c r="O1297" s="720">
        <f t="shared" si="66"/>
        <v>0</v>
      </c>
    </row>
    <row r="1298" spans="1:15" outlineLevel="2" x14ac:dyDescent="0.25">
      <c r="A1298" s="207" t="str">
        <f>VLOOKUP(RIGHT(E1298,3)+0,SchLocTable!$A$2:$B$47,2,FALSE)</f>
        <v>Johnson</v>
      </c>
      <c r="B1298" s="207" t="str">
        <f>VLOOKUP(VALUE(D1298),$D$3:F$106,3,FALSE)</f>
        <v>Performing Arts</v>
      </c>
      <c r="C1298" s="751" t="s">
        <v>246</v>
      </c>
      <c r="D1298" s="751" t="s">
        <v>510</v>
      </c>
      <c r="E1298" s="751" t="s">
        <v>1996</v>
      </c>
      <c r="F1298" s="751" t="s">
        <v>259</v>
      </c>
      <c r="G1298" s="752" t="s">
        <v>1681</v>
      </c>
      <c r="H1298" s="753">
        <v>52917</v>
      </c>
      <c r="I1298" s="754">
        <v>11844</v>
      </c>
      <c r="J1298" s="754">
        <v>0</v>
      </c>
      <c r="K1298" s="754">
        <v>0</v>
      </c>
      <c r="L1298" s="754">
        <v>2820</v>
      </c>
      <c r="M1298" s="754">
        <f t="shared" si="65"/>
        <v>2820</v>
      </c>
      <c r="N1298" s="756">
        <v>11844</v>
      </c>
      <c r="O1298" s="720">
        <f t="shared" si="66"/>
        <v>0</v>
      </c>
    </row>
    <row r="1299" spans="1:15" outlineLevel="2" x14ac:dyDescent="0.25">
      <c r="A1299" s="207" t="str">
        <f>VLOOKUP(RIGHT(E1299,3)+0,SchLocTable!$A$2:$B$47,2,FALSE)</f>
        <v>Winthrop</v>
      </c>
      <c r="B1299" s="207" t="str">
        <f>VLOOKUP(VALUE(D1299),$D$3:F$106,3,FALSE)</f>
        <v>Performing Arts</v>
      </c>
      <c r="C1299" s="751" t="s">
        <v>246</v>
      </c>
      <c r="D1299" s="751" t="s">
        <v>510</v>
      </c>
      <c r="E1299" s="751" t="s">
        <v>522</v>
      </c>
      <c r="F1299" s="751" t="s">
        <v>248</v>
      </c>
      <c r="G1299" s="752">
        <v>1</v>
      </c>
      <c r="H1299" s="753">
        <v>51000</v>
      </c>
      <c r="I1299" s="754">
        <v>81676.03</v>
      </c>
      <c r="J1299" s="754">
        <v>0</v>
      </c>
      <c r="K1299" s="754">
        <v>0</v>
      </c>
      <c r="L1299" s="754">
        <v>15646.75</v>
      </c>
      <c r="M1299" s="754">
        <f t="shared" si="65"/>
        <v>15646.75</v>
      </c>
      <c r="N1299" s="756">
        <v>81676.03</v>
      </c>
      <c r="O1299" s="720">
        <f t="shared" si="66"/>
        <v>0</v>
      </c>
    </row>
    <row r="1300" spans="1:15" outlineLevel="2" x14ac:dyDescent="0.25">
      <c r="A1300" s="207" t="str">
        <f>VLOOKUP(RIGHT(E1300,3)+0,SchLocTable!$A$2:$B$47,2,FALSE)</f>
        <v>Winthrop</v>
      </c>
      <c r="B1300" s="207" t="str">
        <f>VLOOKUP(VALUE(D1300),$D$3:F$106,3,FALSE)</f>
        <v>Performing Arts</v>
      </c>
      <c r="C1300" s="751" t="s">
        <v>246</v>
      </c>
      <c r="D1300" s="751" t="s">
        <v>510</v>
      </c>
      <c r="E1300" s="751" t="s">
        <v>522</v>
      </c>
      <c r="F1300" s="751" t="s">
        <v>257</v>
      </c>
      <c r="G1300" s="752" t="s">
        <v>1681</v>
      </c>
      <c r="H1300" s="753">
        <v>51140</v>
      </c>
      <c r="I1300" s="754">
        <v>0</v>
      </c>
      <c r="J1300" s="754">
        <v>0</v>
      </c>
      <c r="K1300" s="754">
        <v>0</v>
      </c>
      <c r="L1300" s="754">
        <v>0</v>
      </c>
      <c r="M1300" s="754">
        <f t="shared" si="65"/>
        <v>0</v>
      </c>
      <c r="N1300" s="756">
        <v>0</v>
      </c>
      <c r="O1300" s="720">
        <f t="shared" si="66"/>
        <v>0</v>
      </c>
    </row>
    <row r="1301" spans="1:15" outlineLevel="2" x14ac:dyDescent="0.25">
      <c r="A1301" s="207" t="str">
        <f>VLOOKUP(RIGHT(E1301,3)+0,SchLocTable!$A$2:$B$47,2,FALSE)</f>
        <v>Winthrop</v>
      </c>
      <c r="B1301" s="207" t="str">
        <f>VLOOKUP(VALUE(D1301),$D$3:F$106,3,FALSE)</f>
        <v>Performing Arts</v>
      </c>
      <c r="C1301" s="751" t="s">
        <v>246</v>
      </c>
      <c r="D1301" s="751" t="s">
        <v>510</v>
      </c>
      <c r="E1301" s="751" t="s">
        <v>522</v>
      </c>
      <c r="F1301" s="751" t="s">
        <v>254</v>
      </c>
      <c r="G1301" s="752" t="s">
        <v>1681</v>
      </c>
      <c r="H1301" s="753">
        <v>52360</v>
      </c>
      <c r="I1301" s="754">
        <v>1148.6500000000001</v>
      </c>
      <c r="J1301" s="754">
        <v>0</v>
      </c>
      <c r="K1301" s="754">
        <v>0</v>
      </c>
      <c r="L1301" s="754">
        <v>191.23</v>
      </c>
      <c r="M1301" s="754">
        <f t="shared" si="65"/>
        <v>191.23</v>
      </c>
      <c r="N1301" s="756">
        <v>1148.6500000000001</v>
      </c>
      <c r="O1301" s="720">
        <f t="shared" si="66"/>
        <v>0</v>
      </c>
    </row>
    <row r="1302" spans="1:15" outlineLevel="2" x14ac:dyDescent="0.25">
      <c r="A1302" s="207" t="str">
        <f>VLOOKUP(RIGHT(E1302,3)+0,SchLocTable!$A$2:$B$47,2,FALSE)</f>
        <v>Winthrop</v>
      </c>
      <c r="B1302" s="207" t="str">
        <f>VLOOKUP(VALUE(D1302),$D$3:F$106,3,FALSE)</f>
        <v>Performing Arts</v>
      </c>
      <c r="C1302" s="751" t="s">
        <v>246</v>
      </c>
      <c r="D1302" s="751" t="s">
        <v>510</v>
      </c>
      <c r="E1302" s="751" t="s">
        <v>522</v>
      </c>
      <c r="F1302" s="751" t="s">
        <v>259</v>
      </c>
      <c r="G1302" s="752" t="s">
        <v>1681</v>
      </c>
      <c r="H1302" s="753">
        <v>52917</v>
      </c>
      <c r="I1302" s="754">
        <v>35075.879999999997</v>
      </c>
      <c r="J1302" s="754">
        <v>0</v>
      </c>
      <c r="K1302" s="754">
        <v>0</v>
      </c>
      <c r="L1302" s="754">
        <v>8351.4</v>
      </c>
      <c r="M1302" s="754">
        <f t="shared" si="65"/>
        <v>8351.4</v>
      </c>
      <c r="N1302" s="756">
        <v>35075.879999999997</v>
      </c>
      <c r="O1302" s="720">
        <f t="shared" si="66"/>
        <v>0</v>
      </c>
    </row>
    <row r="1303" spans="1:15" outlineLevel="2" x14ac:dyDescent="0.25">
      <c r="A1303" s="207" t="str">
        <f>VLOOKUP(RIGHT(E1303,3)+0,SchLocTable!$A$2:$B$47,2,FALSE)</f>
        <v>Cross</v>
      </c>
      <c r="B1303" s="207" t="str">
        <f>VLOOKUP(VALUE(D1303),$D$3:F$106,3,FALSE)</f>
        <v>Performing Arts</v>
      </c>
      <c r="C1303" s="751" t="s">
        <v>246</v>
      </c>
      <c r="D1303" s="751" t="s">
        <v>510</v>
      </c>
      <c r="E1303" s="751" t="s">
        <v>523</v>
      </c>
      <c r="F1303" s="751" t="s">
        <v>248</v>
      </c>
      <c r="G1303" s="752">
        <v>1</v>
      </c>
      <c r="H1303" s="753">
        <v>51000</v>
      </c>
      <c r="I1303" s="754">
        <v>58141.67</v>
      </c>
      <c r="J1303" s="754">
        <v>0</v>
      </c>
      <c r="K1303" s="754">
        <v>0</v>
      </c>
      <c r="L1303" s="754">
        <v>11138.25</v>
      </c>
      <c r="M1303" s="754">
        <f t="shared" si="65"/>
        <v>11138.25</v>
      </c>
      <c r="N1303" s="756">
        <v>58141.67</v>
      </c>
      <c r="O1303" s="720">
        <f t="shared" si="66"/>
        <v>0</v>
      </c>
    </row>
    <row r="1304" spans="1:15" outlineLevel="2" x14ac:dyDescent="0.25">
      <c r="A1304" s="207" t="str">
        <f>VLOOKUP(RIGHT(E1304,3)+0,SchLocTable!$A$2:$B$47,2,FALSE)</f>
        <v>Cross</v>
      </c>
      <c r="B1304" s="207" t="str">
        <f>VLOOKUP(VALUE(D1304),$D$3:F$106,3,FALSE)</f>
        <v>Performing Arts</v>
      </c>
      <c r="C1304" s="751" t="s">
        <v>246</v>
      </c>
      <c r="D1304" s="751" t="s">
        <v>510</v>
      </c>
      <c r="E1304" s="751" t="s">
        <v>523</v>
      </c>
      <c r="F1304" s="751" t="s">
        <v>254</v>
      </c>
      <c r="G1304" s="752" t="s">
        <v>1681</v>
      </c>
      <c r="H1304" s="753">
        <v>52360</v>
      </c>
      <c r="I1304" s="754">
        <v>831.07</v>
      </c>
      <c r="J1304" s="754">
        <v>0</v>
      </c>
      <c r="K1304" s="754">
        <v>0</v>
      </c>
      <c r="L1304" s="754">
        <v>149.52000000000001</v>
      </c>
      <c r="M1304" s="754">
        <f t="shared" si="65"/>
        <v>149.52000000000001</v>
      </c>
      <c r="N1304" s="756">
        <v>831.07</v>
      </c>
      <c r="O1304" s="720">
        <f t="shared" si="66"/>
        <v>0</v>
      </c>
    </row>
    <row r="1305" spans="1:15" outlineLevel="2" x14ac:dyDescent="0.25">
      <c r="A1305" s="207" t="str">
        <f>VLOOKUP(RIGHT(E1305,3)+0,SchLocTable!$A$2:$B$47,2,FALSE)</f>
        <v>Cross</v>
      </c>
      <c r="B1305" s="207" t="str">
        <f>VLOOKUP(VALUE(D1305),$D$3:F$106,3,FALSE)</f>
        <v>Performing Arts</v>
      </c>
      <c r="C1305" s="751" t="s">
        <v>246</v>
      </c>
      <c r="D1305" s="751" t="s">
        <v>510</v>
      </c>
      <c r="E1305" s="751" t="s">
        <v>523</v>
      </c>
      <c r="F1305" s="751" t="s">
        <v>259</v>
      </c>
      <c r="G1305" s="752" t="s">
        <v>1681</v>
      </c>
      <c r="H1305" s="753">
        <v>52917</v>
      </c>
      <c r="I1305" s="754">
        <v>11747.4</v>
      </c>
      <c r="J1305" s="754">
        <v>0</v>
      </c>
      <c r="K1305" s="754">
        <v>0</v>
      </c>
      <c r="L1305" s="754">
        <v>2797</v>
      </c>
      <c r="M1305" s="754">
        <f t="shared" si="65"/>
        <v>2797</v>
      </c>
      <c r="N1305" s="756">
        <v>11747.4</v>
      </c>
      <c r="O1305" s="720">
        <f t="shared" si="66"/>
        <v>0</v>
      </c>
    </row>
    <row r="1306" spans="1:15" outlineLevel="2" x14ac:dyDescent="0.25">
      <c r="A1306" s="207" t="str">
        <f>VLOOKUP(RIGHT(E1306,3)+0,SchLocTable!$A$2:$B$47,2,FALSE)</f>
        <v>Blackham</v>
      </c>
      <c r="B1306" s="207" t="str">
        <f>VLOOKUP(VALUE(D1306),$D$3:F$106,3,FALSE)</f>
        <v>Performing Arts</v>
      </c>
      <c r="C1306" s="751" t="s">
        <v>246</v>
      </c>
      <c r="D1306" s="751" t="s">
        <v>510</v>
      </c>
      <c r="E1306" s="751" t="s">
        <v>524</v>
      </c>
      <c r="F1306" s="751" t="s">
        <v>248</v>
      </c>
      <c r="G1306" s="752">
        <v>3</v>
      </c>
      <c r="H1306" s="753">
        <v>51000</v>
      </c>
      <c r="I1306" s="754">
        <v>213836.54</v>
      </c>
      <c r="J1306" s="754">
        <v>0</v>
      </c>
      <c r="K1306" s="754">
        <v>0</v>
      </c>
      <c r="L1306" s="754">
        <v>43659.5</v>
      </c>
      <c r="M1306" s="754">
        <f t="shared" si="65"/>
        <v>43659.5</v>
      </c>
      <c r="N1306" s="756">
        <v>213836.54</v>
      </c>
      <c r="O1306" s="720">
        <f t="shared" si="66"/>
        <v>0</v>
      </c>
    </row>
    <row r="1307" spans="1:15" outlineLevel="2" x14ac:dyDescent="0.25">
      <c r="A1307" s="207" t="str">
        <f>VLOOKUP(RIGHT(E1307,3)+0,SchLocTable!$A$2:$B$47,2,FALSE)</f>
        <v>Blackham</v>
      </c>
      <c r="B1307" s="207" t="str">
        <f>VLOOKUP(VALUE(D1307),$D$3:F$106,3,FALSE)</f>
        <v>Performing Arts</v>
      </c>
      <c r="C1307" s="751" t="s">
        <v>246</v>
      </c>
      <c r="D1307" s="751" t="s">
        <v>510</v>
      </c>
      <c r="E1307" s="751" t="s">
        <v>524</v>
      </c>
      <c r="F1307" s="751" t="s">
        <v>257</v>
      </c>
      <c r="G1307" s="752" t="s">
        <v>1681</v>
      </c>
      <c r="H1307" s="753">
        <v>51140</v>
      </c>
      <c r="I1307" s="754">
        <v>1100</v>
      </c>
      <c r="J1307" s="754">
        <v>0</v>
      </c>
      <c r="K1307" s="754">
        <v>0</v>
      </c>
      <c r="L1307" s="754">
        <v>0</v>
      </c>
      <c r="M1307" s="754">
        <f t="shared" si="65"/>
        <v>0</v>
      </c>
      <c r="N1307" s="756">
        <v>1100</v>
      </c>
      <c r="O1307" s="720">
        <f t="shared" si="66"/>
        <v>0</v>
      </c>
    </row>
    <row r="1308" spans="1:15" outlineLevel="2" x14ac:dyDescent="0.25">
      <c r="A1308" s="207" t="str">
        <f>VLOOKUP(RIGHT(E1308,3)+0,SchLocTable!$A$2:$B$47,2,FALSE)</f>
        <v>Blackham</v>
      </c>
      <c r="B1308" s="207" t="str">
        <f>VLOOKUP(VALUE(D1308),$D$3:F$106,3,FALSE)</f>
        <v>Performing Arts</v>
      </c>
      <c r="C1308" s="751" t="s">
        <v>246</v>
      </c>
      <c r="D1308" s="751" t="s">
        <v>510</v>
      </c>
      <c r="E1308" s="751" t="s">
        <v>524</v>
      </c>
      <c r="F1308" s="751" t="s">
        <v>254</v>
      </c>
      <c r="G1308" s="752" t="s">
        <v>1681</v>
      </c>
      <c r="H1308" s="753">
        <v>52360</v>
      </c>
      <c r="I1308" s="754">
        <v>3040.97</v>
      </c>
      <c r="J1308" s="754">
        <v>0</v>
      </c>
      <c r="K1308" s="754">
        <v>0</v>
      </c>
      <c r="L1308" s="754">
        <v>573.4</v>
      </c>
      <c r="M1308" s="754">
        <f t="shared" si="65"/>
        <v>573.4</v>
      </c>
      <c r="N1308" s="756">
        <v>3040.97</v>
      </c>
      <c r="O1308" s="720">
        <f t="shared" si="66"/>
        <v>0</v>
      </c>
    </row>
    <row r="1309" spans="1:15" outlineLevel="2" x14ac:dyDescent="0.25">
      <c r="A1309" s="207" t="str">
        <f>VLOOKUP(RIGHT(E1309,3)+0,SchLocTable!$A$2:$B$47,2,FALSE)</f>
        <v>Blackham</v>
      </c>
      <c r="B1309" s="207" t="str">
        <f>VLOOKUP(VALUE(D1309),$D$3:F$106,3,FALSE)</f>
        <v>Performing Arts</v>
      </c>
      <c r="C1309" s="751" t="s">
        <v>246</v>
      </c>
      <c r="D1309" s="751" t="s">
        <v>510</v>
      </c>
      <c r="E1309" s="751" t="s">
        <v>524</v>
      </c>
      <c r="F1309" s="751" t="s">
        <v>292</v>
      </c>
      <c r="G1309" s="752" t="s">
        <v>1681</v>
      </c>
      <c r="H1309" s="753">
        <v>52385</v>
      </c>
      <c r="I1309" s="754">
        <v>0</v>
      </c>
      <c r="J1309" s="754">
        <v>0</v>
      </c>
      <c r="K1309" s="754">
        <v>0</v>
      </c>
      <c r="L1309" s="754">
        <v>0</v>
      </c>
      <c r="M1309" s="754">
        <f t="shared" si="65"/>
        <v>0</v>
      </c>
      <c r="N1309" s="756">
        <v>0</v>
      </c>
      <c r="O1309" s="720">
        <f t="shared" si="66"/>
        <v>0</v>
      </c>
    </row>
    <row r="1310" spans="1:15" outlineLevel="2" x14ac:dyDescent="0.25">
      <c r="A1310" s="207" t="str">
        <f>VLOOKUP(RIGHT(E1310,3)+0,SchLocTable!$A$2:$B$47,2,FALSE)</f>
        <v>Blackham</v>
      </c>
      <c r="B1310" s="207" t="str">
        <f>VLOOKUP(VALUE(D1310),$D$3:F$106,3,FALSE)</f>
        <v>Performing Arts</v>
      </c>
      <c r="C1310" s="751" t="s">
        <v>246</v>
      </c>
      <c r="D1310" s="751" t="s">
        <v>510</v>
      </c>
      <c r="E1310" s="751" t="s">
        <v>524</v>
      </c>
      <c r="F1310" s="751" t="s">
        <v>259</v>
      </c>
      <c r="G1310" s="752" t="s">
        <v>1681</v>
      </c>
      <c r="H1310" s="753">
        <v>52917</v>
      </c>
      <c r="I1310" s="754">
        <v>58667.28</v>
      </c>
      <c r="J1310" s="754">
        <v>0</v>
      </c>
      <c r="K1310" s="754">
        <v>0</v>
      </c>
      <c r="L1310" s="754">
        <v>13968.4</v>
      </c>
      <c r="M1310" s="754">
        <f t="shared" si="65"/>
        <v>13968.4</v>
      </c>
      <c r="N1310" s="756">
        <v>58667.28</v>
      </c>
      <c r="O1310" s="720">
        <f t="shared" si="66"/>
        <v>0</v>
      </c>
    </row>
    <row r="1311" spans="1:15" outlineLevel="2" x14ac:dyDescent="0.25">
      <c r="A1311" s="207" t="str">
        <f>VLOOKUP(RIGHT(E1311,3)+0,SchLocTable!$A$2:$B$47,2,FALSE)</f>
        <v>Dunbar</v>
      </c>
      <c r="B1311" s="207" t="str">
        <f>VLOOKUP(VALUE(D1311),$D$3:F$106,3,FALSE)</f>
        <v>Performing Arts</v>
      </c>
      <c r="C1311" s="751" t="s">
        <v>246</v>
      </c>
      <c r="D1311" s="751" t="s">
        <v>510</v>
      </c>
      <c r="E1311" s="751" t="s">
        <v>2185</v>
      </c>
      <c r="F1311" s="751" t="s">
        <v>248</v>
      </c>
      <c r="G1311" s="752">
        <v>1</v>
      </c>
      <c r="H1311" s="753">
        <v>51000</v>
      </c>
      <c r="I1311" s="754">
        <v>49225</v>
      </c>
      <c r="J1311" s="754">
        <v>0</v>
      </c>
      <c r="K1311" s="754">
        <v>0</v>
      </c>
      <c r="L1311" s="754">
        <v>8500</v>
      </c>
      <c r="M1311" s="754">
        <f t="shared" si="65"/>
        <v>8500</v>
      </c>
      <c r="N1311" s="756">
        <v>49225</v>
      </c>
      <c r="O1311" s="720">
        <f t="shared" si="66"/>
        <v>0</v>
      </c>
    </row>
    <row r="1312" spans="1:15" outlineLevel="1" x14ac:dyDescent="0.25">
      <c r="A1312" s="207" t="str">
        <f>VLOOKUP(RIGHT(E1312,3)+0,SchLocTable!$A$2:$B$47,2,FALSE)</f>
        <v>Dunbar</v>
      </c>
      <c r="B1312" s="207" t="str">
        <f>VLOOKUP(VALUE(D1312),$D$3:F$106,3,FALSE)</f>
        <v>Performing Arts</v>
      </c>
      <c r="C1312" s="751" t="s">
        <v>246</v>
      </c>
      <c r="D1312" s="751" t="s">
        <v>510</v>
      </c>
      <c r="E1312" s="751" t="s">
        <v>2185</v>
      </c>
      <c r="F1312" s="751" t="s">
        <v>254</v>
      </c>
      <c r="G1312" s="752" t="s">
        <v>1681</v>
      </c>
      <c r="H1312" s="753">
        <v>52360</v>
      </c>
      <c r="I1312" s="754">
        <v>113.67</v>
      </c>
      <c r="J1312" s="754">
        <v>0</v>
      </c>
      <c r="K1312" s="754">
        <v>0</v>
      </c>
      <c r="L1312" s="754">
        <v>113.67</v>
      </c>
      <c r="M1312" s="754">
        <f t="shared" si="65"/>
        <v>113.67</v>
      </c>
      <c r="N1312" s="756">
        <v>113.67</v>
      </c>
      <c r="O1312" s="720">
        <f t="shared" si="66"/>
        <v>0</v>
      </c>
    </row>
    <row r="1313" spans="1:15" outlineLevel="2" x14ac:dyDescent="0.25">
      <c r="A1313" s="207" t="str">
        <f>VLOOKUP(RIGHT(E1313,3)+0,SchLocTable!$A$2:$B$47,2,FALSE)</f>
        <v>Dunbar</v>
      </c>
      <c r="B1313" s="207" t="str">
        <f>VLOOKUP(VALUE(D1313),$D$3:F$106,3,FALSE)</f>
        <v>Performing Arts</v>
      </c>
      <c r="C1313" s="755" t="s">
        <v>246</v>
      </c>
      <c r="D1313" s="751" t="s">
        <v>510</v>
      </c>
      <c r="E1313" s="751" t="s">
        <v>2185</v>
      </c>
      <c r="F1313" s="751" t="s">
        <v>292</v>
      </c>
      <c r="G1313" s="752" t="s">
        <v>1681</v>
      </c>
      <c r="H1313" s="753">
        <v>52385</v>
      </c>
      <c r="I1313" s="754">
        <v>486.03</v>
      </c>
      <c r="J1313" s="754">
        <v>0</v>
      </c>
      <c r="K1313" s="754">
        <v>0</v>
      </c>
      <c r="L1313" s="754">
        <v>486.03</v>
      </c>
      <c r="M1313" s="754">
        <f t="shared" si="65"/>
        <v>486.03</v>
      </c>
      <c r="N1313" s="756">
        <v>486.03</v>
      </c>
      <c r="O1313" s="720">
        <f t="shared" si="66"/>
        <v>0</v>
      </c>
    </row>
    <row r="1314" spans="1:15" outlineLevel="2" x14ac:dyDescent="0.25">
      <c r="A1314" s="207" t="str">
        <f>VLOOKUP(RIGHT(E1314,3)+0,SchLocTable!$A$2:$B$47,2,FALSE)</f>
        <v>Dunbar</v>
      </c>
      <c r="B1314" s="207" t="str">
        <f>VLOOKUP(VALUE(D1314),$D$3:F$106,3,FALSE)</f>
        <v>Performing Arts</v>
      </c>
      <c r="C1314" s="751" t="s">
        <v>246</v>
      </c>
      <c r="D1314" s="751" t="s">
        <v>510</v>
      </c>
      <c r="E1314" s="751" t="s">
        <v>2185</v>
      </c>
      <c r="F1314" s="751" t="s">
        <v>259</v>
      </c>
      <c r="G1314" s="752" t="s">
        <v>1681</v>
      </c>
      <c r="H1314" s="753">
        <v>52917</v>
      </c>
      <c r="I1314" s="754">
        <v>2237.6</v>
      </c>
      <c r="J1314" s="754">
        <v>0</v>
      </c>
      <c r="K1314" s="754">
        <v>0</v>
      </c>
      <c r="L1314" s="754">
        <v>2237.6</v>
      </c>
      <c r="M1314" s="754">
        <f t="shared" si="65"/>
        <v>2237.6</v>
      </c>
      <c r="N1314" s="756">
        <v>2237.6</v>
      </c>
      <c r="O1314" s="720">
        <f t="shared" si="66"/>
        <v>0</v>
      </c>
    </row>
    <row r="1315" spans="1:15" outlineLevel="2" x14ac:dyDescent="0.25">
      <c r="A1315" s="207" t="str">
        <f>VLOOKUP(RIGHT(E1315,3)+0,SchLocTable!$A$2:$B$47,2,FALSE)</f>
        <v>Curiale</v>
      </c>
      <c r="B1315" s="207" t="str">
        <f>VLOOKUP(VALUE(D1315),$D$3:F$106,3,FALSE)</f>
        <v>Performing Arts</v>
      </c>
      <c r="C1315" s="755" t="s">
        <v>246</v>
      </c>
      <c r="D1315" s="751" t="s">
        <v>510</v>
      </c>
      <c r="E1315" s="751" t="s">
        <v>525</v>
      </c>
      <c r="F1315" s="751" t="s">
        <v>248</v>
      </c>
      <c r="G1315" s="752">
        <v>1</v>
      </c>
      <c r="H1315" s="753">
        <v>51000</v>
      </c>
      <c r="I1315" s="754">
        <v>61180.49</v>
      </c>
      <c r="J1315" s="754">
        <v>0</v>
      </c>
      <c r="K1315" s="754">
        <v>0</v>
      </c>
      <c r="L1315" s="754">
        <v>11720.4</v>
      </c>
      <c r="M1315" s="754">
        <f t="shared" si="65"/>
        <v>11720.4</v>
      </c>
      <c r="N1315" s="756">
        <v>61180.49</v>
      </c>
      <c r="O1315" s="720">
        <f t="shared" si="66"/>
        <v>0</v>
      </c>
    </row>
    <row r="1316" spans="1:15" outlineLevel="2" x14ac:dyDescent="0.25">
      <c r="A1316" s="207" t="str">
        <f>VLOOKUP(RIGHT(E1316,3)+0,SchLocTable!$A$2:$B$47,2,FALSE)</f>
        <v>Curiale</v>
      </c>
      <c r="B1316" s="207" t="str">
        <f>VLOOKUP(VALUE(D1316),$D$3:F$106,3,FALSE)</f>
        <v>Performing Arts</v>
      </c>
      <c r="C1316" s="751" t="s">
        <v>246</v>
      </c>
      <c r="D1316" s="751" t="s">
        <v>510</v>
      </c>
      <c r="E1316" s="751" t="s">
        <v>525</v>
      </c>
      <c r="F1316" s="751" t="s">
        <v>254</v>
      </c>
      <c r="G1316" s="752" t="s">
        <v>1681</v>
      </c>
      <c r="H1316" s="753">
        <v>52360</v>
      </c>
      <c r="I1316" s="754">
        <v>872.18</v>
      </c>
      <c r="J1316" s="754">
        <v>0</v>
      </c>
      <c r="K1316" s="754">
        <v>0</v>
      </c>
      <c r="L1316" s="754">
        <v>155.01</v>
      </c>
      <c r="M1316" s="754">
        <f t="shared" si="65"/>
        <v>155.01</v>
      </c>
      <c r="N1316" s="756">
        <v>872.18</v>
      </c>
      <c r="O1316" s="720">
        <f t="shared" si="66"/>
        <v>0</v>
      </c>
    </row>
    <row r="1317" spans="1:15" outlineLevel="2" x14ac:dyDescent="0.25">
      <c r="A1317" s="207" t="str">
        <f>VLOOKUP(RIGHT(E1317,3)+0,SchLocTable!$A$2:$B$47,2,FALSE)</f>
        <v>Curiale</v>
      </c>
      <c r="B1317" s="207" t="str">
        <f>VLOOKUP(VALUE(D1317),$D$3:F$106,3,FALSE)</f>
        <v>Performing Arts</v>
      </c>
      <c r="C1317" s="751" t="s">
        <v>246</v>
      </c>
      <c r="D1317" s="751" t="s">
        <v>510</v>
      </c>
      <c r="E1317" s="751" t="s">
        <v>525</v>
      </c>
      <c r="F1317" s="751" t="s">
        <v>259</v>
      </c>
      <c r="G1317" s="752" t="s">
        <v>1681</v>
      </c>
      <c r="H1317" s="753">
        <v>52917</v>
      </c>
      <c r="I1317" s="754">
        <v>11844</v>
      </c>
      <c r="J1317" s="754">
        <v>0</v>
      </c>
      <c r="K1317" s="754">
        <v>0</v>
      </c>
      <c r="L1317" s="754">
        <v>2820</v>
      </c>
      <c r="M1317" s="754">
        <f t="shared" si="65"/>
        <v>2820</v>
      </c>
      <c r="N1317" s="756">
        <v>11844</v>
      </c>
      <c r="O1317" s="720">
        <f t="shared" si="66"/>
        <v>0</v>
      </c>
    </row>
    <row r="1318" spans="1:15" outlineLevel="2" x14ac:dyDescent="0.25">
      <c r="A1318" s="207" t="str">
        <f>VLOOKUP(RIGHT(E1318,3)+0,SchLocTable!$A$2:$B$47,2,FALSE)</f>
        <v>Bassick HS</v>
      </c>
      <c r="B1318" s="207" t="str">
        <f>VLOOKUP(VALUE(D1318),$D$3:F$106,3,FALSE)</f>
        <v>Performing Arts</v>
      </c>
      <c r="C1318" s="751" t="s">
        <v>246</v>
      </c>
      <c r="D1318" s="751" t="s">
        <v>510</v>
      </c>
      <c r="E1318" s="751" t="s">
        <v>1402</v>
      </c>
      <c r="F1318" s="751" t="s">
        <v>248</v>
      </c>
      <c r="G1318" s="752">
        <v>1</v>
      </c>
      <c r="H1318" s="753">
        <v>51000</v>
      </c>
      <c r="I1318" s="754">
        <v>93652.800000000003</v>
      </c>
      <c r="J1318" s="754">
        <v>0</v>
      </c>
      <c r="K1318" s="754">
        <v>0</v>
      </c>
      <c r="L1318" s="754">
        <v>17941.150000000001</v>
      </c>
      <c r="M1318" s="754">
        <f t="shared" si="65"/>
        <v>17941.150000000001</v>
      </c>
      <c r="N1318" s="756">
        <v>93652.800000000003</v>
      </c>
      <c r="O1318" s="720">
        <f t="shared" si="66"/>
        <v>0</v>
      </c>
    </row>
    <row r="1319" spans="1:15" outlineLevel="2" x14ac:dyDescent="0.25">
      <c r="A1319" s="207" t="str">
        <f>VLOOKUP(RIGHT(E1319,3)+0,SchLocTable!$A$2:$B$47,2,FALSE)</f>
        <v>Bassick HS</v>
      </c>
      <c r="B1319" s="207" t="str">
        <f>VLOOKUP(VALUE(D1319),$D$3:F$106,3,FALSE)</f>
        <v>Performing Arts</v>
      </c>
      <c r="C1319" s="751" t="s">
        <v>246</v>
      </c>
      <c r="D1319" s="751" t="s">
        <v>510</v>
      </c>
      <c r="E1319" s="751" t="s">
        <v>1402</v>
      </c>
      <c r="F1319" s="751" t="s">
        <v>254</v>
      </c>
      <c r="G1319" s="752" t="s">
        <v>1681</v>
      </c>
      <c r="H1319" s="753">
        <v>52360</v>
      </c>
      <c r="I1319" s="754">
        <v>1357.97</v>
      </c>
      <c r="J1319" s="754">
        <v>0</v>
      </c>
      <c r="K1319" s="754">
        <v>0</v>
      </c>
      <c r="L1319" s="754">
        <v>260.14999999999998</v>
      </c>
      <c r="M1319" s="754">
        <f t="shared" si="65"/>
        <v>260.14999999999998</v>
      </c>
      <c r="N1319" s="756">
        <v>1357.97</v>
      </c>
      <c r="O1319" s="720">
        <f t="shared" si="66"/>
        <v>0</v>
      </c>
    </row>
    <row r="1320" spans="1:15" outlineLevel="2" x14ac:dyDescent="0.25">
      <c r="A1320" s="207" t="str">
        <f>VLOOKUP(RIGHT(E1320,3)+0,SchLocTable!$A$2:$B$47,2,FALSE)</f>
        <v>Bassick HS</v>
      </c>
      <c r="B1320" s="207" t="str">
        <f>VLOOKUP(VALUE(D1320),$D$3:F$106,3,FALSE)</f>
        <v>Performing Arts</v>
      </c>
      <c r="C1320" s="751" t="s">
        <v>246</v>
      </c>
      <c r="D1320" s="751" t="s">
        <v>510</v>
      </c>
      <c r="E1320" s="751" t="s">
        <v>1402</v>
      </c>
      <c r="F1320" s="751" t="s">
        <v>292</v>
      </c>
      <c r="G1320" s="752" t="s">
        <v>1681</v>
      </c>
      <c r="H1320" s="753">
        <v>52385</v>
      </c>
      <c r="I1320" s="754">
        <v>0</v>
      </c>
      <c r="J1320" s="754">
        <v>0</v>
      </c>
      <c r="K1320" s="754">
        <v>0</v>
      </c>
      <c r="L1320" s="754">
        <v>0</v>
      </c>
      <c r="M1320" s="754">
        <f t="shared" si="65"/>
        <v>0</v>
      </c>
      <c r="N1320" s="756">
        <v>0</v>
      </c>
      <c r="O1320" s="720">
        <f t="shared" si="66"/>
        <v>0</v>
      </c>
    </row>
    <row r="1321" spans="1:15" outlineLevel="2" x14ac:dyDescent="0.25">
      <c r="A1321" s="207" t="str">
        <f>VLOOKUP(RIGHT(E1321,3)+0,SchLocTable!$A$2:$B$47,2,FALSE)</f>
        <v>Bassick HS</v>
      </c>
      <c r="B1321" s="207" t="str">
        <f>VLOOKUP(VALUE(D1321),$D$3:F$106,3,FALSE)</f>
        <v>Performing Arts</v>
      </c>
      <c r="C1321" s="755" t="s">
        <v>246</v>
      </c>
      <c r="D1321" s="751" t="s">
        <v>510</v>
      </c>
      <c r="E1321" s="751" t="s">
        <v>1402</v>
      </c>
      <c r="F1321" s="751" t="s">
        <v>259</v>
      </c>
      <c r="G1321" s="752" t="s">
        <v>1681</v>
      </c>
      <c r="H1321" s="753">
        <v>52917</v>
      </c>
      <c r="I1321" s="754">
        <v>0</v>
      </c>
      <c r="J1321" s="754">
        <v>0</v>
      </c>
      <c r="K1321" s="754">
        <v>0</v>
      </c>
      <c r="L1321" s="754">
        <v>0</v>
      </c>
      <c r="M1321" s="754">
        <f t="shared" si="65"/>
        <v>0</v>
      </c>
      <c r="N1321" s="756">
        <v>0</v>
      </c>
      <c r="O1321" s="720">
        <f t="shared" si="66"/>
        <v>0</v>
      </c>
    </row>
    <row r="1322" spans="1:15" outlineLevel="1" x14ac:dyDescent="0.25">
      <c r="A1322" s="207" t="str">
        <f>VLOOKUP(RIGHT(E1322,3)+0,SchLocTable!$A$2:$B$47,2,FALSE)</f>
        <v>Central HS</v>
      </c>
      <c r="B1322" s="207" t="str">
        <f>VLOOKUP(VALUE(D1322),$D$3:F$106,3,FALSE)</f>
        <v>Performing Arts</v>
      </c>
      <c r="C1322" s="751" t="s">
        <v>246</v>
      </c>
      <c r="D1322" s="751" t="s">
        <v>510</v>
      </c>
      <c r="E1322" s="751" t="s">
        <v>526</v>
      </c>
      <c r="F1322" s="751" t="s">
        <v>248</v>
      </c>
      <c r="G1322" s="752">
        <v>2</v>
      </c>
      <c r="H1322" s="753">
        <v>51000</v>
      </c>
      <c r="I1322" s="754">
        <v>196410.84</v>
      </c>
      <c r="J1322" s="754">
        <v>0</v>
      </c>
      <c r="K1322" s="754">
        <v>0</v>
      </c>
      <c r="L1322" s="754">
        <v>42407.35</v>
      </c>
      <c r="M1322" s="754">
        <f t="shared" si="65"/>
        <v>42407.35</v>
      </c>
      <c r="N1322" s="756">
        <v>196410.84</v>
      </c>
      <c r="O1322" s="720">
        <f t="shared" si="66"/>
        <v>0</v>
      </c>
    </row>
    <row r="1323" spans="1:15" outlineLevel="2" x14ac:dyDescent="0.25">
      <c r="A1323" s="207" t="str">
        <f>VLOOKUP(RIGHT(E1323,3)+0,SchLocTable!$A$2:$B$47,2,FALSE)</f>
        <v>Central HS</v>
      </c>
      <c r="B1323" s="207" t="str">
        <f>VLOOKUP(VALUE(D1323),$D$3:F$106,3,FALSE)</f>
        <v>Performing Arts</v>
      </c>
      <c r="C1323" s="751" t="s">
        <v>246</v>
      </c>
      <c r="D1323" s="751" t="s">
        <v>510</v>
      </c>
      <c r="E1323" s="751" t="s">
        <v>526</v>
      </c>
      <c r="F1323" s="751" t="s">
        <v>257</v>
      </c>
      <c r="G1323" s="752" t="s">
        <v>1681</v>
      </c>
      <c r="H1323" s="753">
        <v>51140</v>
      </c>
      <c r="I1323" s="754">
        <v>2400</v>
      </c>
      <c r="J1323" s="754">
        <v>0</v>
      </c>
      <c r="K1323" s="754">
        <v>0</v>
      </c>
      <c r="L1323" s="754">
        <v>0</v>
      </c>
      <c r="M1323" s="754">
        <f t="shared" si="65"/>
        <v>0</v>
      </c>
      <c r="N1323" s="756">
        <v>2400</v>
      </c>
      <c r="O1323" s="720">
        <f t="shared" si="66"/>
        <v>0</v>
      </c>
    </row>
    <row r="1324" spans="1:15" outlineLevel="2" x14ac:dyDescent="0.25">
      <c r="A1324" s="207" t="str">
        <f>VLOOKUP(RIGHT(E1324,3)+0,SchLocTable!$A$2:$B$47,2,FALSE)</f>
        <v>Central HS</v>
      </c>
      <c r="B1324" s="207" t="str">
        <f>VLOOKUP(VALUE(D1324),$D$3:F$106,3,FALSE)</f>
        <v>Performing Arts</v>
      </c>
      <c r="C1324" s="751" t="s">
        <v>246</v>
      </c>
      <c r="D1324" s="751" t="s">
        <v>510</v>
      </c>
      <c r="E1324" s="751" t="s">
        <v>526</v>
      </c>
      <c r="F1324" s="751" t="s">
        <v>254</v>
      </c>
      <c r="G1324" s="752" t="s">
        <v>1681</v>
      </c>
      <c r="H1324" s="753">
        <v>52360</v>
      </c>
      <c r="I1324" s="754">
        <v>2776.66</v>
      </c>
      <c r="J1324" s="754">
        <v>0</v>
      </c>
      <c r="K1324" s="754">
        <v>0</v>
      </c>
      <c r="L1324" s="754">
        <v>543.61</v>
      </c>
      <c r="M1324" s="754">
        <f t="shared" si="65"/>
        <v>543.61</v>
      </c>
      <c r="N1324" s="756">
        <v>2776.66</v>
      </c>
      <c r="O1324" s="720">
        <f t="shared" si="66"/>
        <v>0</v>
      </c>
    </row>
    <row r="1325" spans="1:15" outlineLevel="2" x14ac:dyDescent="0.25">
      <c r="A1325" s="207" t="str">
        <f>VLOOKUP(RIGHT(E1325,3)+0,SchLocTable!$A$2:$B$47,2,FALSE)</f>
        <v>Central HS</v>
      </c>
      <c r="B1325" s="207" t="str">
        <f>VLOOKUP(VALUE(D1325),$D$3:F$106,3,FALSE)</f>
        <v>Performing Arts</v>
      </c>
      <c r="C1325" s="751" t="s">
        <v>246</v>
      </c>
      <c r="D1325" s="751" t="s">
        <v>510</v>
      </c>
      <c r="E1325" s="751" t="s">
        <v>526</v>
      </c>
      <c r="F1325" s="751" t="s">
        <v>259</v>
      </c>
      <c r="G1325" s="752" t="s">
        <v>1681</v>
      </c>
      <c r="H1325" s="753">
        <v>52917</v>
      </c>
      <c r="I1325" s="754">
        <v>70151.759999999995</v>
      </c>
      <c r="J1325" s="754">
        <v>0</v>
      </c>
      <c r="K1325" s="754">
        <v>0</v>
      </c>
      <c r="L1325" s="754">
        <v>16702.8</v>
      </c>
      <c r="M1325" s="754">
        <f t="shared" si="65"/>
        <v>16702.8</v>
      </c>
      <c r="N1325" s="756">
        <v>70151.759999999995</v>
      </c>
      <c r="O1325" s="720">
        <f t="shared" si="66"/>
        <v>0</v>
      </c>
    </row>
    <row r="1326" spans="1:15" outlineLevel="2" x14ac:dyDescent="0.25">
      <c r="A1326" s="207" t="str">
        <f>VLOOKUP(RIGHT(E1326,3)+0,SchLocTable!$A$2:$B$47,2,FALSE)</f>
        <v>Harding HS</v>
      </c>
      <c r="B1326" s="207" t="str">
        <f>VLOOKUP(VALUE(D1326),$D$3:F$106,3,FALSE)</f>
        <v>Performing Arts</v>
      </c>
      <c r="C1326" s="751" t="s">
        <v>246</v>
      </c>
      <c r="D1326" s="751" t="s">
        <v>510</v>
      </c>
      <c r="E1326" s="751" t="s">
        <v>527</v>
      </c>
      <c r="F1326" s="751" t="s">
        <v>248</v>
      </c>
      <c r="G1326" s="752">
        <v>2</v>
      </c>
      <c r="H1326" s="753">
        <v>51000</v>
      </c>
      <c r="I1326" s="754">
        <v>157266.06</v>
      </c>
      <c r="J1326" s="754">
        <v>0</v>
      </c>
      <c r="K1326" s="754">
        <v>0</v>
      </c>
      <c r="L1326" s="754">
        <v>37444.300000000003</v>
      </c>
      <c r="M1326" s="754">
        <f t="shared" si="65"/>
        <v>37444.300000000003</v>
      </c>
      <c r="N1326" s="756">
        <v>157266.06</v>
      </c>
      <c r="O1326" s="720">
        <f t="shared" si="66"/>
        <v>0</v>
      </c>
    </row>
    <row r="1327" spans="1:15" outlineLevel="2" x14ac:dyDescent="0.25">
      <c r="A1327" s="207" t="str">
        <f>VLOOKUP(RIGHT(E1327,3)+0,SchLocTable!$A$2:$B$47,2,FALSE)</f>
        <v>Harding HS</v>
      </c>
      <c r="B1327" s="207" t="str">
        <f>VLOOKUP(VALUE(D1327),$D$3:F$106,3,FALSE)</f>
        <v>Performing Arts</v>
      </c>
      <c r="C1327" s="751" t="s">
        <v>246</v>
      </c>
      <c r="D1327" s="751" t="s">
        <v>510</v>
      </c>
      <c r="E1327" s="751" t="s">
        <v>527</v>
      </c>
      <c r="F1327" s="751" t="s">
        <v>254</v>
      </c>
      <c r="G1327" s="752" t="s">
        <v>1681</v>
      </c>
      <c r="H1327" s="753">
        <v>52360</v>
      </c>
      <c r="I1327" s="754">
        <v>2243.88</v>
      </c>
      <c r="J1327" s="754">
        <v>0</v>
      </c>
      <c r="K1327" s="754">
        <v>0</v>
      </c>
      <c r="L1327" s="754">
        <v>506.46</v>
      </c>
      <c r="M1327" s="754">
        <f t="shared" si="65"/>
        <v>506.46</v>
      </c>
      <c r="N1327" s="756">
        <v>2243.88</v>
      </c>
      <c r="O1327" s="720">
        <f t="shared" si="66"/>
        <v>0</v>
      </c>
    </row>
    <row r="1328" spans="1:15" outlineLevel="2" x14ac:dyDescent="0.25">
      <c r="A1328" s="207" t="str">
        <f>VLOOKUP(RIGHT(E1328,3)+0,SchLocTable!$A$2:$B$47,2,FALSE)</f>
        <v>Harding HS</v>
      </c>
      <c r="B1328" s="207" t="str">
        <f>VLOOKUP(VALUE(D1328),$D$3:F$106,3,FALSE)</f>
        <v>Performing Arts</v>
      </c>
      <c r="C1328" s="751" t="s">
        <v>246</v>
      </c>
      <c r="D1328" s="751" t="s">
        <v>510</v>
      </c>
      <c r="E1328" s="751" t="s">
        <v>527</v>
      </c>
      <c r="F1328" s="751" t="s">
        <v>259</v>
      </c>
      <c r="G1328" s="752" t="s">
        <v>1681</v>
      </c>
      <c r="H1328" s="753">
        <v>52917</v>
      </c>
      <c r="I1328" s="754">
        <v>36393.839999999997</v>
      </c>
      <c r="J1328" s="754">
        <v>0</v>
      </c>
      <c r="K1328" s="754">
        <v>0</v>
      </c>
      <c r="L1328" s="754">
        <v>8665.2000000000007</v>
      </c>
      <c r="M1328" s="754">
        <f t="shared" si="65"/>
        <v>8665.2000000000007</v>
      </c>
      <c r="N1328" s="756">
        <v>36393.839999999997</v>
      </c>
      <c r="O1328" s="720">
        <f t="shared" si="66"/>
        <v>0</v>
      </c>
    </row>
    <row r="1329" spans="1:15" outlineLevel="2" x14ac:dyDescent="0.25">
      <c r="A1329" s="207" t="e">
        <f>VLOOKUP(RIGHT(E1329,3)+0,SchLocTable!$A$2:$B$47,2,FALSE)</f>
        <v>#N/A</v>
      </c>
      <c r="B1329" s="207" t="str">
        <f>VLOOKUP(VALUE(D1329),$D$3:F$106,3,FALSE)</f>
        <v>English</v>
      </c>
      <c r="C1329" s="755" t="s">
        <v>246</v>
      </c>
      <c r="D1329" s="751" t="s">
        <v>528</v>
      </c>
      <c r="E1329" s="751" t="s">
        <v>1750</v>
      </c>
      <c r="F1329" s="751" t="s">
        <v>248</v>
      </c>
      <c r="G1329" s="752">
        <v>2</v>
      </c>
      <c r="H1329" s="753">
        <v>51000</v>
      </c>
      <c r="I1329" s="754">
        <v>196447.17</v>
      </c>
      <c r="J1329" s="754">
        <v>0</v>
      </c>
      <c r="K1329" s="754">
        <v>0</v>
      </c>
      <c r="L1329" s="754">
        <v>41974</v>
      </c>
      <c r="M1329" s="754">
        <f t="shared" si="65"/>
        <v>41974</v>
      </c>
      <c r="N1329" s="756">
        <v>196447.17</v>
      </c>
      <c r="O1329" s="720">
        <f t="shared" si="66"/>
        <v>0</v>
      </c>
    </row>
    <row r="1330" spans="1:15" outlineLevel="1" x14ac:dyDescent="0.25">
      <c r="A1330" s="207" t="e">
        <f>VLOOKUP(RIGHT(E1330,3)+0,SchLocTable!$A$2:$B$47,2,FALSE)</f>
        <v>#N/A</v>
      </c>
      <c r="B1330" s="207" t="str">
        <f>VLOOKUP(VALUE(D1330),$D$3:F$106,3,FALSE)</f>
        <v>English</v>
      </c>
      <c r="C1330" s="751" t="s">
        <v>246</v>
      </c>
      <c r="D1330" s="751" t="s">
        <v>528</v>
      </c>
      <c r="E1330" s="751" t="s">
        <v>1750</v>
      </c>
      <c r="F1330" s="751" t="s">
        <v>257</v>
      </c>
      <c r="G1330" s="752" t="s">
        <v>1681</v>
      </c>
      <c r="H1330" s="753">
        <v>51140</v>
      </c>
      <c r="I1330" s="754">
        <v>1200</v>
      </c>
      <c r="J1330" s="754">
        <v>0</v>
      </c>
      <c r="K1330" s="754">
        <v>0</v>
      </c>
      <c r="L1330" s="754">
        <v>0</v>
      </c>
      <c r="M1330" s="754">
        <f t="shared" si="65"/>
        <v>0</v>
      </c>
      <c r="N1330" s="756">
        <v>1200</v>
      </c>
      <c r="O1330" s="720">
        <f t="shared" si="66"/>
        <v>0</v>
      </c>
    </row>
    <row r="1331" spans="1:15" outlineLevel="2" x14ac:dyDescent="0.25">
      <c r="A1331" s="207" t="e">
        <f>VLOOKUP(RIGHT(E1331,3)+0,SchLocTable!$A$2:$B$47,2,FALSE)</f>
        <v>#N/A</v>
      </c>
      <c r="B1331" s="207" t="str">
        <f>VLOOKUP(VALUE(D1331),$D$3:F$106,3,FALSE)</f>
        <v>English</v>
      </c>
      <c r="C1331" s="751" t="s">
        <v>246</v>
      </c>
      <c r="D1331" s="751" t="s">
        <v>528</v>
      </c>
      <c r="E1331" s="751" t="s">
        <v>1750</v>
      </c>
      <c r="F1331" s="751" t="s">
        <v>254</v>
      </c>
      <c r="G1331" s="752" t="s">
        <v>1681</v>
      </c>
      <c r="H1331" s="753">
        <v>52360</v>
      </c>
      <c r="I1331" s="754">
        <v>2804.53</v>
      </c>
      <c r="J1331" s="754">
        <v>0</v>
      </c>
      <c r="K1331" s="754">
        <v>0</v>
      </c>
      <c r="L1331" s="754">
        <v>564.66999999999996</v>
      </c>
      <c r="M1331" s="754">
        <f t="shared" si="65"/>
        <v>564.66999999999996</v>
      </c>
      <c r="N1331" s="756">
        <v>2804.53</v>
      </c>
      <c r="O1331" s="720">
        <f t="shared" si="66"/>
        <v>0</v>
      </c>
    </row>
    <row r="1332" spans="1:15" outlineLevel="2" x14ac:dyDescent="0.25">
      <c r="A1332" s="207" t="e">
        <f>VLOOKUP(RIGHT(E1332,3)+0,SchLocTable!$A$2:$B$47,2,FALSE)</f>
        <v>#N/A</v>
      </c>
      <c r="B1332" s="207" t="str">
        <f>VLOOKUP(VALUE(D1332),$D$3:F$106,3,FALSE)</f>
        <v>English</v>
      </c>
      <c r="C1332" s="751" t="s">
        <v>246</v>
      </c>
      <c r="D1332" s="751" t="s">
        <v>528</v>
      </c>
      <c r="E1332" s="751" t="s">
        <v>1750</v>
      </c>
      <c r="F1332" s="751" t="s">
        <v>259</v>
      </c>
      <c r="G1332" s="752" t="s">
        <v>1681</v>
      </c>
      <c r="H1332" s="753">
        <v>52917</v>
      </c>
      <c r="I1332" s="754">
        <v>40322.1</v>
      </c>
      <c r="J1332" s="754">
        <v>0</v>
      </c>
      <c r="K1332" s="754">
        <v>0</v>
      </c>
      <c r="L1332" s="754">
        <v>9600.5</v>
      </c>
      <c r="M1332" s="754">
        <f t="shared" si="65"/>
        <v>9600.5</v>
      </c>
      <c r="N1332" s="756">
        <v>40322.1</v>
      </c>
      <c r="O1332" s="720">
        <f t="shared" si="66"/>
        <v>0</v>
      </c>
    </row>
    <row r="1333" spans="1:15" outlineLevel="1" x14ac:dyDescent="0.25">
      <c r="A1333" s="207" t="str">
        <f>VLOOKUP(RIGHT(E1333,3)+0,SchLocTable!$A$2:$B$47,2,FALSE)</f>
        <v>Barnum</v>
      </c>
      <c r="B1333" s="207" t="str">
        <f>VLOOKUP(VALUE(D1333),$D$3:F$106,3,FALSE)</f>
        <v>English</v>
      </c>
      <c r="C1333" s="751" t="s">
        <v>246</v>
      </c>
      <c r="D1333" s="751" t="s">
        <v>528</v>
      </c>
      <c r="E1333" s="751" t="s">
        <v>529</v>
      </c>
      <c r="F1333" s="751" t="s">
        <v>248</v>
      </c>
      <c r="G1333" s="752">
        <v>1</v>
      </c>
      <c r="H1333" s="753">
        <v>51000</v>
      </c>
      <c r="I1333" s="754">
        <v>58141.67</v>
      </c>
      <c r="J1333" s="754">
        <v>0</v>
      </c>
      <c r="K1333" s="754">
        <v>0</v>
      </c>
      <c r="L1333" s="754">
        <v>11138.25</v>
      </c>
      <c r="M1333" s="754">
        <f t="shared" si="65"/>
        <v>11138.25</v>
      </c>
      <c r="N1333" s="756">
        <v>58141.67</v>
      </c>
      <c r="O1333" s="720">
        <f t="shared" si="66"/>
        <v>0</v>
      </c>
    </row>
    <row r="1334" spans="1:15" outlineLevel="2" x14ac:dyDescent="0.25">
      <c r="A1334" s="207" t="str">
        <f>VLOOKUP(RIGHT(E1334,3)+0,SchLocTable!$A$2:$B$47,2,FALSE)</f>
        <v>Barnum</v>
      </c>
      <c r="B1334" s="207" t="str">
        <f>VLOOKUP(VALUE(D1334),$D$3:F$106,3,FALSE)</f>
        <v>English</v>
      </c>
      <c r="C1334" s="751" t="s">
        <v>246</v>
      </c>
      <c r="D1334" s="751" t="s">
        <v>528</v>
      </c>
      <c r="E1334" s="751" t="s">
        <v>529</v>
      </c>
      <c r="F1334" s="751" t="s">
        <v>254</v>
      </c>
      <c r="G1334" s="752" t="s">
        <v>1681</v>
      </c>
      <c r="H1334" s="753">
        <v>52360</v>
      </c>
      <c r="I1334" s="754">
        <v>830.64</v>
      </c>
      <c r="J1334" s="754">
        <v>0</v>
      </c>
      <c r="K1334" s="754">
        <v>0</v>
      </c>
      <c r="L1334" s="754">
        <v>149.09</v>
      </c>
      <c r="M1334" s="754">
        <f t="shared" si="65"/>
        <v>149.09</v>
      </c>
      <c r="N1334" s="756">
        <v>830.64</v>
      </c>
      <c r="O1334" s="720">
        <f t="shared" si="66"/>
        <v>0</v>
      </c>
    </row>
    <row r="1335" spans="1:15" outlineLevel="2" x14ac:dyDescent="0.25">
      <c r="A1335" s="207" t="str">
        <f>VLOOKUP(RIGHT(E1335,3)+0,SchLocTable!$A$2:$B$47,2,FALSE)</f>
        <v>Barnum</v>
      </c>
      <c r="B1335" s="207" t="str">
        <f>VLOOKUP(VALUE(D1335),$D$3:F$106,3,FALSE)</f>
        <v>English</v>
      </c>
      <c r="C1335" s="751" t="s">
        <v>246</v>
      </c>
      <c r="D1335" s="751" t="s">
        <v>528</v>
      </c>
      <c r="E1335" s="751" t="s">
        <v>529</v>
      </c>
      <c r="F1335" s="751" t="s">
        <v>259</v>
      </c>
      <c r="G1335" s="752" t="s">
        <v>1681</v>
      </c>
      <c r="H1335" s="753">
        <v>52917</v>
      </c>
      <c r="I1335" s="754">
        <v>12434.1</v>
      </c>
      <c r="J1335" s="754">
        <v>0</v>
      </c>
      <c r="K1335" s="754">
        <v>0</v>
      </c>
      <c r="L1335" s="754">
        <v>2960.5</v>
      </c>
      <c r="M1335" s="754">
        <f t="shared" si="65"/>
        <v>2960.5</v>
      </c>
      <c r="N1335" s="756">
        <v>12434.1</v>
      </c>
      <c r="O1335" s="720">
        <f t="shared" si="66"/>
        <v>0</v>
      </c>
    </row>
    <row r="1336" spans="1:15" outlineLevel="2" x14ac:dyDescent="0.25">
      <c r="A1336" s="207" t="str">
        <f>VLOOKUP(RIGHT(E1336,3)+0,SchLocTable!$A$2:$B$47,2,FALSE)</f>
        <v>Black Rock</v>
      </c>
      <c r="B1336" s="207" t="str">
        <f>VLOOKUP(VALUE(D1336),$D$3:F$106,3,FALSE)</f>
        <v>English</v>
      </c>
      <c r="C1336" s="755" t="s">
        <v>246</v>
      </c>
      <c r="D1336" s="751" t="s">
        <v>528</v>
      </c>
      <c r="E1336" s="751" t="s">
        <v>530</v>
      </c>
      <c r="F1336" s="751" t="s">
        <v>248</v>
      </c>
      <c r="G1336" s="752">
        <v>1</v>
      </c>
      <c r="H1336" s="753">
        <v>51000</v>
      </c>
      <c r="I1336" s="754">
        <v>58141.67</v>
      </c>
      <c r="J1336" s="754">
        <v>0</v>
      </c>
      <c r="K1336" s="754">
        <v>0</v>
      </c>
      <c r="L1336" s="754">
        <v>11138.25</v>
      </c>
      <c r="M1336" s="754">
        <f t="shared" si="65"/>
        <v>11138.25</v>
      </c>
      <c r="N1336" s="756">
        <v>58141.67</v>
      </c>
      <c r="O1336" s="720">
        <f t="shared" si="66"/>
        <v>0</v>
      </c>
    </row>
    <row r="1337" spans="1:15" outlineLevel="2" x14ac:dyDescent="0.25">
      <c r="A1337" s="207" t="str">
        <f>VLOOKUP(RIGHT(E1337,3)+0,SchLocTable!$A$2:$B$47,2,FALSE)</f>
        <v>Black Rock</v>
      </c>
      <c r="B1337" s="207" t="str">
        <f>VLOOKUP(VALUE(D1337),$D$3:F$106,3,FALSE)</f>
        <v>English</v>
      </c>
      <c r="C1337" s="751" t="s">
        <v>246</v>
      </c>
      <c r="D1337" s="751" t="s">
        <v>528</v>
      </c>
      <c r="E1337" s="751" t="s">
        <v>530</v>
      </c>
      <c r="F1337" s="751" t="s">
        <v>254</v>
      </c>
      <c r="G1337" s="752" t="s">
        <v>1681</v>
      </c>
      <c r="H1337" s="753">
        <v>52360</v>
      </c>
      <c r="I1337" s="754">
        <v>843.06</v>
      </c>
      <c r="J1337" s="754">
        <v>0</v>
      </c>
      <c r="K1337" s="754">
        <v>0</v>
      </c>
      <c r="L1337" s="754">
        <v>161.51</v>
      </c>
      <c r="M1337" s="754">
        <f t="shared" si="65"/>
        <v>161.51</v>
      </c>
      <c r="N1337" s="756">
        <v>843.06</v>
      </c>
      <c r="O1337" s="720">
        <f t="shared" si="66"/>
        <v>0</v>
      </c>
    </row>
    <row r="1338" spans="1:15" outlineLevel="2" x14ac:dyDescent="0.25">
      <c r="A1338" s="207" t="str">
        <f>VLOOKUP(RIGHT(E1338,3)+0,SchLocTable!$A$2:$B$47,2,FALSE)</f>
        <v>Black Rock</v>
      </c>
      <c r="B1338" s="207" t="str">
        <f>VLOOKUP(VALUE(D1338),$D$3:F$106,3,FALSE)</f>
        <v>English</v>
      </c>
      <c r="C1338" s="751" t="s">
        <v>246</v>
      </c>
      <c r="D1338" s="751" t="s">
        <v>528</v>
      </c>
      <c r="E1338" s="751" t="s">
        <v>530</v>
      </c>
      <c r="F1338" s="751" t="s">
        <v>292</v>
      </c>
      <c r="G1338" s="752" t="s">
        <v>1681</v>
      </c>
      <c r="H1338" s="753">
        <v>52385</v>
      </c>
      <c r="I1338" s="754">
        <v>0</v>
      </c>
      <c r="J1338" s="754">
        <v>0</v>
      </c>
      <c r="K1338" s="754">
        <v>0</v>
      </c>
      <c r="L1338" s="754">
        <v>0</v>
      </c>
      <c r="M1338" s="754">
        <f t="shared" si="65"/>
        <v>0</v>
      </c>
      <c r="N1338" s="756">
        <v>0</v>
      </c>
      <c r="O1338" s="720">
        <f t="shared" si="66"/>
        <v>0</v>
      </c>
    </row>
    <row r="1339" spans="1:15" outlineLevel="2" x14ac:dyDescent="0.25">
      <c r="A1339" s="207" t="str">
        <f>VLOOKUP(RIGHT(E1339,3)+0,SchLocTable!$A$2:$B$47,2,FALSE)</f>
        <v>Black Rock</v>
      </c>
      <c r="B1339" s="207" t="str">
        <f>VLOOKUP(VALUE(D1339),$D$3:F$106,3,FALSE)</f>
        <v>English</v>
      </c>
      <c r="C1339" s="751" t="s">
        <v>246</v>
      </c>
      <c r="D1339" s="751" t="s">
        <v>528</v>
      </c>
      <c r="E1339" s="751" t="s">
        <v>530</v>
      </c>
      <c r="F1339" s="751" t="s">
        <v>259</v>
      </c>
      <c r="G1339" s="752" t="s">
        <v>1681</v>
      </c>
      <c r="H1339" s="753">
        <v>52917</v>
      </c>
      <c r="I1339" s="754">
        <v>0</v>
      </c>
      <c r="J1339" s="754">
        <v>0</v>
      </c>
      <c r="K1339" s="754">
        <v>0</v>
      </c>
      <c r="L1339" s="754">
        <v>0</v>
      </c>
      <c r="M1339" s="754">
        <f t="shared" si="65"/>
        <v>0</v>
      </c>
      <c r="N1339" s="756">
        <v>0</v>
      </c>
      <c r="O1339" s="720">
        <f t="shared" si="66"/>
        <v>0</v>
      </c>
    </row>
    <row r="1340" spans="1:15" outlineLevel="2" x14ac:dyDescent="0.25">
      <c r="A1340" s="207" t="str">
        <f>VLOOKUP(RIGHT(E1340,3)+0,SchLocTable!$A$2:$B$47,2,FALSE)</f>
        <v>Columbus</v>
      </c>
      <c r="B1340" s="207" t="str">
        <f>VLOOKUP(VALUE(D1340),$D$3:F$106,3,FALSE)</f>
        <v>English</v>
      </c>
      <c r="C1340" s="751" t="s">
        <v>246</v>
      </c>
      <c r="D1340" s="751" t="s">
        <v>528</v>
      </c>
      <c r="E1340" s="751" t="s">
        <v>531</v>
      </c>
      <c r="F1340" s="751" t="s">
        <v>248</v>
      </c>
      <c r="G1340" s="752">
        <v>1</v>
      </c>
      <c r="H1340" s="753">
        <v>51000</v>
      </c>
      <c r="I1340" s="754">
        <v>90131.39</v>
      </c>
      <c r="J1340" s="754">
        <v>0</v>
      </c>
      <c r="K1340" s="754">
        <v>0</v>
      </c>
      <c r="L1340" s="754">
        <v>17266.55</v>
      </c>
      <c r="M1340" s="754">
        <f t="shared" si="65"/>
        <v>17266.55</v>
      </c>
      <c r="N1340" s="756">
        <v>90131.39</v>
      </c>
      <c r="O1340" s="720">
        <f t="shared" si="66"/>
        <v>0</v>
      </c>
    </row>
    <row r="1341" spans="1:15" outlineLevel="2" x14ac:dyDescent="0.25">
      <c r="A1341" s="207" t="str">
        <f>VLOOKUP(RIGHT(E1341,3)+0,SchLocTable!$A$2:$B$47,2,FALSE)</f>
        <v>Columbus</v>
      </c>
      <c r="B1341" s="207" t="str">
        <f>VLOOKUP(VALUE(D1341),$D$3:F$106,3,FALSE)</f>
        <v>English</v>
      </c>
      <c r="C1341" s="751" t="s">
        <v>246</v>
      </c>
      <c r="D1341" s="751" t="s">
        <v>528</v>
      </c>
      <c r="E1341" s="751" t="s">
        <v>531</v>
      </c>
      <c r="F1341" s="751" t="s">
        <v>254</v>
      </c>
      <c r="G1341" s="752" t="s">
        <v>1681</v>
      </c>
      <c r="H1341" s="753">
        <v>52360</v>
      </c>
      <c r="I1341" s="754">
        <v>1306.9000000000001</v>
      </c>
      <c r="J1341" s="754">
        <v>0</v>
      </c>
      <c r="K1341" s="754">
        <v>0</v>
      </c>
      <c r="L1341" s="754">
        <v>250.36</v>
      </c>
      <c r="M1341" s="754">
        <f t="shared" si="65"/>
        <v>250.36</v>
      </c>
      <c r="N1341" s="756">
        <v>1306.9000000000001</v>
      </c>
      <c r="O1341" s="720">
        <f t="shared" si="66"/>
        <v>0</v>
      </c>
    </row>
    <row r="1342" spans="1:15" outlineLevel="2" x14ac:dyDescent="0.25">
      <c r="A1342" s="207" t="str">
        <f>VLOOKUP(RIGHT(E1342,3)+0,SchLocTable!$A$2:$B$47,2,FALSE)</f>
        <v>Physical Science HS</v>
      </c>
      <c r="B1342" s="207" t="str">
        <f>VLOOKUP(VALUE(D1342),$D$3:F$106,3,FALSE)</f>
        <v>English</v>
      </c>
      <c r="C1342" s="751" t="s">
        <v>246</v>
      </c>
      <c r="D1342" s="751" t="s">
        <v>528</v>
      </c>
      <c r="E1342" s="751" t="s">
        <v>1886</v>
      </c>
      <c r="F1342" s="751" t="s">
        <v>248</v>
      </c>
      <c r="G1342" s="752">
        <v>2</v>
      </c>
      <c r="H1342" s="753">
        <v>51000</v>
      </c>
      <c r="I1342" s="754">
        <v>207059.39</v>
      </c>
      <c r="J1342" s="754">
        <v>0</v>
      </c>
      <c r="K1342" s="754">
        <v>0</v>
      </c>
      <c r="L1342" s="754">
        <v>39666.550000000003</v>
      </c>
      <c r="M1342" s="754">
        <f t="shared" si="65"/>
        <v>39666.550000000003</v>
      </c>
      <c r="N1342" s="756">
        <v>207059.39</v>
      </c>
      <c r="O1342" s="720">
        <f t="shared" si="66"/>
        <v>0</v>
      </c>
    </row>
    <row r="1343" spans="1:15" outlineLevel="2" x14ac:dyDescent="0.25">
      <c r="A1343" s="207" t="str">
        <f>VLOOKUP(RIGHT(E1343,3)+0,SchLocTable!$A$2:$B$47,2,FALSE)</f>
        <v>Physical Science HS</v>
      </c>
      <c r="B1343" s="207" t="str">
        <f>VLOOKUP(VALUE(D1343),$D$3:F$106,3,FALSE)</f>
        <v>English</v>
      </c>
      <c r="C1343" s="755" t="s">
        <v>246</v>
      </c>
      <c r="D1343" s="751" t="s">
        <v>528</v>
      </c>
      <c r="E1343" s="751" t="s">
        <v>1886</v>
      </c>
      <c r="F1343" s="751" t="s">
        <v>257</v>
      </c>
      <c r="G1343" s="752" t="s">
        <v>1681</v>
      </c>
      <c r="H1343" s="753">
        <v>51140</v>
      </c>
      <c r="I1343" s="754">
        <v>900</v>
      </c>
      <c r="J1343" s="754">
        <v>0</v>
      </c>
      <c r="K1343" s="754">
        <v>0</v>
      </c>
      <c r="L1343" s="754">
        <v>0</v>
      </c>
      <c r="M1343" s="754">
        <f t="shared" ref="M1343:M1406" si="67">SUM(J1343:L1343)</f>
        <v>0</v>
      </c>
      <c r="N1343" s="756">
        <v>900</v>
      </c>
      <c r="O1343" s="720">
        <f t="shared" ref="O1343:O1406" si="68">I1343-N1343</f>
        <v>0</v>
      </c>
    </row>
    <row r="1344" spans="1:15" outlineLevel="2" x14ac:dyDescent="0.25">
      <c r="A1344" s="207" t="str">
        <f>VLOOKUP(RIGHT(E1344,3)+0,SchLocTable!$A$2:$B$47,2,FALSE)</f>
        <v>Physical Science HS</v>
      </c>
      <c r="B1344" s="207" t="str">
        <f>VLOOKUP(VALUE(D1344),$D$3:F$106,3,FALSE)</f>
        <v>English</v>
      </c>
      <c r="C1344" s="755" t="s">
        <v>246</v>
      </c>
      <c r="D1344" s="751" t="s">
        <v>528</v>
      </c>
      <c r="E1344" s="751" t="s">
        <v>1886</v>
      </c>
      <c r="F1344" s="751" t="s">
        <v>254</v>
      </c>
      <c r="G1344" s="752" t="s">
        <v>1681</v>
      </c>
      <c r="H1344" s="753">
        <v>52360</v>
      </c>
      <c r="I1344" s="754">
        <v>2931.07</v>
      </c>
      <c r="J1344" s="754">
        <v>0</v>
      </c>
      <c r="K1344" s="754">
        <v>0</v>
      </c>
      <c r="L1344" s="754">
        <v>503.87</v>
      </c>
      <c r="M1344" s="754">
        <f t="shared" si="67"/>
        <v>503.87</v>
      </c>
      <c r="N1344" s="756">
        <v>2931.07</v>
      </c>
      <c r="O1344" s="720">
        <f t="shared" si="68"/>
        <v>0</v>
      </c>
    </row>
    <row r="1345" spans="1:15" outlineLevel="2" x14ac:dyDescent="0.25">
      <c r="A1345" s="207" t="str">
        <f>VLOOKUP(RIGHT(E1345,3)+0,SchLocTable!$A$2:$B$47,2,FALSE)</f>
        <v>Physical Science HS</v>
      </c>
      <c r="B1345" s="207" t="str">
        <f>VLOOKUP(VALUE(D1345),$D$3:F$106,3,FALSE)</f>
        <v>English</v>
      </c>
      <c r="C1345" s="751" t="s">
        <v>246</v>
      </c>
      <c r="D1345" s="751" t="s">
        <v>528</v>
      </c>
      <c r="E1345" s="751" t="s">
        <v>1886</v>
      </c>
      <c r="F1345" s="751" t="s">
        <v>259</v>
      </c>
      <c r="G1345" s="752" t="s">
        <v>1681</v>
      </c>
      <c r="H1345" s="753">
        <v>52917</v>
      </c>
      <c r="I1345" s="754">
        <v>70151.759999999995</v>
      </c>
      <c r="J1345" s="754">
        <v>0</v>
      </c>
      <c r="K1345" s="754">
        <v>0</v>
      </c>
      <c r="L1345" s="754">
        <v>16702.8</v>
      </c>
      <c r="M1345" s="754">
        <f t="shared" si="67"/>
        <v>16702.8</v>
      </c>
      <c r="N1345" s="756">
        <v>70151.759999999995</v>
      </c>
      <c r="O1345" s="720">
        <f t="shared" si="68"/>
        <v>0</v>
      </c>
    </row>
    <row r="1346" spans="1:15" outlineLevel="2" x14ac:dyDescent="0.25">
      <c r="A1346" s="207" t="str">
        <f>VLOOKUP(RIGHT(E1346,3)+0,SchLocTable!$A$2:$B$47,2,FALSE)</f>
        <v>Marin</v>
      </c>
      <c r="B1346" s="207" t="str">
        <f>VLOOKUP(VALUE(D1346),$D$3:F$106,3,FALSE)</f>
        <v>English</v>
      </c>
      <c r="C1346" s="751" t="s">
        <v>246</v>
      </c>
      <c r="D1346" s="751" t="s">
        <v>528</v>
      </c>
      <c r="E1346" s="751" t="s">
        <v>532</v>
      </c>
      <c r="F1346" s="751" t="s">
        <v>248</v>
      </c>
      <c r="G1346" s="752">
        <v>2</v>
      </c>
      <c r="H1346" s="753">
        <v>51000</v>
      </c>
      <c r="I1346" s="754">
        <v>163076.72</v>
      </c>
      <c r="J1346" s="754">
        <v>0</v>
      </c>
      <c r="K1346" s="754">
        <v>0</v>
      </c>
      <c r="L1346" s="754">
        <v>31240.75</v>
      </c>
      <c r="M1346" s="754">
        <f t="shared" si="67"/>
        <v>31240.75</v>
      </c>
      <c r="N1346" s="756">
        <v>163076.72</v>
      </c>
      <c r="O1346" s="720">
        <f t="shared" si="68"/>
        <v>0</v>
      </c>
    </row>
    <row r="1347" spans="1:15" outlineLevel="2" x14ac:dyDescent="0.25">
      <c r="A1347" s="207" t="str">
        <f>VLOOKUP(RIGHT(E1347,3)+0,SchLocTable!$A$2:$B$47,2,FALSE)</f>
        <v>Marin</v>
      </c>
      <c r="B1347" s="207" t="str">
        <f>VLOOKUP(VALUE(D1347),$D$3:F$106,3,FALSE)</f>
        <v>English</v>
      </c>
      <c r="C1347" s="751" t="s">
        <v>246</v>
      </c>
      <c r="D1347" s="751" t="s">
        <v>528</v>
      </c>
      <c r="E1347" s="751" t="s">
        <v>532</v>
      </c>
      <c r="F1347" s="751" t="s">
        <v>257</v>
      </c>
      <c r="G1347" s="752" t="s">
        <v>1681</v>
      </c>
      <c r="H1347" s="753">
        <v>51140</v>
      </c>
      <c r="I1347" s="754">
        <v>900</v>
      </c>
      <c r="J1347" s="754">
        <v>0</v>
      </c>
      <c r="K1347" s="754">
        <v>0</v>
      </c>
      <c r="L1347" s="754">
        <v>0</v>
      </c>
      <c r="M1347" s="754">
        <f t="shared" si="67"/>
        <v>0</v>
      </c>
      <c r="N1347" s="756">
        <v>900</v>
      </c>
      <c r="O1347" s="720">
        <f t="shared" si="68"/>
        <v>0</v>
      </c>
    </row>
    <row r="1348" spans="1:15" outlineLevel="2" x14ac:dyDescent="0.25">
      <c r="A1348" s="207" t="str">
        <f>VLOOKUP(RIGHT(E1348,3)+0,SchLocTable!$A$2:$B$47,2,FALSE)</f>
        <v>Marin</v>
      </c>
      <c r="B1348" s="207" t="str">
        <f>VLOOKUP(VALUE(D1348),$D$3:F$106,3,FALSE)</f>
        <v>English</v>
      </c>
      <c r="C1348" s="755" t="s">
        <v>246</v>
      </c>
      <c r="D1348" s="751" t="s">
        <v>528</v>
      </c>
      <c r="E1348" s="751" t="s">
        <v>532</v>
      </c>
      <c r="F1348" s="751" t="s">
        <v>254</v>
      </c>
      <c r="G1348" s="752" t="s">
        <v>1681</v>
      </c>
      <c r="H1348" s="753">
        <v>52360</v>
      </c>
      <c r="I1348" s="754">
        <v>2340.5300000000002</v>
      </c>
      <c r="J1348" s="754">
        <v>0</v>
      </c>
      <c r="K1348" s="754">
        <v>0</v>
      </c>
      <c r="L1348" s="754">
        <v>428.91</v>
      </c>
      <c r="M1348" s="754">
        <f t="shared" si="67"/>
        <v>428.91</v>
      </c>
      <c r="N1348" s="756">
        <v>2340.5300000000002</v>
      </c>
      <c r="O1348" s="720">
        <f t="shared" si="68"/>
        <v>0</v>
      </c>
    </row>
    <row r="1349" spans="1:15" outlineLevel="2" x14ac:dyDescent="0.25">
      <c r="A1349" s="207" t="str">
        <f>VLOOKUP(RIGHT(E1349,3)+0,SchLocTable!$A$2:$B$47,2,FALSE)</f>
        <v>Marin</v>
      </c>
      <c r="B1349" s="207" t="str">
        <f>VLOOKUP(VALUE(D1349),$D$3:F$106,3,FALSE)</f>
        <v>English</v>
      </c>
      <c r="C1349" s="751" t="s">
        <v>246</v>
      </c>
      <c r="D1349" s="751" t="s">
        <v>528</v>
      </c>
      <c r="E1349" s="751" t="s">
        <v>532</v>
      </c>
      <c r="F1349" s="751" t="s">
        <v>259</v>
      </c>
      <c r="G1349" s="752" t="s">
        <v>1681</v>
      </c>
      <c r="H1349" s="753">
        <v>52917</v>
      </c>
      <c r="I1349" s="754">
        <v>23688</v>
      </c>
      <c r="J1349" s="754">
        <v>0</v>
      </c>
      <c r="K1349" s="754">
        <v>0</v>
      </c>
      <c r="L1349" s="754">
        <v>5640</v>
      </c>
      <c r="M1349" s="754">
        <f t="shared" si="67"/>
        <v>5640</v>
      </c>
      <c r="N1349" s="756">
        <v>23688</v>
      </c>
      <c r="O1349" s="720">
        <f t="shared" si="68"/>
        <v>0</v>
      </c>
    </row>
    <row r="1350" spans="1:15" outlineLevel="2" x14ac:dyDescent="0.25">
      <c r="A1350" s="207" t="str">
        <f>VLOOKUP(RIGHT(E1350,3)+0,SchLocTable!$A$2:$B$47,2,FALSE)</f>
        <v>Hooker</v>
      </c>
      <c r="B1350" s="207" t="str">
        <f>VLOOKUP(VALUE(D1350),$D$3:F$106,3,FALSE)</f>
        <v>English</v>
      </c>
      <c r="C1350" s="751" t="s">
        <v>246</v>
      </c>
      <c r="D1350" s="751" t="s">
        <v>528</v>
      </c>
      <c r="E1350" s="751" t="s">
        <v>1997</v>
      </c>
      <c r="F1350" s="751" t="s">
        <v>248</v>
      </c>
      <c r="G1350" s="752">
        <v>2</v>
      </c>
      <c r="H1350" s="753">
        <v>51000</v>
      </c>
      <c r="I1350" s="754">
        <v>110405.49</v>
      </c>
      <c r="J1350" s="754">
        <v>0</v>
      </c>
      <c r="K1350" s="754">
        <v>0</v>
      </c>
      <c r="L1350" s="754">
        <v>20220.400000000001</v>
      </c>
      <c r="M1350" s="754">
        <f t="shared" si="67"/>
        <v>20220.400000000001</v>
      </c>
      <c r="N1350" s="756">
        <v>110405.49</v>
      </c>
      <c r="O1350" s="720">
        <f t="shared" si="68"/>
        <v>0</v>
      </c>
    </row>
    <row r="1351" spans="1:15" outlineLevel="2" x14ac:dyDescent="0.25">
      <c r="A1351" s="207" t="str">
        <f>VLOOKUP(RIGHT(E1351,3)+0,SchLocTable!$A$2:$B$47,2,FALSE)</f>
        <v>Hooker</v>
      </c>
      <c r="B1351" s="207" t="str">
        <f>VLOOKUP(VALUE(D1351),$D$3:F$106,3,FALSE)</f>
        <v>English</v>
      </c>
      <c r="C1351" s="751" t="s">
        <v>246</v>
      </c>
      <c r="D1351" s="751" t="s">
        <v>528</v>
      </c>
      <c r="E1351" s="751" t="s">
        <v>1997</v>
      </c>
      <c r="F1351" s="751" t="s">
        <v>254</v>
      </c>
      <c r="G1351" s="752" t="s">
        <v>1681</v>
      </c>
      <c r="H1351" s="753">
        <v>52360</v>
      </c>
      <c r="I1351" s="754">
        <v>1564.64</v>
      </c>
      <c r="J1351" s="754">
        <v>0</v>
      </c>
      <c r="K1351" s="754">
        <v>0</v>
      </c>
      <c r="L1351" s="754">
        <v>256.95999999999998</v>
      </c>
      <c r="M1351" s="754">
        <f t="shared" si="67"/>
        <v>256.95999999999998</v>
      </c>
      <c r="N1351" s="756">
        <v>1564.64</v>
      </c>
      <c r="O1351" s="720">
        <f t="shared" si="68"/>
        <v>0</v>
      </c>
    </row>
    <row r="1352" spans="1:15" outlineLevel="2" x14ac:dyDescent="0.25">
      <c r="A1352" s="207" t="str">
        <f>VLOOKUP(RIGHT(E1352,3)+0,SchLocTable!$A$2:$B$47,2,FALSE)</f>
        <v>Hooker</v>
      </c>
      <c r="B1352" s="207" t="str">
        <f>VLOOKUP(VALUE(D1352),$D$3:F$106,3,FALSE)</f>
        <v>English</v>
      </c>
      <c r="C1352" s="751" t="s">
        <v>246</v>
      </c>
      <c r="D1352" s="751" t="s">
        <v>528</v>
      </c>
      <c r="E1352" s="751" t="s">
        <v>1997</v>
      </c>
      <c r="F1352" s="751" t="s">
        <v>292</v>
      </c>
      <c r="G1352" s="752" t="s">
        <v>1681</v>
      </c>
      <c r="H1352" s="753">
        <v>52385</v>
      </c>
      <c r="I1352" s="754">
        <v>2834.63</v>
      </c>
      <c r="J1352" s="754">
        <v>0</v>
      </c>
      <c r="K1352" s="754">
        <v>0</v>
      </c>
      <c r="L1352" s="754">
        <v>496.11</v>
      </c>
      <c r="M1352" s="754">
        <f t="shared" si="67"/>
        <v>496.11</v>
      </c>
      <c r="N1352" s="756">
        <v>2834.63</v>
      </c>
      <c r="O1352" s="720">
        <f t="shared" si="68"/>
        <v>0</v>
      </c>
    </row>
    <row r="1353" spans="1:15" outlineLevel="2" x14ac:dyDescent="0.25">
      <c r="A1353" s="207" t="str">
        <f>VLOOKUP(RIGHT(E1353,3)+0,SchLocTable!$A$2:$B$47,2,FALSE)</f>
        <v>Hooker</v>
      </c>
      <c r="B1353" s="207" t="str">
        <f>VLOOKUP(VALUE(D1353),$D$3:F$106,3,FALSE)</f>
        <v>English</v>
      </c>
      <c r="C1353" s="751" t="s">
        <v>246</v>
      </c>
      <c r="D1353" s="751" t="s">
        <v>528</v>
      </c>
      <c r="E1353" s="751" t="s">
        <v>1997</v>
      </c>
      <c r="F1353" s="751" t="s">
        <v>259</v>
      </c>
      <c r="G1353" s="752" t="s">
        <v>1681</v>
      </c>
      <c r="H1353" s="753">
        <v>52917</v>
      </c>
      <c r="I1353" s="754">
        <v>40378.5</v>
      </c>
      <c r="J1353" s="754">
        <v>0</v>
      </c>
      <c r="K1353" s="754">
        <v>0</v>
      </c>
      <c r="L1353" s="754">
        <v>8472.5</v>
      </c>
      <c r="M1353" s="754">
        <f t="shared" si="67"/>
        <v>8472.5</v>
      </c>
      <c r="N1353" s="756">
        <v>40378.5</v>
      </c>
      <c r="O1353" s="720">
        <f t="shared" si="68"/>
        <v>0</v>
      </c>
    </row>
    <row r="1354" spans="1:15" outlineLevel="2" x14ac:dyDescent="0.25">
      <c r="A1354" s="207" t="str">
        <f>VLOOKUP(RIGHT(E1354,3)+0,SchLocTable!$A$2:$B$47,2,FALSE)</f>
        <v>Batalla</v>
      </c>
      <c r="B1354" s="207" t="str">
        <f>VLOOKUP(VALUE(D1354),$D$3:F$106,3,FALSE)</f>
        <v>English</v>
      </c>
      <c r="C1354" s="751" t="s">
        <v>246</v>
      </c>
      <c r="D1354" s="751" t="s">
        <v>528</v>
      </c>
      <c r="E1354" s="751" t="s">
        <v>533</v>
      </c>
      <c r="F1354" s="751" t="s">
        <v>248</v>
      </c>
      <c r="G1354" s="752">
        <v>2</v>
      </c>
      <c r="H1354" s="753">
        <v>51000</v>
      </c>
      <c r="I1354" s="754">
        <v>116937.14</v>
      </c>
      <c r="J1354" s="754">
        <v>0</v>
      </c>
      <c r="K1354" s="754">
        <v>0</v>
      </c>
      <c r="L1354" s="754">
        <v>22401.75</v>
      </c>
      <c r="M1354" s="754">
        <f t="shared" si="67"/>
        <v>22401.75</v>
      </c>
      <c r="N1354" s="756">
        <v>116937.14</v>
      </c>
      <c r="O1354" s="720">
        <f t="shared" si="68"/>
        <v>0</v>
      </c>
    </row>
    <row r="1355" spans="1:15" outlineLevel="2" x14ac:dyDescent="0.25">
      <c r="A1355" s="207" t="str">
        <f>VLOOKUP(RIGHT(E1355,3)+0,SchLocTable!$A$2:$B$47,2,FALSE)</f>
        <v>Batalla</v>
      </c>
      <c r="B1355" s="207" t="str">
        <f>VLOOKUP(VALUE(D1355),$D$3:F$106,3,FALSE)</f>
        <v>English</v>
      </c>
      <c r="C1355" s="751" t="s">
        <v>246</v>
      </c>
      <c r="D1355" s="751" t="s">
        <v>528</v>
      </c>
      <c r="E1355" s="751" t="s">
        <v>533</v>
      </c>
      <c r="F1355" s="751" t="s">
        <v>254</v>
      </c>
      <c r="G1355" s="752" t="s">
        <v>1681</v>
      </c>
      <c r="H1355" s="753">
        <v>52360</v>
      </c>
      <c r="I1355" s="754">
        <v>1654.53</v>
      </c>
      <c r="J1355" s="754">
        <v>0</v>
      </c>
      <c r="K1355" s="754">
        <v>0</v>
      </c>
      <c r="L1355" s="754">
        <v>283.77</v>
      </c>
      <c r="M1355" s="754">
        <f t="shared" si="67"/>
        <v>283.77</v>
      </c>
      <c r="N1355" s="756">
        <v>1654.53</v>
      </c>
      <c r="O1355" s="720">
        <f t="shared" si="68"/>
        <v>0</v>
      </c>
    </row>
    <row r="1356" spans="1:15" outlineLevel="2" x14ac:dyDescent="0.25">
      <c r="A1356" s="207" t="str">
        <f>VLOOKUP(RIGHT(E1356,3)+0,SchLocTable!$A$2:$B$47,2,FALSE)</f>
        <v>Batalla</v>
      </c>
      <c r="B1356" s="207" t="str">
        <f>VLOOKUP(VALUE(D1356),$D$3:F$106,3,FALSE)</f>
        <v>English</v>
      </c>
      <c r="C1356" s="755" t="s">
        <v>246</v>
      </c>
      <c r="D1356" s="751" t="s">
        <v>528</v>
      </c>
      <c r="E1356" s="751" t="s">
        <v>533</v>
      </c>
      <c r="F1356" s="751" t="s">
        <v>259</v>
      </c>
      <c r="G1356" s="752" t="s">
        <v>1681</v>
      </c>
      <c r="H1356" s="753">
        <v>52917</v>
      </c>
      <c r="I1356" s="754">
        <v>40322.1</v>
      </c>
      <c r="J1356" s="754">
        <v>0</v>
      </c>
      <c r="K1356" s="754">
        <v>0</v>
      </c>
      <c r="L1356" s="754">
        <v>9600.5</v>
      </c>
      <c r="M1356" s="754">
        <f t="shared" si="67"/>
        <v>9600.5</v>
      </c>
      <c r="N1356" s="756">
        <v>40322.1</v>
      </c>
      <c r="O1356" s="720">
        <f t="shared" si="68"/>
        <v>0</v>
      </c>
    </row>
    <row r="1357" spans="1:15" outlineLevel="2" x14ac:dyDescent="0.25">
      <c r="A1357" s="207" t="str">
        <f>VLOOKUP(RIGHT(E1357,3)+0,SchLocTable!$A$2:$B$47,2,FALSE)</f>
        <v>Info Tech HS</v>
      </c>
      <c r="B1357" s="207" t="str">
        <f>VLOOKUP(VALUE(D1357),$D$3:F$106,3,FALSE)</f>
        <v>English</v>
      </c>
      <c r="C1357" s="751" t="s">
        <v>246</v>
      </c>
      <c r="D1357" s="751" t="s">
        <v>528</v>
      </c>
      <c r="E1357" s="751" t="s">
        <v>534</v>
      </c>
      <c r="F1357" s="751" t="s">
        <v>248</v>
      </c>
      <c r="G1357" s="752">
        <v>2</v>
      </c>
      <c r="H1357" s="753">
        <v>51000</v>
      </c>
      <c r="I1357" s="754">
        <v>152658.9</v>
      </c>
      <c r="J1357" s="754">
        <v>0</v>
      </c>
      <c r="K1357" s="754">
        <v>0</v>
      </c>
      <c r="L1357" s="754">
        <v>29245</v>
      </c>
      <c r="M1357" s="754">
        <f t="shared" si="67"/>
        <v>29245</v>
      </c>
      <c r="N1357" s="756">
        <v>152658.9</v>
      </c>
      <c r="O1357" s="720">
        <f t="shared" si="68"/>
        <v>0</v>
      </c>
    </row>
    <row r="1358" spans="1:15" outlineLevel="2" x14ac:dyDescent="0.25">
      <c r="A1358" s="207" t="str">
        <f>VLOOKUP(RIGHT(E1358,3)+0,SchLocTable!$A$2:$B$47,2,FALSE)</f>
        <v>Info Tech HS</v>
      </c>
      <c r="B1358" s="207" t="str">
        <f>VLOOKUP(VALUE(D1358),$D$3:F$106,3,FALSE)</f>
        <v>English</v>
      </c>
      <c r="C1358" s="751" t="s">
        <v>246</v>
      </c>
      <c r="D1358" s="751" t="s">
        <v>528</v>
      </c>
      <c r="E1358" s="751" t="s">
        <v>534</v>
      </c>
      <c r="F1358" s="751" t="s">
        <v>254</v>
      </c>
      <c r="G1358" s="752" t="s">
        <v>1681</v>
      </c>
      <c r="H1358" s="753">
        <v>52360</v>
      </c>
      <c r="I1358" s="754">
        <v>2172.5</v>
      </c>
      <c r="J1358" s="754">
        <v>0</v>
      </c>
      <c r="K1358" s="754">
        <v>0</v>
      </c>
      <c r="L1358" s="754">
        <v>383</v>
      </c>
      <c r="M1358" s="754">
        <f t="shared" si="67"/>
        <v>383</v>
      </c>
      <c r="N1358" s="756">
        <v>2172.5</v>
      </c>
      <c r="O1358" s="720">
        <f t="shared" si="68"/>
        <v>0</v>
      </c>
    </row>
    <row r="1359" spans="1:15" outlineLevel="2" x14ac:dyDescent="0.25">
      <c r="A1359" s="207" t="str">
        <f>VLOOKUP(RIGHT(E1359,3)+0,SchLocTable!$A$2:$B$47,2,FALSE)</f>
        <v>Info Tech HS</v>
      </c>
      <c r="B1359" s="207" t="str">
        <f>VLOOKUP(VALUE(D1359),$D$3:F$106,3,FALSE)</f>
        <v>English</v>
      </c>
      <c r="C1359" s="751" t="s">
        <v>246</v>
      </c>
      <c r="D1359" s="751" t="s">
        <v>528</v>
      </c>
      <c r="E1359" s="751" t="s">
        <v>534</v>
      </c>
      <c r="F1359" s="751" t="s">
        <v>259</v>
      </c>
      <c r="G1359" s="752" t="s">
        <v>1681</v>
      </c>
      <c r="H1359" s="753">
        <v>52917</v>
      </c>
      <c r="I1359" s="754">
        <v>40322.1</v>
      </c>
      <c r="J1359" s="754">
        <v>0</v>
      </c>
      <c r="K1359" s="754">
        <v>0</v>
      </c>
      <c r="L1359" s="754">
        <v>9600.5</v>
      </c>
      <c r="M1359" s="754">
        <f t="shared" si="67"/>
        <v>9600.5</v>
      </c>
      <c r="N1359" s="756">
        <v>40322.1</v>
      </c>
      <c r="O1359" s="720">
        <f t="shared" si="68"/>
        <v>0</v>
      </c>
    </row>
    <row r="1360" spans="1:15" outlineLevel="2" x14ac:dyDescent="0.25">
      <c r="A1360" s="207" t="str">
        <f>VLOOKUP(RIGHT(E1360,3)+0,SchLocTable!$A$2:$B$47,2,FALSE)</f>
        <v>BMA HS</v>
      </c>
      <c r="B1360" s="207" t="str">
        <f>VLOOKUP(VALUE(D1360),$D$3:F$106,3,FALSE)</f>
        <v>English</v>
      </c>
      <c r="C1360" s="751" t="s">
        <v>246</v>
      </c>
      <c r="D1360" s="751" t="s">
        <v>528</v>
      </c>
      <c r="E1360" s="751" t="s">
        <v>535</v>
      </c>
      <c r="F1360" s="751" t="s">
        <v>248</v>
      </c>
      <c r="G1360" s="752">
        <v>4</v>
      </c>
      <c r="H1360" s="753">
        <v>51000</v>
      </c>
      <c r="I1360" s="754">
        <v>287601.90000000002</v>
      </c>
      <c r="J1360" s="754">
        <v>0</v>
      </c>
      <c r="K1360" s="754">
        <v>0</v>
      </c>
      <c r="L1360" s="754">
        <v>55096.15</v>
      </c>
      <c r="M1360" s="754">
        <f t="shared" si="67"/>
        <v>55096.15</v>
      </c>
      <c r="N1360" s="756">
        <v>287601.90000000002</v>
      </c>
      <c r="O1360" s="720">
        <f t="shared" si="68"/>
        <v>0</v>
      </c>
    </row>
    <row r="1361" spans="1:15" outlineLevel="2" x14ac:dyDescent="0.25">
      <c r="A1361" s="207" t="str">
        <f>VLOOKUP(RIGHT(E1361,3)+0,SchLocTable!$A$2:$B$47,2,FALSE)</f>
        <v>BMA HS</v>
      </c>
      <c r="B1361" s="207" t="str">
        <f>VLOOKUP(VALUE(D1361),$D$3:F$106,3,FALSE)</f>
        <v>English</v>
      </c>
      <c r="C1361" s="751" t="s">
        <v>246</v>
      </c>
      <c r="D1361" s="751" t="s">
        <v>528</v>
      </c>
      <c r="E1361" s="751" t="s">
        <v>535</v>
      </c>
      <c r="F1361" s="751" t="s">
        <v>402</v>
      </c>
      <c r="G1361" s="752" t="s">
        <v>1681</v>
      </c>
      <c r="H1361" s="753">
        <v>51400</v>
      </c>
      <c r="I1361" s="754">
        <v>515</v>
      </c>
      <c r="J1361" s="754">
        <v>0</v>
      </c>
      <c r="K1361" s="754">
        <v>0</v>
      </c>
      <c r="L1361" s="754">
        <v>0</v>
      </c>
      <c r="M1361" s="754">
        <f t="shared" si="67"/>
        <v>0</v>
      </c>
      <c r="N1361" s="756">
        <v>515</v>
      </c>
      <c r="O1361" s="720">
        <f t="shared" si="68"/>
        <v>0</v>
      </c>
    </row>
    <row r="1362" spans="1:15" outlineLevel="2" x14ac:dyDescent="0.25">
      <c r="A1362" s="207" t="str">
        <f>VLOOKUP(RIGHT(E1362,3)+0,SchLocTable!$A$2:$B$47,2,FALSE)</f>
        <v>BMA HS</v>
      </c>
      <c r="B1362" s="207" t="str">
        <f>VLOOKUP(VALUE(D1362),$D$3:F$106,3,FALSE)</f>
        <v>English</v>
      </c>
      <c r="C1362" s="751" t="s">
        <v>246</v>
      </c>
      <c r="D1362" s="751" t="s">
        <v>528</v>
      </c>
      <c r="E1362" s="751" t="s">
        <v>535</v>
      </c>
      <c r="F1362" s="751" t="s">
        <v>254</v>
      </c>
      <c r="G1362" s="752" t="s">
        <v>1681</v>
      </c>
      <c r="H1362" s="753">
        <v>52360</v>
      </c>
      <c r="I1362" s="754">
        <v>4074.9</v>
      </c>
      <c r="J1362" s="754">
        <v>0</v>
      </c>
      <c r="K1362" s="754">
        <v>0</v>
      </c>
      <c r="L1362" s="754">
        <v>703.57</v>
      </c>
      <c r="M1362" s="754">
        <f t="shared" si="67"/>
        <v>703.57</v>
      </c>
      <c r="N1362" s="756">
        <v>4074.9</v>
      </c>
      <c r="O1362" s="720">
        <f t="shared" si="68"/>
        <v>0</v>
      </c>
    </row>
    <row r="1363" spans="1:15" outlineLevel="2" x14ac:dyDescent="0.25">
      <c r="A1363" s="207" t="str">
        <f>VLOOKUP(RIGHT(E1363,3)+0,SchLocTable!$A$2:$B$47,2,FALSE)</f>
        <v>BMA HS</v>
      </c>
      <c r="B1363" s="207" t="str">
        <f>VLOOKUP(VALUE(D1363),$D$3:F$106,3,FALSE)</f>
        <v>English</v>
      </c>
      <c r="C1363" s="751" t="s">
        <v>246</v>
      </c>
      <c r="D1363" s="751" t="s">
        <v>528</v>
      </c>
      <c r="E1363" s="751" t="s">
        <v>535</v>
      </c>
      <c r="F1363" s="751" t="s">
        <v>259</v>
      </c>
      <c r="G1363" s="752" t="s">
        <v>1681</v>
      </c>
      <c r="H1363" s="753">
        <v>52917</v>
      </c>
      <c r="I1363" s="754">
        <v>93743.16</v>
      </c>
      <c r="J1363" s="754">
        <v>0</v>
      </c>
      <c r="K1363" s="754">
        <v>0</v>
      </c>
      <c r="L1363" s="754">
        <v>22319.8</v>
      </c>
      <c r="M1363" s="754">
        <f t="shared" si="67"/>
        <v>22319.8</v>
      </c>
      <c r="N1363" s="756">
        <v>93743.16</v>
      </c>
      <c r="O1363" s="720">
        <f t="shared" si="68"/>
        <v>0</v>
      </c>
    </row>
    <row r="1364" spans="1:15" outlineLevel="2" x14ac:dyDescent="0.25">
      <c r="A1364" s="207" t="str">
        <f>VLOOKUP(RIGHT(E1364,3)+0,SchLocTable!$A$2:$B$47,2,FALSE)</f>
        <v>Park City Magnet</v>
      </c>
      <c r="B1364" s="207" t="str">
        <f>VLOOKUP(VALUE(D1364),$D$3:F$106,3,FALSE)</f>
        <v>English</v>
      </c>
      <c r="C1364" s="751" t="s">
        <v>246</v>
      </c>
      <c r="D1364" s="751" t="s">
        <v>528</v>
      </c>
      <c r="E1364" s="751" t="s">
        <v>536</v>
      </c>
      <c r="F1364" s="751" t="s">
        <v>248</v>
      </c>
      <c r="G1364" s="752">
        <v>1</v>
      </c>
      <c r="H1364" s="753">
        <v>51000</v>
      </c>
      <c r="I1364" s="754">
        <v>93652.800000000003</v>
      </c>
      <c r="J1364" s="754">
        <v>0</v>
      </c>
      <c r="K1364" s="754">
        <v>0</v>
      </c>
      <c r="L1364" s="754">
        <v>17941.150000000001</v>
      </c>
      <c r="M1364" s="754">
        <f t="shared" si="67"/>
        <v>17941.150000000001</v>
      </c>
      <c r="N1364" s="756">
        <v>93652.800000000003</v>
      </c>
      <c r="O1364" s="720">
        <f t="shared" si="68"/>
        <v>0</v>
      </c>
    </row>
    <row r="1365" spans="1:15" outlineLevel="2" x14ac:dyDescent="0.25">
      <c r="A1365" s="207" t="str">
        <f>VLOOKUP(RIGHT(E1365,3)+0,SchLocTable!$A$2:$B$47,2,FALSE)</f>
        <v>Park City Magnet</v>
      </c>
      <c r="B1365" s="207" t="str">
        <f>VLOOKUP(VALUE(D1365),$D$3:F$106,3,FALSE)</f>
        <v>English</v>
      </c>
      <c r="C1365" s="751" t="s">
        <v>246</v>
      </c>
      <c r="D1365" s="751" t="s">
        <v>528</v>
      </c>
      <c r="E1365" s="751" t="s">
        <v>536</v>
      </c>
      <c r="F1365" s="751" t="s">
        <v>257</v>
      </c>
      <c r="G1365" s="752" t="s">
        <v>1681</v>
      </c>
      <c r="H1365" s="753">
        <v>51140</v>
      </c>
      <c r="I1365" s="754">
        <v>1200</v>
      </c>
      <c r="J1365" s="754">
        <v>0</v>
      </c>
      <c r="K1365" s="754">
        <v>0</v>
      </c>
      <c r="L1365" s="754">
        <v>0</v>
      </c>
      <c r="M1365" s="754">
        <f t="shared" si="67"/>
        <v>0</v>
      </c>
      <c r="N1365" s="756">
        <v>1200</v>
      </c>
      <c r="O1365" s="720">
        <f t="shared" si="68"/>
        <v>0</v>
      </c>
    </row>
    <row r="1366" spans="1:15" outlineLevel="2" x14ac:dyDescent="0.25">
      <c r="A1366" s="207" t="str">
        <f>VLOOKUP(RIGHT(E1366,3)+0,SchLocTable!$A$2:$B$47,2,FALSE)</f>
        <v>Park City Magnet</v>
      </c>
      <c r="B1366" s="207" t="str">
        <f>VLOOKUP(VALUE(D1366),$D$3:F$106,3,FALSE)</f>
        <v>English</v>
      </c>
      <c r="C1366" s="751" t="s">
        <v>246</v>
      </c>
      <c r="D1366" s="751" t="s">
        <v>528</v>
      </c>
      <c r="E1366" s="751" t="s">
        <v>536</v>
      </c>
      <c r="F1366" s="751" t="s">
        <v>254</v>
      </c>
      <c r="G1366" s="752" t="s">
        <v>1681</v>
      </c>
      <c r="H1366" s="753">
        <v>52360</v>
      </c>
      <c r="I1366" s="754">
        <v>1345.92</v>
      </c>
      <c r="J1366" s="754">
        <v>0</v>
      </c>
      <c r="K1366" s="754">
        <v>0</v>
      </c>
      <c r="L1366" s="754">
        <v>248.1</v>
      </c>
      <c r="M1366" s="754">
        <f t="shared" si="67"/>
        <v>248.1</v>
      </c>
      <c r="N1366" s="756">
        <v>1345.92</v>
      </c>
      <c r="O1366" s="720">
        <f t="shared" si="68"/>
        <v>0</v>
      </c>
    </row>
    <row r="1367" spans="1:15" outlineLevel="2" x14ac:dyDescent="0.25">
      <c r="A1367" s="207" t="str">
        <f>VLOOKUP(RIGHT(E1367,3)+0,SchLocTable!$A$2:$B$47,2,FALSE)</f>
        <v>Park City Magnet</v>
      </c>
      <c r="B1367" s="207" t="str">
        <f>VLOOKUP(VALUE(D1367),$D$3:F$106,3,FALSE)</f>
        <v>English</v>
      </c>
      <c r="C1367" s="755" t="s">
        <v>246</v>
      </c>
      <c r="D1367" s="751" t="s">
        <v>528</v>
      </c>
      <c r="E1367" s="751" t="s">
        <v>536</v>
      </c>
      <c r="F1367" s="751" t="s">
        <v>259</v>
      </c>
      <c r="G1367" s="752" t="s">
        <v>1681</v>
      </c>
      <c r="H1367" s="753">
        <v>52917</v>
      </c>
      <c r="I1367" s="754">
        <v>11844</v>
      </c>
      <c r="J1367" s="754">
        <v>0</v>
      </c>
      <c r="K1367" s="754">
        <v>0</v>
      </c>
      <c r="L1367" s="754">
        <v>2820</v>
      </c>
      <c r="M1367" s="754">
        <f t="shared" si="67"/>
        <v>2820</v>
      </c>
      <c r="N1367" s="756">
        <v>11844</v>
      </c>
      <c r="O1367" s="720">
        <f t="shared" si="68"/>
        <v>0</v>
      </c>
    </row>
    <row r="1368" spans="1:15" outlineLevel="2" x14ac:dyDescent="0.25">
      <c r="A1368" s="207" t="str">
        <f>VLOOKUP(RIGHT(E1368,3)+0,SchLocTable!$A$2:$B$47,2,FALSE)</f>
        <v>Zoo Science HS</v>
      </c>
      <c r="B1368" s="207" t="str">
        <f>VLOOKUP(VALUE(D1368),$D$3:F$106,3,FALSE)</f>
        <v>English</v>
      </c>
      <c r="C1368" s="751" t="s">
        <v>246</v>
      </c>
      <c r="D1368" s="751" t="s">
        <v>528</v>
      </c>
      <c r="E1368" s="751" t="s">
        <v>537</v>
      </c>
      <c r="F1368" s="751" t="s">
        <v>248</v>
      </c>
      <c r="G1368" s="752">
        <v>2</v>
      </c>
      <c r="H1368" s="753">
        <v>51000</v>
      </c>
      <c r="I1368" s="754">
        <v>206306.41</v>
      </c>
      <c r="J1368" s="754">
        <v>0</v>
      </c>
      <c r="K1368" s="754">
        <v>0</v>
      </c>
      <c r="L1368" s="754">
        <v>39522.300000000003</v>
      </c>
      <c r="M1368" s="754">
        <f t="shared" si="67"/>
        <v>39522.300000000003</v>
      </c>
      <c r="N1368" s="756">
        <v>206306.41</v>
      </c>
      <c r="O1368" s="720">
        <f t="shared" si="68"/>
        <v>0</v>
      </c>
    </row>
    <row r="1369" spans="1:15" outlineLevel="2" x14ac:dyDescent="0.25">
      <c r="A1369" s="207" t="str">
        <f>VLOOKUP(RIGHT(E1369,3)+0,SchLocTable!$A$2:$B$47,2,FALSE)</f>
        <v>Zoo Science HS</v>
      </c>
      <c r="B1369" s="207" t="str">
        <f>VLOOKUP(VALUE(D1369),$D$3:F$106,3,FALSE)</f>
        <v>English</v>
      </c>
      <c r="C1369" s="751" t="s">
        <v>246</v>
      </c>
      <c r="D1369" s="751" t="s">
        <v>528</v>
      </c>
      <c r="E1369" s="751" t="s">
        <v>537</v>
      </c>
      <c r="F1369" s="751" t="s">
        <v>257</v>
      </c>
      <c r="G1369" s="752" t="s">
        <v>1681</v>
      </c>
      <c r="H1369" s="753">
        <v>51140</v>
      </c>
      <c r="I1369" s="754">
        <v>2200</v>
      </c>
      <c r="J1369" s="754">
        <v>0</v>
      </c>
      <c r="K1369" s="754">
        <v>0</v>
      </c>
      <c r="L1369" s="754">
        <v>0</v>
      </c>
      <c r="M1369" s="754">
        <f t="shared" si="67"/>
        <v>0</v>
      </c>
      <c r="N1369" s="756">
        <v>2200</v>
      </c>
      <c r="O1369" s="720">
        <f t="shared" si="68"/>
        <v>0</v>
      </c>
    </row>
    <row r="1370" spans="1:15" outlineLevel="2" x14ac:dyDescent="0.25">
      <c r="A1370" s="207" t="str">
        <f>VLOOKUP(RIGHT(E1370,3)+0,SchLocTable!$A$2:$B$47,2,FALSE)</f>
        <v>Zoo Science HS</v>
      </c>
      <c r="B1370" s="207" t="str">
        <f>VLOOKUP(VALUE(D1370),$D$3:F$106,3,FALSE)</f>
        <v>English</v>
      </c>
      <c r="C1370" s="751" t="s">
        <v>246</v>
      </c>
      <c r="D1370" s="751" t="s">
        <v>528</v>
      </c>
      <c r="E1370" s="751" t="s">
        <v>537</v>
      </c>
      <c r="F1370" s="751" t="s">
        <v>254</v>
      </c>
      <c r="G1370" s="752" t="s">
        <v>1681</v>
      </c>
      <c r="H1370" s="753">
        <v>52360</v>
      </c>
      <c r="I1370" s="754">
        <v>2942.03</v>
      </c>
      <c r="J1370" s="754">
        <v>0</v>
      </c>
      <c r="K1370" s="754">
        <v>0</v>
      </c>
      <c r="L1370" s="754">
        <v>523.66</v>
      </c>
      <c r="M1370" s="754">
        <f t="shared" si="67"/>
        <v>523.66</v>
      </c>
      <c r="N1370" s="756">
        <v>2942.03</v>
      </c>
      <c r="O1370" s="720">
        <f t="shared" si="68"/>
        <v>0</v>
      </c>
    </row>
    <row r="1371" spans="1:15" outlineLevel="2" x14ac:dyDescent="0.25">
      <c r="A1371" s="207" t="str">
        <f>VLOOKUP(RIGHT(E1371,3)+0,SchLocTable!$A$2:$B$47,2,FALSE)</f>
        <v>Zoo Science HS</v>
      </c>
      <c r="B1371" s="207" t="str">
        <f>VLOOKUP(VALUE(D1371),$D$3:F$106,3,FALSE)</f>
        <v>English</v>
      </c>
      <c r="C1371" s="751" t="s">
        <v>246</v>
      </c>
      <c r="D1371" s="751" t="s">
        <v>528</v>
      </c>
      <c r="E1371" s="751" t="s">
        <v>537</v>
      </c>
      <c r="F1371" s="751" t="s">
        <v>259</v>
      </c>
      <c r="G1371" s="752" t="s">
        <v>1681</v>
      </c>
      <c r="H1371" s="753">
        <v>52917</v>
      </c>
      <c r="I1371" s="754">
        <v>47359.199999999997</v>
      </c>
      <c r="J1371" s="754">
        <v>0</v>
      </c>
      <c r="K1371" s="754">
        <v>0</v>
      </c>
      <c r="L1371" s="754">
        <v>11276</v>
      </c>
      <c r="M1371" s="754">
        <f t="shared" si="67"/>
        <v>11276</v>
      </c>
      <c r="N1371" s="756">
        <v>47359.199999999997</v>
      </c>
      <c r="O1371" s="720">
        <f t="shared" si="68"/>
        <v>0</v>
      </c>
    </row>
    <row r="1372" spans="1:15" outlineLevel="2" x14ac:dyDescent="0.25">
      <c r="A1372" s="207" t="str">
        <f>VLOOKUP(RIGHT(E1372,3)+0,SchLocTable!$A$2:$B$47,2,FALSE)</f>
        <v>Classical Studies Academy</v>
      </c>
      <c r="B1372" s="207" t="str">
        <f>VLOOKUP(VALUE(D1372),$D$3:F$106,3,FALSE)</f>
        <v>English</v>
      </c>
      <c r="C1372" s="751" t="s">
        <v>246</v>
      </c>
      <c r="D1372" s="751" t="s">
        <v>528</v>
      </c>
      <c r="E1372" s="751" t="s">
        <v>538</v>
      </c>
      <c r="F1372" s="751" t="s">
        <v>248</v>
      </c>
      <c r="G1372" s="752" t="s">
        <v>1681</v>
      </c>
      <c r="H1372" s="753">
        <v>51000</v>
      </c>
      <c r="I1372" s="754">
        <v>0</v>
      </c>
      <c r="J1372" s="754">
        <v>0</v>
      </c>
      <c r="K1372" s="754">
        <v>0</v>
      </c>
      <c r="L1372" s="754">
        <v>0</v>
      </c>
      <c r="M1372" s="754">
        <f t="shared" si="67"/>
        <v>0</v>
      </c>
      <c r="N1372" s="756">
        <v>0</v>
      </c>
      <c r="O1372" s="720">
        <f t="shared" si="68"/>
        <v>0</v>
      </c>
    </row>
    <row r="1373" spans="1:15" outlineLevel="2" x14ac:dyDescent="0.25">
      <c r="A1373" s="207" t="str">
        <f>VLOOKUP(RIGHT(E1373,3)+0,SchLocTable!$A$2:$B$47,2,FALSE)</f>
        <v>Classical Studies Academy</v>
      </c>
      <c r="B1373" s="207" t="str">
        <f>VLOOKUP(VALUE(D1373),$D$3:F$106,3,FALSE)</f>
        <v>English</v>
      </c>
      <c r="C1373" s="755" t="s">
        <v>246</v>
      </c>
      <c r="D1373" s="751" t="s">
        <v>528</v>
      </c>
      <c r="E1373" s="751" t="s">
        <v>538</v>
      </c>
      <c r="F1373" s="751" t="s">
        <v>254</v>
      </c>
      <c r="G1373" s="752" t="s">
        <v>1681</v>
      </c>
      <c r="H1373" s="753">
        <v>52360</v>
      </c>
      <c r="I1373" s="754">
        <v>0</v>
      </c>
      <c r="J1373" s="754">
        <v>0</v>
      </c>
      <c r="K1373" s="754">
        <v>0</v>
      </c>
      <c r="L1373" s="754">
        <v>0</v>
      </c>
      <c r="M1373" s="754">
        <f t="shared" si="67"/>
        <v>0</v>
      </c>
      <c r="N1373" s="756">
        <v>0</v>
      </c>
      <c r="O1373" s="720">
        <f t="shared" si="68"/>
        <v>0</v>
      </c>
    </row>
    <row r="1374" spans="1:15" outlineLevel="2" x14ac:dyDescent="0.25">
      <c r="A1374" s="207" t="str">
        <f>VLOOKUP(RIGHT(E1374,3)+0,SchLocTable!$A$2:$B$47,2,FALSE)</f>
        <v>Classical Studies Academy</v>
      </c>
      <c r="B1374" s="207" t="str">
        <f>VLOOKUP(VALUE(D1374),$D$3:F$106,3,FALSE)</f>
        <v>English</v>
      </c>
      <c r="C1374" s="751" t="s">
        <v>246</v>
      </c>
      <c r="D1374" s="751" t="s">
        <v>528</v>
      </c>
      <c r="E1374" s="751" t="s">
        <v>538</v>
      </c>
      <c r="F1374" s="751" t="s">
        <v>259</v>
      </c>
      <c r="G1374" s="752" t="s">
        <v>1681</v>
      </c>
      <c r="H1374" s="753">
        <v>52917</v>
      </c>
      <c r="I1374" s="754">
        <v>0</v>
      </c>
      <c r="J1374" s="754">
        <v>0</v>
      </c>
      <c r="K1374" s="754">
        <v>0</v>
      </c>
      <c r="L1374" s="754">
        <v>0</v>
      </c>
      <c r="M1374" s="754">
        <f t="shared" si="67"/>
        <v>0</v>
      </c>
      <c r="N1374" s="756">
        <v>0</v>
      </c>
      <c r="O1374" s="720">
        <f t="shared" si="68"/>
        <v>0</v>
      </c>
    </row>
    <row r="1375" spans="1:15" outlineLevel="2" x14ac:dyDescent="0.25">
      <c r="A1375" s="207" t="str">
        <f>VLOOKUP(RIGHT(E1375,3)+0,SchLocTable!$A$2:$B$47,2,FALSE)</f>
        <v>Tisdale</v>
      </c>
      <c r="B1375" s="207" t="str">
        <f>VLOOKUP(VALUE(D1375),$D$3:F$106,3,FALSE)</f>
        <v>English</v>
      </c>
      <c r="C1375" s="751" t="s">
        <v>246</v>
      </c>
      <c r="D1375" s="751" t="s">
        <v>528</v>
      </c>
      <c r="E1375" s="751" t="s">
        <v>539</v>
      </c>
      <c r="F1375" s="751" t="s">
        <v>248</v>
      </c>
      <c r="G1375" s="752">
        <v>2</v>
      </c>
      <c r="H1375" s="753">
        <v>51000</v>
      </c>
      <c r="I1375" s="754">
        <v>183784.19</v>
      </c>
      <c r="J1375" s="754">
        <v>0</v>
      </c>
      <c r="K1375" s="754">
        <v>0</v>
      </c>
      <c r="L1375" s="754">
        <v>35207.699999999997</v>
      </c>
      <c r="M1375" s="754">
        <f t="shared" si="67"/>
        <v>35207.699999999997</v>
      </c>
      <c r="N1375" s="756">
        <v>183784.19</v>
      </c>
      <c r="O1375" s="720">
        <f t="shared" si="68"/>
        <v>0</v>
      </c>
    </row>
    <row r="1376" spans="1:15" outlineLevel="2" x14ac:dyDescent="0.25">
      <c r="A1376" s="207" t="str">
        <f>VLOOKUP(RIGHT(E1376,3)+0,SchLocTable!$A$2:$B$47,2,FALSE)</f>
        <v>Tisdale</v>
      </c>
      <c r="B1376" s="207" t="str">
        <f>VLOOKUP(VALUE(D1376),$D$3:F$106,3,FALSE)</f>
        <v>English</v>
      </c>
      <c r="C1376" s="751" t="s">
        <v>246</v>
      </c>
      <c r="D1376" s="751" t="s">
        <v>528</v>
      </c>
      <c r="E1376" s="751" t="s">
        <v>539</v>
      </c>
      <c r="F1376" s="751" t="s">
        <v>257</v>
      </c>
      <c r="G1376" s="752" t="s">
        <v>1681</v>
      </c>
      <c r="H1376" s="753">
        <v>51140</v>
      </c>
      <c r="I1376" s="754">
        <v>1100</v>
      </c>
      <c r="J1376" s="754">
        <v>0</v>
      </c>
      <c r="K1376" s="754">
        <v>0</v>
      </c>
      <c r="L1376" s="754">
        <v>0</v>
      </c>
      <c r="M1376" s="754">
        <f t="shared" si="67"/>
        <v>0</v>
      </c>
      <c r="N1376" s="756">
        <v>1100</v>
      </c>
      <c r="O1376" s="720">
        <f t="shared" si="68"/>
        <v>0</v>
      </c>
    </row>
    <row r="1377" spans="1:15" outlineLevel="2" x14ac:dyDescent="0.25">
      <c r="A1377" s="207" t="str">
        <f>VLOOKUP(RIGHT(E1377,3)+0,SchLocTable!$A$2:$B$47,2,FALSE)</f>
        <v>Tisdale</v>
      </c>
      <c r="B1377" s="207" t="str">
        <f>VLOOKUP(VALUE(D1377),$D$3:F$106,3,FALSE)</f>
        <v>English</v>
      </c>
      <c r="C1377" s="751" t="s">
        <v>246</v>
      </c>
      <c r="D1377" s="751" t="s">
        <v>528</v>
      </c>
      <c r="E1377" s="751" t="s">
        <v>539</v>
      </c>
      <c r="F1377" s="751" t="s">
        <v>254</v>
      </c>
      <c r="G1377" s="752" t="s">
        <v>1681</v>
      </c>
      <c r="H1377" s="753">
        <v>52360</v>
      </c>
      <c r="I1377" s="754">
        <v>2652.18</v>
      </c>
      <c r="J1377" s="754">
        <v>0</v>
      </c>
      <c r="K1377" s="754">
        <v>0</v>
      </c>
      <c r="L1377" s="754">
        <v>497.82</v>
      </c>
      <c r="M1377" s="754">
        <f t="shared" si="67"/>
        <v>497.82</v>
      </c>
      <c r="N1377" s="756">
        <v>2652.18</v>
      </c>
      <c r="O1377" s="720">
        <f t="shared" si="68"/>
        <v>0</v>
      </c>
    </row>
    <row r="1378" spans="1:15" outlineLevel="2" x14ac:dyDescent="0.25">
      <c r="A1378" s="207" t="str">
        <f>VLOOKUP(RIGHT(E1378,3)+0,SchLocTable!$A$2:$B$47,2,FALSE)</f>
        <v>Tisdale</v>
      </c>
      <c r="B1378" s="207" t="str">
        <f>VLOOKUP(VALUE(D1378),$D$3:F$106,3,FALSE)</f>
        <v>English</v>
      </c>
      <c r="C1378" s="751" t="s">
        <v>246</v>
      </c>
      <c r="D1378" s="751" t="s">
        <v>528</v>
      </c>
      <c r="E1378" s="751" t="s">
        <v>539</v>
      </c>
      <c r="F1378" s="751" t="s">
        <v>259</v>
      </c>
      <c r="G1378" s="752" t="s">
        <v>1681</v>
      </c>
      <c r="H1378" s="753">
        <v>52917</v>
      </c>
      <c r="I1378" s="754">
        <v>12873.42</v>
      </c>
      <c r="J1378" s="754">
        <v>0</v>
      </c>
      <c r="K1378" s="754">
        <v>0</v>
      </c>
      <c r="L1378" s="754">
        <v>3065.1</v>
      </c>
      <c r="M1378" s="754">
        <f t="shared" si="67"/>
        <v>3065.1</v>
      </c>
      <c r="N1378" s="756">
        <v>12873.42</v>
      </c>
      <c r="O1378" s="720">
        <f t="shared" si="68"/>
        <v>0</v>
      </c>
    </row>
    <row r="1379" spans="1:15" outlineLevel="2" x14ac:dyDescent="0.25">
      <c r="A1379" s="207" t="str">
        <f>VLOOKUP(RIGHT(E1379,3)+0,SchLocTable!$A$2:$B$47,2,FALSE)</f>
        <v>Read</v>
      </c>
      <c r="B1379" s="207" t="str">
        <f>VLOOKUP(VALUE(D1379),$D$3:F$106,3,FALSE)</f>
        <v>English</v>
      </c>
      <c r="C1379" s="751" t="s">
        <v>246</v>
      </c>
      <c r="D1379" s="751" t="s">
        <v>528</v>
      </c>
      <c r="E1379" s="751" t="s">
        <v>540</v>
      </c>
      <c r="F1379" s="751" t="s">
        <v>248</v>
      </c>
      <c r="G1379" s="752">
        <v>3</v>
      </c>
      <c r="H1379" s="753">
        <v>51000</v>
      </c>
      <c r="I1379" s="754">
        <v>271385.71000000002</v>
      </c>
      <c r="J1379" s="754">
        <v>0</v>
      </c>
      <c r="K1379" s="754">
        <v>0</v>
      </c>
      <c r="L1379" s="754">
        <v>51989.599999999999</v>
      </c>
      <c r="M1379" s="754">
        <f t="shared" si="67"/>
        <v>51989.599999999999</v>
      </c>
      <c r="N1379" s="756">
        <v>271385.71000000002</v>
      </c>
      <c r="O1379" s="720">
        <f t="shared" si="68"/>
        <v>0</v>
      </c>
    </row>
    <row r="1380" spans="1:15" outlineLevel="2" x14ac:dyDescent="0.25">
      <c r="A1380" s="207" t="str">
        <f>VLOOKUP(RIGHT(E1380,3)+0,SchLocTable!$A$2:$B$47,2,FALSE)</f>
        <v>Read</v>
      </c>
      <c r="B1380" s="207" t="str">
        <f>VLOOKUP(VALUE(D1380),$D$3:F$106,3,FALSE)</f>
        <v>English</v>
      </c>
      <c r="C1380" s="755" t="s">
        <v>246</v>
      </c>
      <c r="D1380" s="751" t="s">
        <v>528</v>
      </c>
      <c r="E1380" s="751" t="s">
        <v>540</v>
      </c>
      <c r="F1380" s="751" t="s">
        <v>257</v>
      </c>
      <c r="G1380" s="752" t="s">
        <v>1681</v>
      </c>
      <c r="H1380" s="753">
        <v>51140</v>
      </c>
      <c r="I1380" s="754">
        <v>1300</v>
      </c>
      <c r="J1380" s="754">
        <v>0</v>
      </c>
      <c r="K1380" s="754">
        <v>0</v>
      </c>
      <c r="L1380" s="754">
        <v>0</v>
      </c>
      <c r="M1380" s="754">
        <f t="shared" si="67"/>
        <v>0</v>
      </c>
      <c r="N1380" s="756">
        <v>1300</v>
      </c>
      <c r="O1380" s="720">
        <f t="shared" si="68"/>
        <v>0</v>
      </c>
    </row>
    <row r="1381" spans="1:15" outlineLevel="2" x14ac:dyDescent="0.25">
      <c r="A1381" s="207" t="str">
        <f>VLOOKUP(RIGHT(E1381,3)+0,SchLocTable!$A$2:$B$47,2,FALSE)</f>
        <v>Read</v>
      </c>
      <c r="B1381" s="207" t="str">
        <f>VLOOKUP(VALUE(D1381),$D$3:F$106,3,FALSE)</f>
        <v>English</v>
      </c>
      <c r="C1381" s="751" t="s">
        <v>246</v>
      </c>
      <c r="D1381" s="751" t="s">
        <v>528</v>
      </c>
      <c r="E1381" s="751" t="s">
        <v>540</v>
      </c>
      <c r="F1381" s="751" t="s">
        <v>254</v>
      </c>
      <c r="G1381" s="752" t="s">
        <v>1681</v>
      </c>
      <c r="H1381" s="753">
        <v>52360</v>
      </c>
      <c r="I1381" s="754">
        <v>3895.21</v>
      </c>
      <c r="J1381" s="754">
        <v>0</v>
      </c>
      <c r="K1381" s="754">
        <v>0</v>
      </c>
      <c r="L1381" s="754">
        <v>713.97</v>
      </c>
      <c r="M1381" s="754">
        <f t="shared" si="67"/>
        <v>713.97</v>
      </c>
      <c r="N1381" s="756">
        <v>3895.21</v>
      </c>
      <c r="O1381" s="720">
        <f t="shared" si="68"/>
        <v>0</v>
      </c>
    </row>
    <row r="1382" spans="1:15" outlineLevel="2" x14ac:dyDescent="0.25">
      <c r="A1382" s="207" t="str">
        <f>VLOOKUP(RIGHT(E1382,3)+0,SchLocTable!$A$2:$B$47,2,FALSE)</f>
        <v>Read</v>
      </c>
      <c r="B1382" s="207" t="str">
        <f>VLOOKUP(VALUE(D1382),$D$3:F$106,3,FALSE)</f>
        <v>English</v>
      </c>
      <c r="C1382" s="751" t="s">
        <v>246</v>
      </c>
      <c r="D1382" s="751" t="s">
        <v>528</v>
      </c>
      <c r="E1382" s="751" t="s">
        <v>540</v>
      </c>
      <c r="F1382" s="751" t="s">
        <v>259</v>
      </c>
      <c r="G1382" s="752" t="s">
        <v>1681</v>
      </c>
      <c r="H1382" s="753">
        <v>52917</v>
      </c>
      <c r="I1382" s="754">
        <v>35973.24</v>
      </c>
      <c r="J1382" s="754">
        <v>0</v>
      </c>
      <c r="K1382" s="754">
        <v>0</v>
      </c>
      <c r="L1382" s="754">
        <v>8566.52</v>
      </c>
      <c r="M1382" s="754">
        <f t="shared" si="67"/>
        <v>8566.52</v>
      </c>
      <c r="N1382" s="756">
        <v>35973.24</v>
      </c>
      <c r="O1382" s="720">
        <f t="shared" si="68"/>
        <v>0</v>
      </c>
    </row>
    <row r="1383" spans="1:15" outlineLevel="2" x14ac:dyDescent="0.25">
      <c r="A1383" s="207" t="str">
        <f>VLOOKUP(RIGHT(E1383,3)+0,SchLocTable!$A$2:$B$47,2,FALSE)</f>
        <v>Roosevelt</v>
      </c>
      <c r="B1383" s="207" t="str">
        <f>VLOOKUP(VALUE(D1383),$D$3:F$106,3,FALSE)</f>
        <v>English</v>
      </c>
      <c r="C1383" s="751" t="s">
        <v>246</v>
      </c>
      <c r="D1383" s="751" t="s">
        <v>528</v>
      </c>
      <c r="E1383" s="751" t="s">
        <v>1998</v>
      </c>
      <c r="F1383" s="751" t="s">
        <v>248</v>
      </c>
      <c r="G1383" s="752">
        <v>1</v>
      </c>
      <c r="H1383" s="753">
        <v>51000</v>
      </c>
      <c r="I1383" s="754">
        <v>58141.67</v>
      </c>
      <c r="J1383" s="754">
        <v>0</v>
      </c>
      <c r="K1383" s="754">
        <v>0</v>
      </c>
      <c r="L1383" s="754">
        <v>11138.25</v>
      </c>
      <c r="M1383" s="754">
        <f t="shared" si="67"/>
        <v>11138.25</v>
      </c>
      <c r="N1383" s="756">
        <v>58141.67</v>
      </c>
      <c r="O1383" s="720">
        <f t="shared" si="68"/>
        <v>0</v>
      </c>
    </row>
    <row r="1384" spans="1:15" outlineLevel="2" x14ac:dyDescent="0.25">
      <c r="A1384" s="207" t="str">
        <f>VLOOKUP(RIGHT(E1384,3)+0,SchLocTable!$A$2:$B$47,2,FALSE)</f>
        <v>Roosevelt</v>
      </c>
      <c r="B1384" s="207" t="str">
        <f>VLOOKUP(VALUE(D1384),$D$3:F$106,3,FALSE)</f>
        <v>English</v>
      </c>
      <c r="C1384" s="751" t="s">
        <v>246</v>
      </c>
      <c r="D1384" s="751" t="s">
        <v>528</v>
      </c>
      <c r="E1384" s="751" t="s">
        <v>1998</v>
      </c>
      <c r="F1384" s="751" t="s">
        <v>254</v>
      </c>
      <c r="G1384" s="752" t="s">
        <v>1681</v>
      </c>
      <c r="H1384" s="753">
        <v>52360</v>
      </c>
      <c r="I1384" s="754">
        <v>842.5</v>
      </c>
      <c r="J1384" s="754">
        <v>0</v>
      </c>
      <c r="K1384" s="754">
        <v>0</v>
      </c>
      <c r="L1384" s="754">
        <v>160.94999999999999</v>
      </c>
      <c r="M1384" s="754">
        <f t="shared" si="67"/>
        <v>160.94999999999999</v>
      </c>
      <c r="N1384" s="756">
        <v>842.5</v>
      </c>
      <c r="O1384" s="720">
        <f t="shared" si="68"/>
        <v>0</v>
      </c>
    </row>
    <row r="1385" spans="1:15" outlineLevel="2" x14ac:dyDescent="0.25">
      <c r="A1385" s="207" t="str">
        <f>VLOOKUP(RIGHT(E1385,3)+0,SchLocTable!$A$2:$B$47,2,FALSE)</f>
        <v>Roosevelt</v>
      </c>
      <c r="B1385" s="207" t="str">
        <f>VLOOKUP(VALUE(D1385),$D$3:F$106,3,FALSE)</f>
        <v>English</v>
      </c>
      <c r="C1385" s="755" t="s">
        <v>246</v>
      </c>
      <c r="D1385" s="751" t="s">
        <v>528</v>
      </c>
      <c r="E1385" s="751" t="s">
        <v>1998</v>
      </c>
      <c r="F1385" s="751" t="s">
        <v>259</v>
      </c>
      <c r="G1385" s="752" t="s">
        <v>1681</v>
      </c>
      <c r="H1385" s="753">
        <v>52917</v>
      </c>
      <c r="I1385" s="754">
        <v>878.64</v>
      </c>
      <c r="J1385" s="754">
        <v>0</v>
      </c>
      <c r="K1385" s="754">
        <v>0</v>
      </c>
      <c r="L1385" s="754">
        <v>209.2</v>
      </c>
      <c r="M1385" s="754">
        <f t="shared" si="67"/>
        <v>209.2</v>
      </c>
      <c r="N1385" s="756">
        <v>878.64</v>
      </c>
      <c r="O1385" s="720">
        <f t="shared" si="68"/>
        <v>0</v>
      </c>
    </row>
    <row r="1386" spans="1:15" outlineLevel="2" x14ac:dyDescent="0.25">
      <c r="A1386" s="207" t="str">
        <f>VLOOKUP(RIGHT(E1386,3)+0,SchLocTable!$A$2:$B$47,2,FALSE)</f>
        <v>Waltersville</v>
      </c>
      <c r="B1386" s="207" t="str">
        <f>VLOOKUP(VALUE(D1386),$D$3:F$106,3,FALSE)</f>
        <v>English</v>
      </c>
      <c r="C1386" s="751" t="s">
        <v>246</v>
      </c>
      <c r="D1386" s="751" t="s">
        <v>528</v>
      </c>
      <c r="E1386" s="751" t="s">
        <v>541</v>
      </c>
      <c r="F1386" s="751" t="s">
        <v>248</v>
      </c>
      <c r="G1386" s="752">
        <v>1</v>
      </c>
      <c r="H1386" s="753">
        <v>51000</v>
      </c>
      <c r="I1386" s="754">
        <v>70291.22</v>
      </c>
      <c r="J1386" s="754">
        <v>0</v>
      </c>
      <c r="K1386" s="754">
        <v>0</v>
      </c>
      <c r="L1386" s="754">
        <v>13465.75</v>
      </c>
      <c r="M1386" s="754">
        <f t="shared" si="67"/>
        <v>13465.75</v>
      </c>
      <c r="N1386" s="756">
        <v>70291.22</v>
      </c>
      <c r="O1386" s="720">
        <f t="shared" si="68"/>
        <v>0</v>
      </c>
    </row>
    <row r="1387" spans="1:15" outlineLevel="2" x14ac:dyDescent="0.25">
      <c r="A1387" s="207" t="str">
        <f>VLOOKUP(RIGHT(E1387,3)+0,SchLocTable!$A$2:$B$47,2,FALSE)</f>
        <v>Waltersville</v>
      </c>
      <c r="B1387" s="207" t="str">
        <f>VLOOKUP(VALUE(D1387),$D$3:F$106,3,FALSE)</f>
        <v>English</v>
      </c>
      <c r="C1387" s="755" t="s">
        <v>246</v>
      </c>
      <c r="D1387" s="751" t="s">
        <v>528</v>
      </c>
      <c r="E1387" s="751" t="s">
        <v>541</v>
      </c>
      <c r="F1387" s="751" t="s">
        <v>254</v>
      </c>
      <c r="G1387" s="752" t="s">
        <v>1681</v>
      </c>
      <c r="H1387" s="753">
        <v>52360</v>
      </c>
      <c r="I1387" s="754">
        <v>1004.35</v>
      </c>
      <c r="J1387" s="754">
        <v>0</v>
      </c>
      <c r="K1387" s="754">
        <v>0</v>
      </c>
      <c r="L1387" s="754">
        <v>180.38</v>
      </c>
      <c r="M1387" s="754">
        <f t="shared" si="67"/>
        <v>180.38</v>
      </c>
      <c r="N1387" s="756">
        <v>1004.35</v>
      </c>
      <c r="O1387" s="720">
        <f t="shared" si="68"/>
        <v>0</v>
      </c>
    </row>
    <row r="1388" spans="1:15" outlineLevel="2" x14ac:dyDescent="0.25">
      <c r="A1388" s="207" t="str">
        <f>VLOOKUP(RIGHT(E1388,3)+0,SchLocTable!$A$2:$B$47,2,FALSE)</f>
        <v>Waltersville</v>
      </c>
      <c r="B1388" s="207" t="str">
        <f>VLOOKUP(VALUE(D1388),$D$3:F$106,3,FALSE)</f>
        <v>English</v>
      </c>
      <c r="C1388" s="751" t="s">
        <v>246</v>
      </c>
      <c r="D1388" s="751" t="s">
        <v>528</v>
      </c>
      <c r="E1388" s="751" t="s">
        <v>541</v>
      </c>
      <c r="F1388" s="751" t="s">
        <v>259</v>
      </c>
      <c r="G1388" s="752" t="s">
        <v>1681</v>
      </c>
      <c r="H1388" s="753">
        <v>52917</v>
      </c>
      <c r="I1388" s="754">
        <v>11844</v>
      </c>
      <c r="J1388" s="754">
        <v>0</v>
      </c>
      <c r="K1388" s="754">
        <v>0</v>
      </c>
      <c r="L1388" s="754">
        <v>2820</v>
      </c>
      <c r="M1388" s="754">
        <f t="shared" si="67"/>
        <v>2820</v>
      </c>
      <c r="N1388" s="756">
        <v>11844</v>
      </c>
      <c r="O1388" s="720">
        <f t="shared" si="68"/>
        <v>0</v>
      </c>
    </row>
    <row r="1389" spans="1:15" outlineLevel="2" x14ac:dyDescent="0.25">
      <c r="A1389" s="207" t="str">
        <f>VLOOKUP(RIGHT(E1389,3)+0,SchLocTable!$A$2:$B$47,2,FALSE)</f>
        <v>Claytor</v>
      </c>
      <c r="B1389" s="207" t="str">
        <f>VLOOKUP(VALUE(D1389),$D$3:F$106,3,FALSE)</f>
        <v>English</v>
      </c>
      <c r="C1389" s="755" t="s">
        <v>246</v>
      </c>
      <c r="D1389" s="751" t="s">
        <v>528</v>
      </c>
      <c r="E1389" s="751" t="s">
        <v>542</v>
      </c>
      <c r="F1389" s="751" t="s">
        <v>248</v>
      </c>
      <c r="G1389" s="752">
        <v>1</v>
      </c>
      <c r="H1389" s="753">
        <v>51000</v>
      </c>
      <c r="I1389" s="754">
        <v>52764.28</v>
      </c>
      <c r="J1389" s="754">
        <v>0</v>
      </c>
      <c r="K1389" s="754">
        <v>0</v>
      </c>
      <c r="L1389" s="754">
        <v>10108.1</v>
      </c>
      <c r="M1389" s="754">
        <f t="shared" si="67"/>
        <v>10108.1</v>
      </c>
      <c r="N1389" s="756">
        <v>52764.28</v>
      </c>
      <c r="O1389" s="720">
        <f t="shared" si="68"/>
        <v>0</v>
      </c>
    </row>
    <row r="1390" spans="1:15" outlineLevel="2" x14ac:dyDescent="0.25">
      <c r="A1390" s="207" t="str">
        <f>VLOOKUP(RIGHT(E1390,3)+0,SchLocTable!$A$2:$B$47,2,FALSE)</f>
        <v>Claytor</v>
      </c>
      <c r="B1390" s="207" t="str">
        <f>VLOOKUP(VALUE(D1390),$D$3:F$106,3,FALSE)</f>
        <v>English</v>
      </c>
      <c r="C1390" s="751" t="s">
        <v>246</v>
      </c>
      <c r="D1390" s="751" t="s">
        <v>528</v>
      </c>
      <c r="E1390" s="751" t="s">
        <v>542</v>
      </c>
      <c r="F1390" s="751" t="s">
        <v>254</v>
      </c>
      <c r="G1390" s="752" t="s">
        <v>1681</v>
      </c>
      <c r="H1390" s="753">
        <v>52360</v>
      </c>
      <c r="I1390" s="754">
        <v>755.49</v>
      </c>
      <c r="J1390" s="754">
        <v>0</v>
      </c>
      <c r="K1390" s="754">
        <v>0</v>
      </c>
      <c r="L1390" s="754">
        <v>136.97999999999999</v>
      </c>
      <c r="M1390" s="754">
        <f t="shared" si="67"/>
        <v>136.97999999999999</v>
      </c>
      <c r="N1390" s="756">
        <v>755.49</v>
      </c>
      <c r="O1390" s="720">
        <f t="shared" si="68"/>
        <v>0</v>
      </c>
    </row>
    <row r="1391" spans="1:15" outlineLevel="2" x14ac:dyDescent="0.25">
      <c r="A1391" s="207" t="str">
        <f>VLOOKUP(RIGHT(E1391,3)+0,SchLocTable!$A$2:$B$47,2,FALSE)</f>
        <v>Claytor</v>
      </c>
      <c r="B1391" s="207" t="str">
        <f>VLOOKUP(VALUE(D1391),$D$3:F$106,3,FALSE)</f>
        <v>English</v>
      </c>
      <c r="C1391" s="751" t="s">
        <v>246</v>
      </c>
      <c r="D1391" s="751" t="s">
        <v>528</v>
      </c>
      <c r="E1391" s="751" t="s">
        <v>542</v>
      </c>
      <c r="F1391" s="751" t="s">
        <v>259</v>
      </c>
      <c r="G1391" s="752" t="s">
        <v>1681</v>
      </c>
      <c r="H1391" s="753">
        <v>52917</v>
      </c>
      <c r="I1391" s="754">
        <v>11188</v>
      </c>
      <c r="J1391" s="754">
        <v>0</v>
      </c>
      <c r="K1391" s="754">
        <v>0</v>
      </c>
      <c r="L1391" s="754">
        <v>2237.6</v>
      </c>
      <c r="M1391" s="754">
        <f t="shared" si="67"/>
        <v>2237.6</v>
      </c>
      <c r="N1391" s="756">
        <v>11188</v>
      </c>
      <c r="O1391" s="720">
        <f t="shared" si="68"/>
        <v>0</v>
      </c>
    </row>
    <row r="1392" spans="1:15" outlineLevel="2" x14ac:dyDescent="0.25">
      <c r="A1392" s="207" t="str">
        <f>VLOOKUP(RIGHT(E1392,3)+0,SchLocTable!$A$2:$B$47,2,FALSE)</f>
        <v>Johnson</v>
      </c>
      <c r="B1392" s="207" t="str">
        <f>VLOOKUP(VALUE(D1392),$D$3:F$106,3,FALSE)</f>
        <v>English</v>
      </c>
      <c r="C1392" s="751" t="s">
        <v>246</v>
      </c>
      <c r="D1392" s="751" t="s">
        <v>528</v>
      </c>
      <c r="E1392" s="751" t="s">
        <v>543</v>
      </c>
      <c r="F1392" s="751" t="s">
        <v>248</v>
      </c>
      <c r="G1392" s="752">
        <v>2</v>
      </c>
      <c r="H1392" s="753">
        <v>51000</v>
      </c>
      <c r="I1392" s="754">
        <v>158955.5</v>
      </c>
      <c r="J1392" s="754">
        <v>0</v>
      </c>
      <c r="K1392" s="754">
        <v>0</v>
      </c>
      <c r="L1392" s="754">
        <v>22893.279999999999</v>
      </c>
      <c r="M1392" s="754">
        <f t="shared" si="67"/>
        <v>22893.279999999999</v>
      </c>
      <c r="N1392" s="756">
        <v>158955.5</v>
      </c>
      <c r="O1392" s="720">
        <f t="shared" si="68"/>
        <v>0</v>
      </c>
    </row>
    <row r="1393" spans="1:15" outlineLevel="2" x14ac:dyDescent="0.25">
      <c r="A1393" s="207" t="str">
        <f>VLOOKUP(RIGHT(E1393,3)+0,SchLocTable!$A$2:$B$47,2,FALSE)</f>
        <v>Johnson</v>
      </c>
      <c r="B1393" s="207" t="str">
        <f>VLOOKUP(VALUE(D1393),$D$3:F$106,3,FALSE)</f>
        <v>English</v>
      </c>
      <c r="C1393" s="755" t="s">
        <v>246</v>
      </c>
      <c r="D1393" s="751" t="s">
        <v>528</v>
      </c>
      <c r="E1393" s="751" t="s">
        <v>543</v>
      </c>
      <c r="F1393" s="751" t="s">
        <v>254</v>
      </c>
      <c r="G1393" s="752" t="s">
        <v>1681</v>
      </c>
      <c r="H1393" s="753">
        <v>52360</v>
      </c>
      <c r="I1393" s="754">
        <v>2269.21</v>
      </c>
      <c r="J1393" s="754">
        <v>0</v>
      </c>
      <c r="K1393" s="754">
        <v>0</v>
      </c>
      <c r="L1393" s="754">
        <v>296.31</v>
      </c>
      <c r="M1393" s="754">
        <f t="shared" si="67"/>
        <v>296.31</v>
      </c>
      <c r="N1393" s="756">
        <v>2269.21</v>
      </c>
      <c r="O1393" s="720">
        <f t="shared" si="68"/>
        <v>0</v>
      </c>
    </row>
    <row r="1394" spans="1:15" outlineLevel="2" x14ac:dyDescent="0.25">
      <c r="A1394" s="207" t="str">
        <f>VLOOKUP(RIGHT(E1394,3)+0,SchLocTable!$A$2:$B$47,2,FALSE)</f>
        <v>Johnson</v>
      </c>
      <c r="B1394" s="207" t="str">
        <f>VLOOKUP(VALUE(D1394),$D$3:F$106,3,FALSE)</f>
        <v>English</v>
      </c>
      <c r="C1394" s="751" t="s">
        <v>246</v>
      </c>
      <c r="D1394" s="751" t="s">
        <v>528</v>
      </c>
      <c r="E1394" s="751" t="s">
        <v>543</v>
      </c>
      <c r="F1394" s="751" t="s">
        <v>292</v>
      </c>
      <c r="G1394" s="752" t="s">
        <v>1681</v>
      </c>
      <c r="H1394" s="753">
        <v>52385</v>
      </c>
      <c r="I1394" s="754">
        <v>387.5</v>
      </c>
      <c r="J1394" s="754">
        <v>0</v>
      </c>
      <c r="K1394" s="754">
        <v>0</v>
      </c>
      <c r="L1394" s="754">
        <v>387.5</v>
      </c>
      <c r="M1394" s="754">
        <f t="shared" si="67"/>
        <v>387.5</v>
      </c>
      <c r="N1394" s="756">
        <v>387.5</v>
      </c>
      <c r="O1394" s="720">
        <f t="shared" si="68"/>
        <v>0</v>
      </c>
    </row>
    <row r="1395" spans="1:15" outlineLevel="2" x14ac:dyDescent="0.25">
      <c r="A1395" s="207" t="str">
        <f>VLOOKUP(RIGHT(E1395,3)+0,SchLocTable!$A$2:$B$47,2,FALSE)</f>
        <v>Johnson</v>
      </c>
      <c r="B1395" s="207" t="str">
        <f>VLOOKUP(VALUE(D1395),$D$3:F$106,3,FALSE)</f>
        <v>English</v>
      </c>
      <c r="C1395" s="751" t="s">
        <v>246</v>
      </c>
      <c r="D1395" s="751" t="s">
        <v>528</v>
      </c>
      <c r="E1395" s="751" t="s">
        <v>543</v>
      </c>
      <c r="F1395" s="751" t="s">
        <v>259</v>
      </c>
      <c r="G1395" s="752" t="s">
        <v>1681</v>
      </c>
      <c r="H1395" s="753">
        <v>52917</v>
      </c>
      <c r="I1395" s="754">
        <v>35075.879999999997</v>
      </c>
      <c r="J1395" s="754">
        <v>0</v>
      </c>
      <c r="K1395" s="754">
        <v>0</v>
      </c>
      <c r="L1395" s="754">
        <v>8351.4</v>
      </c>
      <c r="M1395" s="754">
        <f t="shared" si="67"/>
        <v>8351.4</v>
      </c>
      <c r="N1395" s="756">
        <v>35075.879999999997</v>
      </c>
      <c r="O1395" s="720">
        <f t="shared" si="68"/>
        <v>0</v>
      </c>
    </row>
    <row r="1396" spans="1:15" outlineLevel="2" x14ac:dyDescent="0.25">
      <c r="A1396" s="207" t="str">
        <f>VLOOKUP(RIGHT(E1396,3)+0,SchLocTable!$A$2:$B$47,2,FALSE)</f>
        <v>Winthrop</v>
      </c>
      <c r="B1396" s="207" t="str">
        <f>VLOOKUP(VALUE(D1396),$D$3:F$106,3,FALSE)</f>
        <v>English</v>
      </c>
      <c r="C1396" s="751" t="s">
        <v>246</v>
      </c>
      <c r="D1396" s="751" t="s">
        <v>528</v>
      </c>
      <c r="E1396" s="751" t="s">
        <v>544</v>
      </c>
      <c r="F1396" s="751" t="s">
        <v>248</v>
      </c>
      <c r="G1396" s="752">
        <v>2</v>
      </c>
      <c r="H1396" s="753">
        <v>51000</v>
      </c>
      <c r="I1396" s="754">
        <v>161294.87</v>
      </c>
      <c r="J1396" s="754">
        <v>0</v>
      </c>
      <c r="K1396" s="754">
        <v>0</v>
      </c>
      <c r="L1396" s="754">
        <v>30899.4</v>
      </c>
      <c r="M1396" s="754">
        <f t="shared" si="67"/>
        <v>30899.4</v>
      </c>
      <c r="N1396" s="756">
        <v>161294.87</v>
      </c>
      <c r="O1396" s="720">
        <f t="shared" si="68"/>
        <v>0</v>
      </c>
    </row>
    <row r="1397" spans="1:15" outlineLevel="2" x14ac:dyDescent="0.25">
      <c r="A1397" s="207" t="str">
        <f>VLOOKUP(RIGHT(E1397,3)+0,SchLocTable!$A$2:$B$47,2,FALSE)</f>
        <v>Winthrop</v>
      </c>
      <c r="B1397" s="207" t="str">
        <f>VLOOKUP(VALUE(D1397),$D$3:F$106,3,FALSE)</f>
        <v>English</v>
      </c>
      <c r="C1397" s="751" t="s">
        <v>246</v>
      </c>
      <c r="D1397" s="751" t="s">
        <v>528</v>
      </c>
      <c r="E1397" s="751" t="s">
        <v>544</v>
      </c>
      <c r="F1397" s="751" t="s">
        <v>257</v>
      </c>
      <c r="G1397" s="752" t="s">
        <v>1681</v>
      </c>
      <c r="H1397" s="753">
        <v>51140</v>
      </c>
      <c r="I1397" s="754">
        <v>1100</v>
      </c>
      <c r="J1397" s="754">
        <v>0</v>
      </c>
      <c r="K1397" s="754">
        <v>0</v>
      </c>
      <c r="L1397" s="754">
        <v>0</v>
      </c>
      <c r="M1397" s="754">
        <f t="shared" si="67"/>
        <v>0</v>
      </c>
      <c r="N1397" s="756">
        <v>1100</v>
      </c>
      <c r="O1397" s="720">
        <f t="shared" si="68"/>
        <v>0</v>
      </c>
    </row>
    <row r="1398" spans="1:15" outlineLevel="2" x14ac:dyDescent="0.25">
      <c r="A1398" s="207" t="str">
        <f>VLOOKUP(RIGHT(E1398,3)+0,SchLocTable!$A$2:$B$47,2,FALSE)</f>
        <v>Winthrop</v>
      </c>
      <c r="B1398" s="207" t="str">
        <f>VLOOKUP(VALUE(D1398),$D$3:F$106,3,FALSE)</f>
        <v>English</v>
      </c>
      <c r="C1398" s="751" t="s">
        <v>246</v>
      </c>
      <c r="D1398" s="751" t="s">
        <v>528</v>
      </c>
      <c r="E1398" s="751" t="s">
        <v>544</v>
      </c>
      <c r="F1398" s="751" t="s">
        <v>254</v>
      </c>
      <c r="G1398" s="752" t="s">
        <v>1681</v>
      </c>
      <c r="H1398" s="753">
        <v>52360</v>
      </c>
      <c r="I1398" s="754">
        <v>2314.6999999999998</v>
      </c>
      <c r="J1398" s="754">
        <v>0</v>
      </c>
      <c r="K1398" s="754">
        <v>0</v>
      </c>
      <c r="L1398" s="754">
        <v>423.97</v>
      </c>
      <c r="M1398" s="754">
        <f t="shared" si="67"/>
        <v>423.97</v>
      </c>
      <c r="N1398" s="756">
        <v>2314.6999999999998</v>
      </c>
      <c r="O1398" s="720">
        <f t="shared" si="68"/>
        <v>0</v>
      </c>
    </row>
    <row r="1399" spans="1:15" outlineLevel="2" x14ac:dyDescent="0.25">
      <c r="A1399" s="207" t="str">
        <f>VLOOKUP(RIGHT(E1399,3)+0,SchLocTable!$A$2:$B$47,2,FALSE)</f>
        <v>Winthrop</v>
      </c>
      <c r="B1399" s="207" t="str">
        <f>VLOOKUP(VALUE(D1399),$D$3:F$106,3,FALSE)</f>
        <v>English</v>
      </c>
      <c r="C1399" s="751" t="s">
        <v>246</v>
      </c>
      <c r="D1399" s="751" t="s">
        <v>528</v>
      </c>
      <c r="E1399" s="751" t="s">
        <v>544</v>
      </c>
      <c r="F1399" s="751" t="s">
        <v>259</v>
      </c>
      <c r="G1399" s="752" t="s">
        <v>1681</v>
      </c>
      <c r="H1399" s="753">
        <v>52917</v>
      </c>
      <c r="I1399" s="754">
        <v>23688</v>
      </c>
      <c r="J1399" s="754">
        <v>0</v>
      </c>
      <c r="K1399" s="754">
        <v>0</v>
      </c>
      <c r="L1399" s="754">
        <v>5640</v>
      </c>
      <c r="M1399" s="754">
        <f t="shared" si="67"/>
        <v>5640</v>
      </c>
      <c r="N1399" s="756">
        <v>23688</v>
      </c>
      <c r="O1399" s="720">
        <f t="shared" si="68"/>
        <v>0</v>
      </c>
    </row>
    <row r="1400" spans="1:15" outlineLevel="2" x14ac:dyDescent="0.25">
      <c r="A1400" s="207" t="str">
        <f>VLOOKUP(RIGHT(E1400,3)+0,SchLocTable!$A$2:$B$47,2,FALSE)</f>
        <v>Cross</v>
      </c>
      <c r="B1400" s="207" t="str">
        <f>VLOOKUP(VALUE(D1400),$D$3:F$106,3,FALSE)</f>
        <v>English</v>
      </c>
      <c r="C1400" s="751" t="s">
        <v>246</v>
      </c>
      <c r="D1400" s="751" t="s">
        <v>528</v>
      </c>
      <c r="E1400" s="751" t="s">
        <v>545</v>
      </c>
      <c r="F1400" s="751" t="s">
        <v>248</v>
      </c>
      <c r="G1400" s="752">
        <v>1</v>
      </c>
      <c r="H1400" s="753">
        <v>51000</v>
      </c>
      <c r="I1400" s="754">
        <v>103153.2</v>
      </c>
      <c r="J1400" s="754">
        <v>0</v>
      </c>
      <c r="K1400" s="754">
        <v>0</v>
      </c>
      <c r="L1400" s="754">
        <v>19761.150000000001</v>
      </c>
      <c r="M1400" s="754">
        <f t="shared" si="67"/>
        <v>19761.150000000001</v>
      </c>
      <c r="N1400" s="756">
        <v>103153.2</v>
      </c>
      <c r="O1400" s="720">
        <f t="shared" si="68"/>
        <v>0</v>
      </c>
    </row>
    <row r="1401" spans="1:15" outlineLevel="2" x14ac:dyDescent="0.25">
      <c r="A1401" s="207" t="str">
        <f>VLOOKUP(RIGHT(E1401,3)+0,SchLocTable!$A$2:$B$47,2,FALSE)</f>
        <v>Cross</v>
      </c>
      <c r="B1401" s="207" t="str">
        <f>VLOOKUP(VALUE(D1401),$D$3:F$106,3,FALSE)</f>
        <v>English</v>
      </c>
      <c r="C1401" s="751" t="s">
        <v>246</v>
      </c>
      <c r="D1401" s="751" t="s">
        <v>528</v>
      </c>
      <c r="E1401" s="751" t="s">
        <v>545</v>
      </c>
      <c r="F1401" s="751" t="s">
        <v>254</v>
      </c>
      <c r="G1401" s="752" t="s">
        <v>1681</v>
      </c>
      <c r="H1401" s="753">
        <v>52360</v>
      </c>
      <c r="I1401" s="754">
        <v>1483.68</v>
      </c>
      <c r="J1401" s="754">
        <v>0</v>
      </c>
      <c r="K1401" s="754">
        <v>0</v>
      </c>
      <c r="L1401" s="754">
        <v>274.5</v>
      </c>
      <c r="M1401" s="754">
        <f t="shared" si="67"/>
        <v>274.5</v>
      </c>
      <c r="N1401" s="756">
        <v>1483.68</v>
      </c>
      <c r="O1401" s="720">
        <f t="shared" si="68"/>
        <v>0</v>
      </c>
    </row>
    <row r="1402" spans="1:15" outlineLevel="2" x14ac:dyDescent="0.25">
      <c r="A1402" s="207" t="str">
        <f>VLOOKUP(RIGHT(E1402,3)+0,SchLocTable!$A$2:$B$47,2,FALSE)</f>
        <v>Cross</v>
      </c>
      <c r="B1402" s="207" t="str">
        <f>VLOOKUP(VALUE(D1402),$D$3:F$106,3,FALSE)</f>
        <v>English</v>
      </c>
      <c r="C1402" s="751" t="s">
        <v>246</v>
      </c>
      <c r="D1402" s="751" t="s">
        <v>528</v>
      </c>
      <c r="E1402" s="751" t="s">
        <v>545</v>
      </c>
      <c r="F1402" s="751" t="s">
        <v>259</v>
      </c>
      <c r="G1402" s="752" t="s">
        <v>1681</v>
      </c>
      <c r="H1402" s="753">
        <v>52917</v>
      </c>
      <c r="I1402" s="754">
        <v>11844</v>
      </c>
      <c r="J1402" s="754">
        <v>0</v>
      </c>
      <c r="K1402" s="754">
        <v>0</v>
      </c>
      <c r="L1402" s="754">
        <v>2820</v>
      </c>
      <c r="M1402" s="754">
        <f t="shared" si="67"/>
        <v>2820</v>
      </c>
      <c r="N1402" s="756">
        <v>11844</v>
      </c>
      <c r="O1402" s="720">
        <f t="shared" si="68"/>
        <v>0</v>
      </c>
    </row>
    <row r="1403" spans="1:15" outlineLevel="2" x14ac:dyDescent="0.25">
      <c r="A1403" s="207" t="str">
        <f>VLOOKUP(RIGHT(E1403,3)+0,SchLocTable!$A$2:$B$47,2,FALSE)</f>
        <v>Blackham</v>
      </c>
      <c r="B1403" s="207" t="str">
        <f>VLOOKUP(VALUE(D1403),$D$3:F$106,3,FALSE)</f>
        <v>English</v>
      </c>
      <c r="C1403" s="751" t="s">
        <v>246</v>
      </c>
      <c r="D1403" s="751" t="s">
        <v>528</v>
      </c>
      <c r="E1403" s="751" t="s">
        <v>546</v>
      </c>
      <c r="F1403" s="751" t="s">
        <v>248</v>
      </c>
      <c r="G1403" s="752">
        <v>2</v>
      </c>
      <c r="H1403" s="753">
        <v>51000</v>
      </c>
      <c r="I1403" s="754">
        <v>142856.51999999999</v>
      </c>
      <c r="J1403" s="754">
        <v>0</v>
      </c>
      <c r="K1403" s="754">
        <v>0</v>
      </c>
      <c r="L1403" s="754">
        <v>27367.15</v>
      </c>
      <c r="M1403" s="754">
        <f t="shared" si="67"/>
        <v>27367.15</v>
      </c>
      <c r="N1403" s="756">
        <v>142856.51999999999</v>
      </c>
      <c r="O1403" s="720">
        <f t="shared" si="68"/>
        <v>0</v>
      </c>
    </row>
    <row r="1404" spans="1:15" outlineLevel="2" x14ac:dyDescent="0.25">
      <c r="A1404" s="207" t="str">
        <f>VLOOKUP(RIGHT(E1404,3)+0,SchLocTable!$A$2:$B$47,2,FALSE)</f>
        <v>Blackham</v>
      </c>
      <c r="B1404" s="207" t="str">
        <f>VLOOKUP(VALUE(D1404),$D$3:F$106,3,FALSE)</f>
        <v>English</v>
      </c>
      <c r="C1404" s="751" t="s">
        <v>246</v>
      </c>
      <c r="D1404" s="751" t="s">
        <v>528</v>
      </c>
      <c r="E1404" s="751" t="s">
        <v>546</v>
      </c>
      <c r="F1404" s="751" t="s">
        <v>254</v>
      </c>
      <c r="G1404" s="752" t="s">
        <v>1681</v>
      </c>
      <c r="H1404" s="753">
        <v>52360</v>
      </c>
      <c r="I1404" s="754">
        <v>2000.13</v>
      </c>
      <c r="J1404" s="754">
        <v>0</v>
      </c>
      <c r="K1404" s="754">
        <v>0</v>
      </c>
      <c r="L1404" s="754">
        <v>325.52999999999997</v>
      </c>
      <c r="M1404" s="754">
        <f t="shared" si="67"/>
        <v>325.52999999999997</v>
      </c>
      <c r="N1404" s="756">
        <v>2000.13</v>
      </c>
      <c r="O1404" s="720">
        <f t="shared" si="68"/>
        <v>0</v>
      </c>
    </row>
    <row r="1405" spans="1:15" outlineLevel="2" x14ac:dyDescent="0.25">
      <c r="A1405" s="207" t="str">
        <f>VLOOKUP(RIGHT(E1405,3)+0,SchLocTable!$A$2:$B$47,2,FALSE)</f>
        <v>Blackham</v>
      </c>
      <c r="B1405" s="207" t="str">
        <f>VLOOKUP(VALUE(D1405),$D$3:F$106,3,FALSE)</f>
        <v>English</v>
      </c>
      <c r="C1405" s="751" t="s">
        <v>246</v>
      </c>
      <c r="D1405" s="751" t="s">
        <v>528</v>
      </c>
      <c r="E1405" s="751" t="s">
        <v>546</v>
      </c>
      <c r="F1405" s="751" t="s">
        <v>259</v>
      </c>
      <c r="G1405" s="752" t="s">
        <v>1681</v>
      </c>
      <c r="H1405" s="753">
        <v>52917</v>
      </c>
      <c r="I1405" s="754">
        <v>70151.759999999995</v>
      </c>
      <c r="J1405" s="754">
        <v>0</v>
      </c>
      <c r="K1405" s="754">
        <v>0</v>
      </c>
      <c r="L1405" s="754">
        <v>16702.8</v>
      </c>
      <c r="M1405" s="754">
        <f t="shared" si="67"/>
        <v>16702.8</v>
      </c>
      <c r="N1405" s="756">
        <v>70151.759999999995</v>
      </c>
      <c r="O1405" s="720">
        <f t="shared" si="68"/>
        <v>0</v>
      </c>
    </row>
    <row r="1406" spans="1:15" outlineLevel="2" x14ac:dyDescent="0.25">
      <c r="A1406" s="207" t="str">
        <f>VLOOKUP(RIGHT(E1406,3)+0,SchLocTable!$A$2:$B$47,2,FALSE)</f>
        <v>Dunbar</v>
      </c>
      <c r="B1406" s="207" t="str">
        <f>VLOOKUP(VALUE(D1406),$D$3:F$106,3,FALSE)</f>
        <v>English</v>
      </c>
      <c r="C1406" s="751" t="s">
        <v>246</v>
      </c>
      <c r="D1406" s="751" t="s">
        <v>528</v>
      </c>
      <c r="E1406" s="751" t="s">
        <v>2114</v>
      </c>
      <c r="F1406" s="751" t="s">
        <v>248</v>
      </c>
      <c r="G1406" s="752">
        <v>1</v>
      </c>
      <c r="H1406" s="753">
        <v>51000</v>
      </c>
      <c r="I1406" s="754">
        <v>8000</v>
      </c>
      <c r="J1406" s="754">
        <v>0</v>
      </c>
      <c r="K1406" s="754">
        <v>0</v>
      </c>
      <c r="L1406" s="754">
        <v>8000</v>
      </c>
      <c r="M1406" s="754">
        <f t="shared" si="67"/>
        <v>8000</v>
      </c>
      <c r="N1406" s="756">
        <v>8000</v>
      </c>
      <c r="O1406" s="720">
        <f t="shared" si="68"/>
        <v>0</v>
      </c>
    </row>
    <row r="1407" spans="1:15" outlineLevel="2" x14ac:dyDescent="0.25">
      <c r="A1407" s="207" t="str">
        <f>VLOOKUP(RIGHT(E1407,3)+0,SchLocTable!$A$2:$B$47,2,FALSE)</f>
        <v>Dunbar</v>
      </c>
      <c r="B1407" s="207" t="str">
        <f>VLOOKUP(VALUE(D1407),$D$3:F$106,3,FALSE)</f>
        <v>English</v>
      </c>
      <c r="C1407" s="751" t="s">
        <v>246</v>
      </c>
      <c r="D1407" s="751" t="s">
        <v>528</v>
      </c>
      <c r="E1407" s="751" t="s">
        <v>2114</v>
      </c>
      <c r="F1407" s="751" t="s">
        <v>254</v>
      </c>
      <c r="G1407" s="752" t="s">
        <v>1681</v>
      </c>
      <c r="H1407" s="753">
        <v>52360</v>
      </c>
      <c r="I1407" s="754">
        <v>113.6</v>
      </c>
      <c r="J1407" s="754">
        <v>0</v>
      </c>
      <c r="K1407" s="754">
        <v>0</v>
      </c>
      <c r="L1407" s="754">
        <v>113.6</v>
      </c>
      <c r="M1407" s="754">
        <f t="shared" ref="M1407:M1470" si="69">SUM(J1407:L1407)</f>
        <v>113.6</v>
      </c>
      <c r="N1407" s="756">
        <v>113.6</v>
      </c>
      <c r="O1407" s="720">
        <f t="shared" ref="O1407:O1470" si="70">I1407-N1407</f>
        <v>0</v>
      </c>
    </row>
    <row r="1408" spans="1:15" outlineLevel="2" x14ac:dyDescent="0.25">
      <c r="A1408" s="207" t="str">
        <f>VLOOKUP(RIGHT(E1408,3)+0,SchLocTable!$A$2:$B$47,2,FALSE)</f>
        <v>Dunbar</v>
      </c>
      <c r="B1408" s="207" t="str">
        <f>VLOOKUP(VALUE(D1408),$D$3:F$106,3,FALSE)</f>
        <v>English</v>
      </c>
      <c r="C1408" s="751" t="s">
        <v>246</v>
      </c>
      <c r="D1408" s="751" t="s">
        <v>528</v>
      </c>
      <c r="E1408" s="751" t="s">
        <v>2114</v>
      </c>
      <c r="F1408" s="751" t="s">
        <v>292</v>
      </c>
      <c r="G1408" s="752" t="s">
        <v>1681</v>
      </c>
      <c r="H1408" s="753">
        <v>52385</v>
      </c>
      <c r="I1408" s="754">
        <v>485.76</v>
      </c>
      <c r="J1408" s="754">
        <v>0</v>
      </c>
      <c r="K1408" s="754">
        <v>0</v>
      </c>
      <c r="L1408" s="754">
        <v>485.76</v>
      </c>
      <c r="M1408" s="754">
        <f t="shared" si="69"/>
        <v>485.76</v>
      </c>
      <c r="N1408" s="756">
        <v>485.76</v>
      </c>
      <c r="O1408" s="720">
        <f t="shared" si="70"/>
        <v>0</v>
      </c>
    </row>
    <row r="1409" spans="1:15" outlineLevel="2" x14ac:dyDescent="0.25">
      <c r="A1409" s="207" t="str">
        <f>VLOOKUP(RIGHT(E1409,3)+0,SchLocTable!$A$2:$B$47,2,FALSE)</f>
        <v>Dunbar</v>
      </c>
      <c r="B1409" s="207" t="str">
        <f>VLOOKUP(VALUE(D1409),$D$3:F$106,3,FALSE)</f>
        <v>English</v>
      </c>
      <c r="C1409" s="751" t="s">
        <v>246</v>
      </c>
      <c r="D1409" s="751" t="s">
        <v>528</v>
      </c>
      <c r="E1409" s="751" t="s">
        <v>2114</v>
      </c>
      <c r="F1409" s="751" t="s">
        <v>259</v>
      </c>
      <c r="G1409" s="752" t="s">
        <v>1681</v>
      </c>
      <c r="H1409" s="753">
        <v>52917</v>
      </c>
      <c r="I1409" s="754">
        <v>559.4</v>
      </c>
      <c r="J1409" s="754">
        <v>0</v>
      </c>
      <c r="K1409" s="754">
        <v>0</v>
      </c>
      <c r="L1409" s="754">
        <v>559.4</v>
      </c>
      <c r="M1409" s="754">
        <f t="shared" si="69"/>
        <v>559.4</v>
      </c>
      <c r="N1409" s="756">
        <v>559.4</v>
      </c>
      <c r="O1409" s="720">
        <f t="shared" si="70"/>
        <v>0</v>
      </c>
    </row>
    <row r="1410" spans="1:15" outlineLevel="2" x14ac:dyDescent="0.25">
      <c r="A1410" s="207" t="str">
        <f>VLOOKUP(RIGHT(E1410,3)+0,SchLocTable!$A$2:$B$47,2,FALSE)</f>
        <v>High Horizons Magnet</v>
      </c>
      <c r="B1410" s="207" t="str">
        <f>VLOOKUP(VALUE(D1410),$D$3:F$106,3,FALSE)</f>
        <v>English</v>
      </c>
      <c r="C1410" s="751" t="s">
        <v>246</v>
      </c>
      <c r="D1410" s="751" t="s">
        <v>528</v>
      </c>
      <c r="E1410" s="751" t="s">
        <v>547</v>
      </c>
      <c r="F1410" s="751" t="s">
        <v>248</v>
      </c>
      <c r="G1410" s="752">
        <v>2</v>
      </c>
      <c r="H1410" s="753">
        <v>51000</v>
      </c>
      <c r="I1410" s="754">
        <v>169995.3</v>
      </c>
      <c r="J1410" s="754">
        <v>0</v>
      </c>
      <c r="K1410" s="754">
        <v>0</v>
      </c>
      <c r="L1410" s="754">
        <v>32566.15</v>
      </c>
      <c r="M1410" s="754">
        <f t="shared" si="69"/>
        <v>32566.15</v>
      </c>
      <c r="N1410" s="756">
        <v>169995.3</v>
      </c>
      <c r="O1410" s="720">
        <f t="shared" si="70"/>
        <v>0</v>
      </c>
    </row>
    <row r="1411" spans="1:15" outlineLevel="2" x14ac:dyDescent="0.25">
      <c r="A1411" s="207" t="str">
        <f>VLOOKUP(RIGHT(E1411,3)+0,SchLocTable!$A$2:$B$47,2,FALSE)</f>
        <v>High Horizons Magnet</v>
      </c>
      <c r="B1411" s="207" t="str">
        <f>VLOOKUP(VALUE(D1411),$D$3:F$106,3,FALSE)</f>
        <v>English</v>
      </c>
      <c r="C1411" s="751" t="s">
        <v>246</v>
      </c>
      <c r="D1411" s="751" t="s">
        <v>528</v>
      </c>
      <c r="E1411" s="751" t="s">
        <v>547</v>
      </c>
      <c r="F1411" s="751" t="s">
        <v>254</v>
      </c>
      <c r="G1411" s="752" t="s">
        <v>1681</v>
      </c>
      <c r="H1411" s="753">
        <v>52360</v>
      </c>
      <c r="I1411" s="754">
        <v>2417.2399999999998</v>
      </c>
      <c r="J1411" s="754">
        <v>0</v>
      </c>
      <c r="K1411" s="754">
        <v>0</v>
      </c>
      <c r="L1411" s="754">
        <v>424.52</v>
      </c>
      <c r="M1411" s="754">
        <f t="shared" si="69"/>
        <v>424.52</v>
      </c>
      <c r="N1411" s="756">
        <v>2417.2399999999998</v>
      </c>
      <c r="O1411" s="720">
        <f t="shared" si="70"/>
        <v>0</v>
      </c>
    </row>
    <row r="1412" spans="1:15" outlineLevel="2" x14ac:dyDescent="0.25">
      <c r="A1412" s="207" t="str">
        <f>VLOOKUP(RIGHT(E1412,3)+0,SchLocTable!$A$2:$B$47,2,FALSE)</f>
        <v>High Horizons Magnet</v>
      </c>
      <c r="B1412" s="207" t="str">
        <f>VLOOKUP(VALUE(D1412),$D$3:F$106,3,FALSE)</f>
        <v>English</v>
      </c>
      <c r="C1412" s="751" t="s">
        <v>246</v>
      </c>
      <c r="D1412" s="751" t="s">
        <v>528</v>
      </c>
      <c r="E1412" s="751" t="s">
        <v>547</v>
      </c>
      <c r="F1412" s="751" t="s">
        <v>259</v>
      </c>
      <c r="G1412" s="752" t="s">
        <v>1681</v>
      </c>
      <c r="H1412" s="753">
        <v>52917</v>
      </c>
      <c r="I1412" s="754">
        <v>46919.88</v>
      </c>
      <c r="J1412" s="754">
        <v>0</v>
      </c>
      <c r="K1412" s="754">
        <v>0</v>
      </c>
      <c r="L1412" s="754">
        <v>11171.4</v>
      </c>
      <c r="M1412" s="754">
        <f t="shared" si="69"/>
        <v>11171.4</v>
      </c>
      <c r="N1412" s="756">
        <v>46919.88</v>
      </c>
      <c r="O1412" s="720">
        <f t="shared" si="70"/>
        <v>0</v>
      </c>
    </row>
    <row r="1413" spans="1:15" outlineLevel="2" x14ac:dyDescent="0.25">
      <c r="A1413" s="207" t="str">
        <f>VLOOKUP(RIGHT(E1413,3)+0,SchLocTable!$A$2:$B$47,2,FALSE)</f>
        <v>Multicultural Magnet</v>
      </c>
      <c r="B1413" s="207" t="str">
        <f>VLOOKUP(VALUE(D1413),$D$3:F$106,3,FALSE)</f>
        <v>English</v>
      </c>
      <c r="C1413" s="751" t="s">
        <v>246</v>
      </c>
      <c r="D1413" s="751" t="s">
        <v>528</v>
      </c>
      <c r="E1413" s="751" t="s">
        <v>548</v>
      </c>
      <c r="F1413" s="751" t="s">
        <v>248</v>
      </c>
      <c r="G1413" s="752">
        <v>1</v>
      </c>
      <c r="H1413" s="753">
        <v>51000</v>
      </c>
      <c r="I1413" s="754">
        <v>65085.31</v>
      </c>
      <c r="J1413" s="754">
        <v>0</v>
      </c>
      <c r="K1413" s="754">
        <v>0</v>
      </c>
      <c r="L1413" s="754">
        <v>12468.45</v>
      </c>
      <c r="M1413" s="754">
        <f t="shared" si="69"/>
        <v>12468.45</v>
      </c>
      <c r="N1413" s="756">
        <v>65085.31</v>
      </c>
      <c r="O1413" s="720">
        <f t="shared" si="70"/>
        <v>0</v>
      </c>
    </row>
    <row r="1414" spans="1:15" outlineLevel="2" x14ac:dyDescent="0.25">
      <c r="A1414" s="207" t="str">
        <f>VLOOKUP(RIGHT(E1414,3)+0,SchLocTable!$A$2:$B$47,2,FALSE)</f>
        <v>Multicultural Magnet</v>
      </c>
      <c r="B1414" s="207" t="str">
        <f>VLOOKUP(VALUE(D1414),$D$3:F$106,3,FALSE)</f>
        <v>English</v>
      </c>
      <c r="C1414" s="755" t="s">
        <v>246</v>
      </c>
      <c r="D1414" s="751" t="s">
        <v>528</v>
      </c>
      <c r="E1414" s="751" t="s">
        <v>548</v>
      </c>
      <c r="F1414" s="751" t="s">
        <v>254</v>
      </c>
      <c r="G1414" s="752" t="s">
        <v>1681</v>
      </c>
      <c r="H1414" s="753">
        <v>52360</v>
      </c>
      <c r="I1414" s="754">
        <v>931.69</v>
      </c>
      <c r="J1414" s="754">
        <v>0</v>
      </c>
      <c r="K1414" s="754">
        <v>0</v>
      </c>
      <c r="L1414" s="754">
        <v>168.75</v>
      </c>
      <c r="M1414" s="754">
        <f t="shared" si="69"/>
        <v>168.75</v>
      </c>
      <c r="N1414" s="756">
        <v>931.69</v>
      </c>
      <c r="O1414" s="720">
        <f t="shared" si="70"/>
        <v>0</v>
      </c>
    </row>
    <row r="1415" spans="1:15" outlineLevel="2" x14ac:dyDescent="0.25">
      <c r="A1415" s="207" t="str">
        <f>VLOOKUP(RIGHT(E1415,3)+0,SchLocTable!$A$2:$B$47,2,FALSE)</f>
        <v>Multicultural Magnet</v>
      </c>
      <c r="B1415" s="207" t="str">
        <f>VLOOKUP(VALUE(D1415),$D$3:F$106,3,FALSE)</f>
        <v>English</v>
      </c>
      <c r="C1415" s="751" t="s">
        <v>246</v>
      </c>
      <c r="D1415" s="751" t="s">
        <v>528</v>
      </c>
      <c r="E1415" s="751" t="s">
        <v>548</v>
      </c>
      <c r="F1415" s="751" t="s">
        <v>259</v>
      </c>
      <c r="G1415" s="752" t="s">
        <v>1681</v>
      </c>
      <c r="H1415" s="753">
        <v>52917</v>
      </c>
      <c r="I1415" s="754">
        <v>11844</v>
      </c>
      <c r="J1415" s="754">
        <v>0</v>
      </c>
      <c r="K1415" s="754">
        <v>0</v>
      </c>
      <c r="L1415" s="754">
        <v>2820</v>
      </c>
      <c r="M1415" s="754">
        <f t="shared" si="69"/>
        <v>2820</v>
      </c>
      <c r="N1415" s="756">
        <v>11844</v>
      </c>
      <c r="O1415" s="720">
        <f t="shared" si="70"/>
        <v>0</v>
      </c>
    </row>
    <row r="1416" spans="1:15" outlineLevel="2" x14ac:dyDescent="0.25">
      <c r="A1416" s="207" t="str">
        <f>VLOOKUP(RIGHT(E1416,3)+0,SchLocTable!$A$2:$B$47,2,FALSE)</f>
        <v>Bassick HS</v>
      </c>
      <c r="B1416" s="207" t="str">
        <f>VLOOKUP(VALUE(D1416),$D$3:F$106,3,FALSE)</f>
        <v>English</v>
      </c>
      <c r="C1416" s="751" t="s">
        <v>246</v>
      </c>
      <c r="D1416" s="751" t="s">
        <v>528</v>
      </c>
      <c r="E1416" s="751" t="s">
        <v>549</v>
      </c>
      <c r="F1416" s="751" t="s">
        <v>248</v>
      </c>
      <c r="G1416" s="752">
        <v>11</v>
      </c>
      <c r="H1416" s="753">
        <v>51000</v>
      </c>
      <c r="I1416" s="754">
        <v>906940.68</v>
      </c>
      <c r="J1416" s="754">
        <v>0</v>
      </c>
      <c r="K1416" s="754">
        <v>0</v>
      </c>
      <c r="L1416" s="754">
        <v>181301.4</v>
      </c>
      <c r="M1416" s="754">
        <f t="shared" si="69"/>
        <v>181301.4</v>
      </c>
      <c r="N1416" s="756">
        <v>906940.68</v>
      </c>
      <c r="O1416" s="720">
        <f t="shared" si="70"/>
        <v>0</v>
      </c>
    </row>
    <row r="1417" spans="1:15" outlineLevel="2" x14ac:dyDescent="0.25">
      <c r="A1417" s="207" t="str">
        <f>VLOOKUP(RIGHT(E1417,3)+0,SchLocTable!$A$2:$B$47,2,FALSE)</f>
        <v>Bassick HS</v>
      </c>
      <c r="B1417" s="207" t="str">
        <f>VLOOKUP(VALUE(D1417),$D$3:F$106,3,FALSE)</f>
        <v>English</v>
      </c>
      <c r="C1417" s="751" t="s">
        <v>246</v>
      </c>
      <c r="D1417" s="751" t="s">
        <v>528</v>
      </c>
      <c r="E1417" s="751" t="s">
        <v>549</v>
      </c>
      <c r="F1417" s="751" t="s">
        <v>257</v>
      </c>
      <c r="G1417" s="752" t="s">
        <v>1681</v>
      </c>
      <c r="H1417" s="753">
        <v>51140</v>
      </c>
      <c r="I1417" s="754">
        <v>2900</v>
      </c>
      <c r="J1417" s="754">
        <v>0</v>
      </c>
      <c r="K1417" s="754">
        <v>0</v>
      </c>
      <c r="L1417" s="754">
        <v>0</v>
      </c>
      <c r="M1417" s="754">
        <f t="shared" si="69"/>
        <v>0</v>
      </c>
      <c r="N1417" s="756">
        <v>2900</v>
      </c>
      <c r="O1417" s="720">
        <f t="shared" si="70"/>
        <v>0</v>
      </c>
    </row>
    <row r="1418" spans="1:15" outlineLevel="2" x14ac:dyDescent="0.25">
      <c r="A1418" s="207" t="str">
        <f>VLOOKUP(RIGHT(E1418,3)+0,SchLocTable!$A$2:$B$47,2,FALSE)</f>
        <v>Bassick HS</v>
      </c>
      <c r="B1418" s="207" t="str">
        <f>VLOOKUP(VALUE(D1418),$D$3:F$106,3,FALSE)</f>
        <v>English</v>
      </c>
      <c r="C1418" s="751" t="s">
        <v>246</v>
      </c>
      <c r="D1418" s="751" t="s">
        <v>528</v>
      </c>
      <c r="E1418" s="751" t="s">
        <v>549</v>
      </c>
      <c r="F1418" s="751" t="s">
        <v>254</v>
      </c>
      <c r="G1418" s="752" t="s">
        <v>1681</v>
      </c>
      <c r="H1418" s="753">
        <v>52360</v>
      </c>
      <c r="I1418" s="754">
        <v>12893.14</v>
      </c>
      <c r="J1418" s="754">
        <v>0</v>
      </c>
      <c r="K1418" s="754">
        <v>0</v>
      </c>
      <c r="L1418" s="754">
        <v>2371.37</v>
      </c>
      <c r="M1418" s="754">
        <f t="shared" si="69"/>
        <v>2371.37</v>
      </c>
      <c r="N1418" s="756">
        <v>12893.14</v>
      </c>
      <c r="O1418" s="720">
        <f t="shared" si="70"/>
        <v>0</v>
      </c>
    </row>
    <row r="1419" spans="1:15" outlineLevel="2" x14ac:dyDescent="0.25">
      <c r="A1419" s="207" t="str">
        <f>VLOOKUP(RIGHT(E1419,3)+0,SchLocTable!$A$2:$B$47,2,FALSE)</f>
        <v>Bassick HS</v>
      </c>
      <c r="B1419" s="207" t="str">
        <f>VLOOKUP(VALUE(D1419),$D$3:F$106,3,FALSE)</f>
        <v>English</v>
      </c>
      <c r="C1419" s="751" t="s">
        <v>246</v>
      </c>
      <c r="D1419" s="751" t="s">
        <v>528</v>
      </c>
      <c r="E1419" s="751" t="s">
        <v>549</v>
      </c>
      <c r="F1419" s="751" t="s">
        <v>259</v>
      </c>
      <c r="G1419" s="752" t="s">
        <v>1681</v>
      </c>
      <c r="H1419" s="753">
        <v>52917</v>
      </c>
      <c r="I1419" s="754">
        <v>253983.35999999999</v>
      </c>
      <c r="J1419" s="754">
        <v>0</v>
      </c>
      <c r="K1419" s="754">
        <v>0</v>
      </c>
      <c r="L1419" s="754">
        <v>59612.800000000003</v>
      </c>
      <c r="M1419" s="754">
        <f t="shared" si="69"/>
        <v>59612.800000000003</v>
      </c>
      <c r="N1419" s="756">
        <v>253983.35999999999</v>
      </c>
      <c r="O1419" s="720">
        <f t="shared" si="70"/>
        <v>0</v>
      </c>
    </row>
    <row r="1420" spans="1:15" outlineLevel="2" x14ac:dyDescent="0.25">
      <c r="A1420" s="207" t="str">
        <f>VLOOKUP(RIGHT(E1420,3)+0,SchLocTable!$A$2:$B$47,2,FALSE)</f>
        <v>Central HS</v>
      </c>
      <c r="B1420" s="207" t="str">
        <f>VLOOKUP(VALUE(D1420),$D$3:F$106,3,FALSE)</f>
        <v>English</v>
      </c>
      <c r="C1420" s="751" t="s">
        <v>246</v>
      </c>
      <c r="D1420" s="751" t="s">
        <v>528</v>
      </c>
      <c r="E1420" s="751" t="s">
        <v>550</v>
      </c>
      <c r="F1420" s="751" t="s">
        <v>248</v>
      </c>
      <c r="G1420" s="752">
        <v>16</v>
      </c>
      <c r="H1420" s="753">
        <v>51000</v>
      </c>
      <c r="I1420" s="754">
        <v>1251606.19</v>
      </c>
      <c r="J1420" s="754">
        <v>0</v>
      </c>
      <c r="K1420" s="754">
        <v>0</v>
      </c>
      <c r="L1420" s="754">
        <v>239771.3</v>
      </c>
      <c r="M1420" s="754">
        <f t="shared" si="69"/>
        <v>239771.3</v>
      </c>
      <c r="N1420" s="756">
        <v>1251606.19</v>
      </c>
      <c r="O1420" s="720">
        <f t="shared" si="70"/>
        <v>0</v>
      </c>
    </row>
    <row r="1421" spans="1:15" outlineLevel="2" x14ac:dyDescent="0.25">
      <c r="A1421" s="207" t="str">
        <f>VLOOKUP(RIGHT(E1421,3)+0,SchLocTable!$A$2:$B$47,2,FALSE)</f>
        <v>Central HS</v>
      </c>
      <c r="B1421" s="207" t="str">
        <f>VLOOKUP(VALUE(D1421),$D$3:F$106,3,FALSE)</f>
        <v>English</v>
      </c>
      <c r="C1421" s="755" t="s">
        <v>246</v>
      </c>
      <c r="D1421" s="751" t="s">
        <v>528</v>
      </c>
      <c r="E1421" s="751" t="s">
        <v>550</v>
      </c>
      <c r="F1421" s="751" t="s">
        <v>257</v>
      </c>
      <c r="G1421" s="752" t="s">
        <v>1681</v>
      </c>
      <c r="H1421" s="753">
        <v>51140</v>
      </c>
      <c r="I1421" s="754">
        <v>7800</v>
      </c>
      <c r="J1421" s="754">
        <v>0</v>
      </c>
      <c r="K1421" s="754">
        <v>0</v>
      </c>
      <c r="L1421" s="754">
        <v>0</v>
      </c>
      <c r="M1421" s="754">
        <f t="shared" si="69"/>
        <v>0</v>
      </c>
      <c r="N1421" s="756">
        <v>7800</v>
      </c>
      <c r="O1421" s="720">
        <f t="shared" si="70"/>
        <v>0</v>
      </c>
    </row>
    <row r="1422" spans="1:15" outlineLevel="2" x14ac:dyDescent="0.25">
      <c r="A1422" s="207" t="str">
        <f>VLOOKUP(RIGHT(E1422,3)+0,SchLocTable!$A$2:$B$47,2,FALSE)</f>
        <v>Central HS</v>
      </c>
      <c r="B1422" s="207" t="str">
        <f>VLOOKUP(VALUE(D1422),$D$3:F$106,3,FALSE)</f>
        <v>English</v>
      </c>
      <c r="C1422" s="751" t="s">
        <v>246</v>
      </c>
      <c r="D1422" s="751" t="s">
        <v>528</v>
      </c>
      <c r="E1422" s="751" t="s">
        <v>550</v>
      </c>
      <c r="F1422" s="751" t="s">
        <v>252</v>
      </c>
      <c r="G1422" s="752" t="s">
        <v>1681</v>
      </c>
      <c r="H1422" s="753">
        <v>51154</v>
      </c>
      <c r="I1422" s="754">
        <v>0</v>
      </c>
      <c r="J1422" s="754">
        <v>0</v>
      </c>
      <c r="K1422" s="754">
        <v>0</v>
      </c>
      <c r="L1422" s="754">
        <v>0</v>
      </c>
      <c r="M1422" s="754">
        <f t="shared" si="69"/>
        <v>0</v>
      </c>
      <c r="N1422" s="756">
        <v>0</v>
      </c>
      <c r="O1422" s="720">
        <f t="shared" si="70"/>
        <v>0</v>
      </c>
    </row>
    <row r="1423" spans="1:15" outlineLevel="2" x14ac:dyDescent="0.25">
      <c r="A1423" s="207" t="str">
        <f>VLOOKUP(RIGHT(E1423,3)+0,SchLocTable!$A$2:$B$47,2,FALSE)</f>
        <v>Central HS</v>
      </c>
      <c r="B1423" s="207" t="str">
        <f>VLOOKUP(VALUE(D1423),$D$3:F$106,3,FALSE)</f>
        <v>English</v>
      </c>
      <c r="C1423" s="751" t="s">
        <v>246</v>
      </c>
      <c r="D1423" s="751" t="s">
        <v>528</v>
      </c>
      <c r="E1423" s="751" t="s">
        <v>550</v>
      </c>
      <c r="F1423" s="751" t="s">
        <v>254</v>
      </c>
      <c r="G1423" s="752" t="s">
        <v>1681</v>
      </c>
      <c r="H1423" s="753">
        <v>52360</v>
      </c>
      <c r="I1423" s="754">
        <v>17723.14</v>
      </c>
      <c r="J1423" s="754">
        <v>0</v>
      </c>
      <c r="K1423" s="754">
        <v>0</v>
      </c>
      <c r="L1423" s="754">
        <v>3051.53</v>
      </c>
      <c r="M1423" s="754">
        <f t="shared" si="69"/>
        <v>3051.53</v>
      </c>
      <c r="N1423" s="756">
        <v>17723.14</v>
      </c>
      <c r="O1423" s="720">
        <f t="shared" si="70"/>
        <v>0</v>
      </c>
    </row>
    <row r="1424" spans="1:15" outlineLevel="2" x14ac:dyDescent="0.25">
      <c r="A1424" s="207" t="str">
        <f>VLOOKUP(RIGHT(E1424,3)+0,SchLocTable!$A$2:$B$47,2,FALSE)</f>
        <v>Central HS</v>
      </c>
      <c r="B1424" s="207" t="str">
        <f>VLOOKUP(VALUE(D1424),$D$3:F$106,3,FALSE)</f>
        <v>English</v>
      </c>
      <c r="C1424" s="751" t="s">
        <v>246</v>
      </c>
      <c r="D1424" s="751" t="s">
        <v>528</v>
      </c>
      <c r="E1424" s="751" t="s">
        <v>550</v>
      </c>
      <c r="F1424" s="751" t="s">
        <v>292</v>
      </c>
      <c r="G1424" s="752" t="s">
        <v>1681</v>
      </c>
      <c r="H1424" s="753">
        <v>52385</v>
      </c>
      <c r="I1424" s="754">
        <v>0</v>
      </c>
      <c r="J1424" s="754">
        <v>0</v>
      </c>
      <c r="K1424" s="754">
        <v>0</v>
      </c>
      <c r="L1424" s="754">
        <v>0</v>
      </c>
      <c r="M1424" s="754">
        <f t="shared" si="69"/>
        <v>0</v>
      </c>
      <c r="N1424" s="756">
        <v>0</v>
      </c>
      <c r="O1424" s="720">
        <f t="shared" si="70"/>
        <v>0</v>
      </c>
    </row>
    <row r="1425" spans="1:15" outlineLevel="2" x14ac:dyDescent="0.25">
      <c r="A1425" s="207" t="str">
        <f>VLOOKUP(RIGHT(E1425,3)+0,SchLocTable!$A$2:$B$47,2,FALSE)</f>
        <v>Central HS</v>
      </c>
      <c r="B1425" s="207" t="str">
        <f>VLOOKUP(VALUE(D1425),$D$3:F$106,3,FALSE)</f>
        <v>English</v>
      </c>
      <c r="C1425" s="751" t="s">
        <v>246</v>
      </c>
      <c r="D1425" s="751" t="s">
        <v>528</v>
      </c>
      <c r="E1425" s="751" t="s">
        <v>550</v>
      </c>
      <c r="F1425" s="751" t="s">
        <v>259</v>
      </c>
      <c r="G1425" s="752" t="s">
        <v>1681</v>
      </c>
      <c r="H1425" s="753">
        <v>52917</v>
      </c>
      <c r="I1425" s="754">
        <v>388122.42</v>
      </c>
      <c r="J1425" s="754">
        <v>0</v>
      </c>
      <c r="K1425" s="754">
        <v>0</v>
      </c>
      <c r="L1425" s="754">
        <v>92410.1</v>
      </c>
      <c r="M1425" s="754">
        <f t="shared" si="69"/>
        <v>92410.1</v>
      </c>
      <c r="N1425" s="756">
        <v>388122.42</v>
      </c>
      <c r="O1425" s="720">
        <f t="shared" si="70"/>
        <v>0</v>
      </c>
    </row>
    <row r="1426" spans="1:15" outlineLevel="2" x14ac:dyDescent="0.25">
      <c r="A1426" s="207" t="str">
        <f>VLOOKUP(RIGHT(E1426,3)+0,SchLocTable!$A$2:$B$47,2,FALSE)</f>
        <v>Harding HS</v>
      </c>
      <c r="B1426" s="207" t="str">
        <f>VLOOKUP(VALUE(D1426),$D$3:F$106,3,FALSE)</f>
        <v>English</v>
      </c>
      <c r="C1426" s="751" t="s">
        <v>246</v>
      </c>
      <c r="D1426" s="751" t="s">
        <v>528</v>
      </c>
      <c r="E1426" s="751" t="s">
        <v>551</v>
      </c>
      <c r="F1426" s="751" t="s">
        <v>248</v>
      </c>
      <c r="G1426" s="752">
        <v>10</v>
      </c>
      <c r="H1426" s="753">
        <v>51000</v>
      </c>
      <c r="I1426" s="754">
        <v>801917.86</v>
      </c>
      <c r="J1426" s="754">
        <v>0</v>
      </c>
      <c r="K1426" s="754">
        <v>0</v>
      </c>
      <c r="L1426" s="754">
        <v>157299.21</v>
      </c>
      <c r="M1426" s="754">
        <f t="shared" si="69"/>
        <v>157299.21</v>
      </c>
      <c r="N1426" s="756">
        <v>801917.86</v>
      </c>
      <c r="O1426" s="720">
        <f t="shared" si="70"/>
        <v>0</v>
      </c>
    </row>
    <row r="1427" spans="1:15" outlineLevel="2" x14ac:dyDescent="0.25">
      <c r="A1427" s="207" t="str">
        <f>VLOOKUP(RIGHT(E1427,3)+0,SchLocTable!$A$2:$B$47,2,FALSE)</f>
        <v>Harding HS</v>
      </c>
      <c r="B1427" s="207" t="str">
        <f>VLOOKUP(VALUE(D1427),$D$3:F$106,3,FALSE)</f>
        <v>English</v>
      </c>
      <c r="C1427" s="751" t="s">
        <v>246</v>
      </c>
      <c r="D1427" s="751" t="s">
        <v>528</v>
      </c>
      <c r="E1427" s="751" t="s">
        <v>551</v>
      </c>
      <c r="F1427" s="751" t="s">
        <v>257</v>
      </c>
      <c r="G1427" s="752" t="s">
        <v>1681</v>
      </c>
      <c r="H1427" s="753">
        <v>51140</v>
      </c>
      <c r="I1427" s="754">
        <v>2000</v>
      </c>
      <c r="J1427" s="754">
        <v>0</v>
      </c>
      <c r="K1427" s="754">
        <v>0</v>
      </c>
      <c r="L1427" s="754">
        <v>0</v>
      </c>
      <c r="M1427" s="754">
        <f t="shared" si="69"/>
        <v>0</v>
      </c>
      <c r="N1427" s="756">
        <v>2000</v>
      </c>
      <c r="O1427" s="720">
        <f t="shared" si="70"/>
        <v>0</v>
      </c>
    </row>
    <row r="1428" spans="1:15" outlineLevel="2" x14ac:dyDescent="0.25">
      <c r="A1428" s="207" t="str">
        <f>VLOOKUP(RIGHT(E1428,3)+0,SchLocTable!$A$2:$B$47,2,FALSE)</f>
        <v>Harding HS</v>
      </c>
      <c r="B1428" s="207" t="str">
        <f>VLOOKUP(VALUE(D1428),$D$3:F$106,3,FALSE)</f>
        <v>English</v>
      </c>
      <c r="C1428" s="755" t="s">
        <v>246</v>
      </c>
      <c r="D1428" s="751" t="s">
        <v>528</v>
      </c>
      <c r="E1428" s="751" t="s">
        <v>551</v>
      </c>
      <c r="F1428" s="751" t="s">
        <v>254</v>
      </c>
      <c r="G1428" s="752" t="s">
        <v>1681</v>
      </c>
      <c r="H1428" s="753">
        <v>52360</v>
      </c>
      <c r="I1428" s="754">
        <v>11498.81</v>
      </c>
      <c r="J1428" s="754">
        <v>0</v>
      </c>
      <c r="K1428" s="754">
        <v>0</v>
      </c>
      <c r="L1428" s="754">
        <v>2151.84</v>
      </c>
      <c r="M1428" s="754">
        <f t="shared" si="69"/>
        <v>2151.84</v>
      </c>
      <c r="N1428" s="756">
        <v>11498.81</v>
      </c>
      <c r="O1428" s="720">
        <f t="shared" si="70"/>
        <v>0</v>
      </c>
    </row>
    <row r="1429" spans="1:15" outlineLevel="2" x14ac:dyDescent="0.25">
      <c r="A1429" s="207" t="str">
        <f>VLOOKUP(RIGHT(E1429,3)+0,SchLocTable!$A$2:$B$47,2,FALSE)</f>
        <v>Harding HS</v>
      </c>
      <c r="B1429" s="207" t="str">
        <f>VLOOKUP(VALUE(D1429),$D$3:F$106,3,FALSE)</f>
        <v>English</v>
      </c>
      <c r="C1429" s="755" t="s">
        <v>246</v>
      </c>
      <c r="D1429" s="751" t="s">
        <v>528</v>
      </c>
      <c r="E1429" s="751" t="s">
        <v>551</v>
      </c>
      <c r="F1429" s="751" t="s">
        <v>292</v>
      </c>
      <c r="G1429" s="752" t="s">
        <v>1681</v>
      </c>
      <c r="H1429" s="753">
        <v>52385</v>
      </c>
      <c r="I1429" s="754">
        <v>0</v>
      </c>
      <c r="J1429" s="754">
        <v>0</v>
      </c>
      <c r="K1429" s="754">
        <v>0</v>
      </c>
      <c r="L1429" s="754">
        <v>0</v>
      </c>
      <c r="M1429" s="754">
        <f t="shared" si="69"/>
        <v>0</v>
      </c>
      <c r="N1429" s="756">
        <v>0</v>
      </c>
      <c r="O1429" s="720">
        <f t="shared" si="70"/>
        <v>0</v>
      </c>
    </row>
    <row r="1430" spans="1:15" outlineLevel="2" x14ac:dyDescent="0.25">
      <c r="A1430" s="207" t="str">
        <f>VLOOKUP(RIGHT(E1430,3)+0,SchLocTable!$A$2:$B$47,2,FALSE)</f>
        <v>Harding HS</v>
      </c>
      <c r="B1430" s="207" t="str">
        <f>VLOOKUP(VALUE(D1430),$D$3:F$106,3,FALSE)</f>
        <v>English</v>
      </c>
      <c r="C1430" s="751" t="s">
        <v>246</v>
      </c>
      <c r="D1430" s="751" t="s">
        <v>528</v>
      </c>
      <c r="E1430" s="751" t="s">
        <v>551</v>
      </c>
      <c r="F1430" s="751" t="s">
        <v>259</v>
      </c>
      <c r="G1430" s="752" t="s">
        <v>1681</v>
      </c>
      <c r="H1430" s="753">
        <v>52917</v>
      </c>
      <c r="I1430" s="754">
        <v>130474.38</v>
      </c>
      <c r="J1430" s="754">
        <v>0</v>
      </c>
      <c r="K1430" s="754">
        <v>0</v>
      </c>
      <c r="L1430" s="754">
        <v>31223.18</v>
      </c>
      <c r="M1430" s="754">
        <f t="shared" si="69"/>
        <v>31223.18</v>
      </c>
      <c r="N1430" s="756">
        <v>130474.38</v>
      </c>
      <c r="O1430" s="720">
        <f t="shared" si="70"/>
        <v>0</v>
      </c>
    </row>
    <row r="1431" spans="1:15" outlineLevel="2" x14ac:dyDescent="0.25">
      <c r="A1431" s="207" t="str">
        <f>VLOOKUP(RIGHT(E1431,3)+0,SchLocTable!$A$2:$B$47,2,FALSE)</f>
        <v>Barnum</v>
      </c>
      <c r="B1431" s="207" t="str">
        <f>VLOOKUP(VALUE(D1431),$D$3:F$106,3,FALSE)</f>
        <v>Mathematics</v>
      </c>
      <c r="C1431" s="751" t="s">
        <v>246</v>
      </c>
      <c r="D1431" s="751" t="s">
        <v>552</v>
      </c>
      <c r="E1431" s="751" t="s">
        <v>553</v>
      </c>
      <c r="F1431" s="751" t="s">
        <v>248</v>
      </c>
      <c r="G1431" s="752" t="s">
        <v>1681</v>
      </c>
      <c r="H1431" s="753">
        <v>51000</v>
      </c>
      <c r="I1431" s="754">
        <v>13161.46</v>
      </c>
      <c r="J1431" s="754">
        <v>0</v>
      </c>
      <c r="K1431" s="754">
        <v>0</v>
      </c>
      <c r="L1431" s="754">
        <v>13161.46</v>
      </c>
      <c r="M1431" s="754">
        <f t="shared" si="69"/>
        <v>13161.46</v>
      </c>
      <c r="N1431" s="756">
        <v>13161.46</v>
      </c>
      <c r="O1431" s="720">
        <f t="shared" si="70"/>
        <v>0</v>
      </c>
    </row>
    <row r="1432" spans="1:15" outlineLevel="2" x14ac:dyDescent="0.25">
      <c r="A1432" s="207" t="str">
        <f>VLOOKUP(RIGHT(E1432,3)+0,SchLocTable!$A$2:$B$47,2,FALSE)</f>
        <v>Barnum</v>
      </c>
      <c r="B1432" s="207" t="str">
        <f>VLOOKUP(VALUE(D1432),$D$3:F$106,3,FALSE)</f>
        <v>Mathematics</v>
      </c>
      <c r="C1432" s="755" t="s">
        <v>246</v>
      </c>
      <c r="D1432" s="751" t="s">
        <v>552</v>
      </c>
      <c r="E1432" s="751" t="s">
        <v>553</v>
      </c>
      <c r="F1432" s="751" t="s">
        <v>254</v>
      </c>
      <c r="G1432" s="752" t="s">
        <v>1681</v>
      </c>
      <c r="H1432" s="753">
        <v>52360</v>
      </c>
      <c r="I1432" s="754">
        <v>173.42</v>
      </c>
      <c r="J1432" s="754">
        <v>0</v>
      </c>
      <c r="K1432" s="754">
        <v>0</v>
      </c>
      <c r="L1432" s="754">
        <v>173.42</v>
      </c>
      <c r="M1432" s="754">
        <f t="shared" si="69"/>
        <v>173.42</v>
      </c>
      <c r="N1432" s="756">
        <v>173.42</v>
      </c>
      <c r="O1432" s="720">
        <f t="shared" si="70"/>
        <v>0</v>
      </c>
    </row>
    <row r="1433" spans="1:15" outlineLevel="2" x14ac:dyDescent="0.25">
      <c r="A1433" s="207" t="str">
        <f>VLOOKUP(RIGHT(E1433,3)+0,SchLocTable!$A$2:$B$47,2,FALSE)</f>
        <v>Barnum</v>
      </c>
      <c r="B1433" s="207" t="str">
        <f>VLOOKUP(VALUE(D1433),$D$3:F$106,3,FALSE)</f>
        <v>Mathematics</v>
      </c>
      <c r="C1433" s="751" t="s">
        <v>246</v>
      </c>
      <c r="D1433" s="751" t="s">
        <v>552</v>
      </c>
      <c r="E1433" s="751" t="s">
        <v>553</v>
      </c>
      <c r="F1433" s="751" t="s">
        <v>259</v>
      </c>
      <c r="G1433" s="752" t="s">
        <v>1681</v>
      </c>
      <c r="H1433" s="753">
        <v>52917</v>
      </c>
      <c r="I1433" s="754">
        <v>4068.3</v>
      </c>
      <c r="J1433" s="754">
        <v>0</v>
      </c>
      <c r="K1433" s="754">
        <v>0</v>
      </c>
      <c r="L1433" s="754">
        <v>4068.3</v>
      </c>
      <c r="M1433" s="754">
        <f t="shared" si="69"/>
        <v>4068.3</v>
      </c>
      <c r="N1433" s="756">
        <v>4068.3</v>
      </c>
      <c r="O1433" s="720">
        <f t="shared" si="70"/>
        <v>0</v>
      </c>
    </row>
    <row r="1434" spans="1:15" outlineLevel="2" x14ac:dyDescent="0.25">
      <c r="A1434" s="207" t="str">
        <f>VLOOKUP(RIGHT(E1434,3)+0,SchLocTable!$A$2:$B$47,2,FALSE)</f>
        <v>Black Rock</v>
      </c>
      <c r="B1434" s="207" t="str">
        <f>VLOOKUP(VALUE(D1434),$D$3:F$106,3,FALSE)</f>
        <v>Mathematics</v>
      </c>
      <c r="C1434" s="751" t="s">
        <v>246</v>
      </c>
      <c r="D1434" s="751" t="s">
        <v>552</v>
      </c>
      <c r="E1434" s="751" t="s">
        <v>554</v>
      </c>
      <c r="F1434" s="751" t="s">
        <v>248</v>
      </c>
      <c r="G1434" s="752">
        <v>1</v>
      </c>
      <c r="H1434" s="753">
        <v>51000</v>
      </c>
      <c r="I1434" s="754">
        <v>103153.2</v>
      </c>
      <c r="J1434" s="754">
        <v>0</v>
      </c>
      <c r="K1434" s="754">
        <v>0</v>
      </c>
      <c r="L1434" s="754">
        <v>19761.150000000001</v>
      </c>
      <c r="M1434" s="754">
        <f t="shared" si="69"/>
        <v>19761.150000000001</v>
      </c>
      <c r="N1434" s="756">
        <v>103153.2</v>
      </c>
      <c r="O1434" s="720">
        <f t="shared" si="70"/>
        <v>0</v>
      </c>
    </row>
    <row r="1435" spans="1:15" outlineLevel="2" x14ac:dyDescent="0.25">
      <c r="A1435" s="207" t="str">
        <f>VLOOKUP(RIGHT(E1435,3)+0,SchLocTable!$A$2:$B$47,2,FALSE)</f>
        <v>Black Rock</v>
      </c>
      <c r="B1435" s="207" t="str">
        <f>VLOOKUP(VALUE(D1435),$D$3:F$106,3,FALSE)</f>
        <v>Mathematics</v>
      </c>
      <c r="C1435" s="751" t="s">
        <v>246</v>
      </c>
      <c r="D1435" s="751" t="s">
        <v>552</v>
      </c>
      <c r="E1435" s="751" t="s">
        <v>554</v>
      </c>
      <c r="F1435" s="751" t="s">
        <v>257</v>
      </c>
      <c r="G1435" s="752" t="s">
        <v>1681</v>
      </c>
      <c r="H1435" s="753">
        <v>51140</v>
      </c>
      <c r="I1435" s="754">
        <v>1100</v>
      </c>
      <c r="J1435" s="754">
        <v>0</v>
      </c>
      <c r="K1435" s="754">
        <v>0</v>
      </c>
      <c r="L1435" s="754">
        <v>0</v>
      </c>
      <c r="M1435" s="754">
        <f t="shared" si="69"/>
        <v>0</v>
      </c>
      <c r="N1435" s="756">
        <v>1100</v>
      </c>
      <c r="O1435" s="720">
        <f t="shared" si="70"/>
        <v>0</v>
      </c>
    </row>
    <row r="1436" spans="1:15" outlineLevel="2" x14ac:dyDescent="0.25">
      <c r="A1436" s="207" t="str">
        <f>VLOOKUP(RIGHT(E1436,3)+0,SchLocTable!$A$2:$B$47,2,FALSE)</f>
        <v>Black Rock</v>
      </c>
      <c r="B1436" s="207" t="str">
        <f>VLOOKUP(VALUE(D1436),$D$3:F$106,3,FALSE)</f>
        <v>Mathematics</v>
      </c>
      <c r="C1436" s="751" t="s">
        <v>246</v>
      </c>
      <c r="D1436" s="751" t="s">
        <v>552</v>
      </c>
      <c r="E1436" s="751" t="s">
        <v>554</v>
      </c>
      <c r="F1436" s="751" t="s">
        <v>254</v>
      </c>
      <c r="G1436" s="752" t="s">
        <v>1681</v>
      </c>
      <c r="H1436" s="753">
        <v>52360</v>
      </c>
      <c r="I1436" s="754">
        <v>1466.69</v>
      </c>
      <c r="J1436" s="754">
        <v>0</v>
      </c>
      <c r="K1436" s="754">
        <v>0</v>
      </c>
      <c r="L1436" s="754">
        <v>257.51</v>
      </c>
      <c r="M1436" s="754">
        <f t="shared" si="69"/>
        <v>257.51</v>
      </c>
      <c r="N1436" s="756">
        <v>1466.69</v>
      </c>
      <c r="O1436" s="720">
        <f t="shared" si="70"/>
        <v>0</v>
      </c>
    </row>
    <row r="1437" spans="1:15" outlineLevel="2" x14ac:dyDescent="0.25">
      <c r="A1437" s="207" t="str">
        <f>VLOOKUP(RIGHT(E1437,3)+0,SchLocTable!$A$2:$B$47,2,FALSE)</f>
        <v>Black Rock</v>
      </c>
      <c r="B1437" s="207" t="str">
        <f>VLOOKUP(VALUE(D1437),$D$3:F$106,3,FALSE)</f>
        <v>Mathematics</v>
      </c>
      <c r="C1437" s="751" t="s">
        <v>246</v>
      </c>
      <c r="D1437" s="751" t="s">
        <v>552</v>
      </c>
      <c r="E1437" s="751" t="s">
        <v>554</v>
      </c>
      <c r="F1437" s="751" t="s">
        <v>259</v>
      </c>
      <c r="G1437" s="752" t="s">
        <v>1681</v>
      </c>
      <c r="H1437" s="753">
        <v>52917</v>
      </c>
      <c r="I1437" s="754">
        <v>28478.1</v>
      </c>
      <c r="J1437" s="754">
        <v>0</v>
      </c>
      <c r="K1437" s="754">
        <v>0</v>
      </c>
      <c r="L1437" s="754">
        <v>6780.5</v>
      </c>
      <c r="M1437" s="754">
        <f t="shared" si="69"/>
        <v>6780.5</v>
      </c>
      <c r="N1437" s="756">
        <v>28478.1</v>
      </c>
      <c r="O1437" s="720">
        <f t="shared" si="70"/>
        <v>0</v>
      </c>
    </row>
    <row r="1438" spans="1:15" outlineLevel="2" x14ac:dyDescent="0.25">
      <c r="A1438" s="207" t="str">
        <f>VLOOKUP(RIGHT(E1438,3)+0,SchLocTable!$A$2:$B$47,2,FALSE)</f>
        <v>Columbus</v>
      </c>
      <c r="B1438" s="207" t="str">
        <f>VLOOKUP(VALUE(D1438),$D$3:F$106,3,FALSE)</f>
        <v>Mathematics</v>
      </c>
      <c r="C1438" s="751" t="s">
        <v>246</v>
      </c>
      <c r="D1438" s="751" t="s">
        <v>552</v>
      </c>
      <c r="E1438" s="751" t="s">
        <v>1999</v>
      </c>
      <c r="F1438" s="751" t="s">
        <v>248</v>
      </c>
      <c r="G1438" s="752">
        <v>1</v>
      </c>
      <c r="H1438" s="753">
        <v>51000</v>
      </c>
      <c r="I1438" s="754">
        <v>85734.59</v>
      </c>
      <c r="J1438" s="754">
        <v>0</v>
      </c>
      <c r="K1438" s="754">
        <v>0</v>
      </c>
      <c r="L1438" s="754">
        <v>16424.25</v>
      </c>
      <c r="M1438" s="754">
        <f t="shared" si="69"/>
        <v>16424.25</v>
      </c>
      <c r="N1438" s="756">
        <v>85734.59</v>
      </c>
      <c r="O1438" s="720">
        <f t="shared" si="70"/>
        <v>0</v>
      </c>
    </row>
    <row r="1439" spans="1:15" outlineLevel="1" x14ac:dyDescent="0.25">
      <c r="A1439" s="207" t="str">
        <f>VLOOKUP(RIGHT(E1439,3)+0,SchLocTable!$A$2:$B$47,2,FALSE)</f>
        <v>Columbus</v>
      </c>
      <c r="B1439" s="207" t="str">
        <f>VLOOKUP(VALUE(D1439),$D$3:F$106,3,FALSE)</f>
        <v>Mathematics</v>
      </c>
      <c r="C1439" s="751" t="s">
        <v>246</v>
      </c>
      <c r="D1439" s="751" t="s">
        <v>552</v>
      </c>
      <c r="E1439" s="751" t="s">
        <v>1999</v>
      </c>
      <c r="F1439" s="751" t="s">
        <v>254</v>
      </c>
      <c r="G1439" s="752" t="s">
        <v>1681</v>
      </c>
      <c r="H1439" s="753">
        <v>52360</v>
      </c>
      <c r="I1439" s="754">
        <v>1214.1300000000001</v>
      </c>
      <c r="J1439" s="754">
        <v>0</v>
      </c>
      <c r="K1439" s="754">
        <v>0</v>
      </c>
      <c r="L1439" s="754">
        <v>209.13</v>
      </c>
      <c r="M1439" s="754">
        <f t="shared" si="69"/>
        <v>209.13</v>
      </c>
      <c r="N1439" s="756">
        <v>1214.1300000000001</v>
      </c>
      <c r="O1439" s="720">
        <f t="shared" si="70"/>
        <v>0</v>
      </c>
    </row>
    <row r="1440" spans="1:15" outlineLevel="2" x14ac:dyDescent="0.25">
      <c r="A1440" s="207" t="str">
        <f>VLOOKUP(RIGHT(E1440,3)+0,SchLocTable!$A$2:$B$47,2,FALSE)</f>
        <v>Columbus</v>
      </c>
      <c r="B1440" s="207" t="str">
        <f>VLOOKUP(VALUE(D1440),$D$3:F$106,3,FALSE)</f>
        <v>Mathematics</v>
      </c>
      <c r="C1440" s="751" t="s">
        <v>246</v>
      </c>
      <c r="D1440" s="751" t="s">
        <v>552</v>
      </c>
      <c r="E1440" s="751" t="s">
        <v>1999</v>
      </c>
      <c r="F1440" s="751" t="s">
        <v>259</v>
      </c>
      <c r="G1440" s="752" t="s">
        <v>1681</v>
      </c>
      <c r="H1440" s="753">
        <v>52917</v>
      </c>
      <c r="I1440" s="754">
        <v>28478.1</v>
      </c>
      <c r="J1440" s="754">
        <v>0</v>
      </c>
      <c r="K1440" s="754">
        <v>0</v>
      </c>
      <c r="L1440" s="754">
        <v>6780.5</v>
      </c>
      <c r="M1440" s="754">
        <f t="shared" si="69"/>
        <v>6780.5</v>
      </c>
      <c r="N1440" s="756">
        <v>28478.1</v>
      </c>
      <c r="O1440" s="720">
        <f t="shared" si="70"/>
        <v>0</v>
      </c>
    </row>
    <row r="1441" spans="1:15" outlineLevel="2" x14ac:dyDescent="0.25">
      <c r="A1441" s="207" t="str">
        <f>VLOOKUP(RIGHT(E1441,3)+0,SchLocTable!$A$2:$B$47,2,FALSE)</f>
        <v>Physical Science HS</v>
      </c>
      <c r="B1441" s="207" t="str">
        <f>VLOOKUP(VALUE(D1441),$D$3:F$106,3,FALSE)</f>
        <v>Mathematics</v>
      </c>
      <c r="C1441" s="751" t="s">
        <v>246</v>
      </c>
      <c r="D1441" s="751" t="s">
        <v>552</v>
      </c>
      <c r="E1441" s="751" t="s">
        <v>555</v>
      </c>
      <c r="F1441" s="751" t="s">
        <v>248</v>
      </c>
      <c r="G1441" s="752">
        <v>3</v>
      </c>
      <c r="H1441" s="753">
        <v>51000</v>
      </c>
      <c r="I1441" s="754">
        <v>271385.71000000002</v>
      </c>
      <c r="J1441" s="754">
        <v>0</v>
      </c>
      <c r="K1441" s="754">
        <v>0</v>
      </c>
      <c r="L1441" s="754">
        <v>51989.599999999999</v>
      </c>
      <c r="M1441" s="754">
        <f t="shared" si="69"/>
        <v>51989.599999999999</v>
      </c>
      <c r="N1441" s="756">
        <v>271385.71000000002</v>
      </c>
      <c r="O1441" s="720">
        <f t="shared" si="70"/>
        <v>0</v>
      </c>
    </row>
    <row r="1442" spans="1:15" outlineLevel="2" x14ac:dyDescent="0.25">
      <c r="A1442" s="207" t="str">
        <f>VLOOKUP(RIGHT(E1442,3)+0,SchLocTable!$A$2:$B$47,2,FALSE)</f>
        <v>Physical Science HS</v>
      </c>
      <c r="B1442" s="207" t="str">
        <f>VLOOKUP(VALUE(D1442),$D$3:F$106,3,FALSE)</f>
        <v>Mathematics</v>
      </c>
      <c r="C1442" s="751" t="s">
        <v>246</v>
      </c>
      <c r="D1442" s="751" t="s">
        <v>552</v>
      </c>
      <c r="E1442" s="751" t="s">
        <v>555</v>
      </c>
      <c r="F1442" s="751" t="s">
        <v>254</v>
      </c>
      <c r="G1442" s="752" t="s">
        <v>1681</v>
      </c>
      <c r="H1442" s="753">
        <v>52360</v>
      </c>
      <c r="I1442" s="754">
        <v>3869.59</v>
      </c>
      <c r="J1442" s="754">
        <v>0</v>
      </c>
      <c r="K1442" s="754">
        <v>0</v>
      </c>
      <c r="L1442" s="754">
        <v>688.35</v>
      </c>
      <c r="M1442" s="754">
        <f t="shared" si="69"/>
        <v>688.35</v>
      </c>
      <c r="N1442" s="756">
        <v>3869.59</v>
      </c>
      <c r="O1442" s="720">
        <f t="shared" si="70"/>
        <v>0</v>
      </c>
    </row>
    <row r="1443" spans="1:15" outlineLevel="2" x14ac:dyDescent="0.25">
      <c r="A1443" s="207" t="str">
        <f>VLOOKUP(RIGHT(E1443,3)+0,SchLocTable!$A$2:$B$47,2,FALSE)</f>
        <v>Physical Science HS</v>
      </c>
      <c r="B1443" s="207" t="str">
        <f>VLOOKUP(VALUE(D1443),$D$3:F$106,3,FALSE)</f>
        <v>Mathematics</v>
      </c>
      <c r="C1443" s="751" t="s">
        <v>246</v>
      </c>
      <c r="D1443" s="751" t="s">
        <v>552</v>
      </c>
      <c r="E1443" s="751" t="s">
        <v>555</v>
      </c>
      <c r="F1443" s="751" t="s">
        <v>259</v>
      </c>
      <c r="G1443" s="752" t="s">
        <v>1681</v>
      </c>
      <c r="H1443" s="753">
        <v>52917</v>
      </c>
      <c r="I1443" s="754">
        <v>67025.7</v>
      </c>
      <c r="J1443" s="754">
        <v>0</v>
      </c>
      <c r="K1443" s="754">
        <v>0</v>
      </c>
      <c r="L1443" s="754">
        <v>14941.22</v>
      </c>
      <c r="M1443" s="754">
        <f t="shared" si="69"/>
        <v>14941.22</v>
      </c>
      <c r="N1443" s="756">
        <v>67025.7</v>
      </c>
      <c r="O1443" s="720">
        <f t="shared" si="70"/>
        <v>0</v>
      </c>
    </row>
    <row r="1444" spans="1:15" outlineLevel="2" x14ac:dyDescent="0.25">
      <c r="A1444" s="207" t="str">
        <f>VLOOKUP(RIGHT(E1444,3)+0,SchLocTable!$A$2:$B$47,2,FALSE)</f>
        <v>Marin</v>
      </c>
      <c r="B1444" s="207" t="str">
        <f>VLOOKUP(VALUE(D1444),$D$3:F$106,3,FALSE)</f>
        <v>Mathematics</v>
      </c>
      <c r="C1444" s="755" t="s">
        <v>246</v>
      </c>
      <c r="D1444" s="751" t="s">
        <v>552</v>
      </c>
      <c r="E1444" s="751" t="s">
        <v>556</v>
      </c>
      <c r="F1444" s="751" t="s">
        <v>248</v>
      </c>
      <c r="G1444" s="752">
        <v>2</v>
      </c>
      <c r="H1444" s="753">
        <v>51000</v>
      </c>
      <c r="I1444" s="754">
        <v>176916.76</v>
      </c>
      <c r="J1444" s="754">
        <v>0</v>
      </c>
      <c r="K1444" s="754">
        <v>0</v>
      </c>
      <c r="L1444" s="754">
        <v>33892.1</v>
      </c>
      <c r="M1444" s="754">
        <f t="shared" si="69"/>
        <v>33892.1</v>
      </c>
      <c r="N1444" s="756">
        <v>176916.76</v>
      </c>
      <c r="O1444" s="720">
        <f t="shared" si="70"/>
        <v>0</v>
      </c>
    </row>
    <row r="1445" spans="1:15" outlineLevel="1" x14ac:dyDescent="0.25">
      <c r="A1445" s="207" t="str">
        <f>VLOOKUP(RIGHT(E1445,3)+0,SchLocTable!$A$2:$B$47,2,FALSE)</f>
        <v>Marin</v>
      </c>
      <c r="B1445" s="207" t="str">
        <f>VLOOKUP(VALUE(D1445),$D$3:F$106,3,FALSE)</f>
        <v>Mathematics</v>
      </c>
      <c r="C1445" s="755" t="s">
        <v>246</v>
      </c>
      <c r="D1445" s="751" t="s">
        <v>552</v>
      </c>
      <c r="E1445" s="751" t="s">
        <v>556</v>
      </c>
      <c r="F1445" s="751" t="s">
        <v>257</v>
      </c>
      <c r="G1445" s="752" t="s">
        <v>1681</v>
      </c>
      <c r="H1445" s="753">
        <v>51140</v>
      </c>
      <c r="I1445" s="754">
        <v>900</v>
      </c>
      <c r="J1445" s="754">
        <v>0</v>
      </c>
      <c r="K1445" s="754">
        <v>0</v>
      </c>
      <c r="L1445" s="754">
        <v>0</v>
      </c>
      <c r="M1445" s="754">
        <f t="shared" si="69"/>
        <v>0</v>
      </c>
      <c r="N1445" s="756">
        <v>900</v>
      </c>
      <c r="O1445" s="720">
        <f t="shared" si="70"/>
        <v>0</v>
      </c>
    </row>
    <row r="1446" spans="1:15" outlineLevel="2" x14ac:dyDescent="0.25">
      <c r="A1446" s="207" t="str">
        <f>VLOOKUP(RIGHT(E1446,3)+0,SchLocTable!$A$2:$B$47,2,FALSE)</f>
        <v>Marin</v>
      </c>
      <c r="B1446" s="207" t="str">
        <f>VLOOKUP(VALUE(D1446),$D$3:F$106,3,FALSE)</f>
        <v>Mathematics</v>
      </c>
      <c r="C1446" s="751" t="s">
        <v>246</v>
      </c>
      <c r="D1446" s="751" t="s">
        <v>552</v>
      </c>
      <c r="E1446" s="751" t="s">
        <v>556</v>
      </c>
      <c r="F1446" s="751" t="s">
        <v>254</v>
      </c>
      <c r="G1446" s="752" t="s">
        <v>1681</v>
      </c>
      <c r="H1446" s="753">
        <v>52360</v>
      </c>
      <c r="I1446" s="754">
        <v>2507.54</v>
      </c>
      <c r="J1446" s="754">
        <v>0</v>
      </c>
      <c r="K1446" s="754">
        <v>0</v>
      </c>
      <c r="L1446" s="754">
        <v>433.68</v>
      </c>
      <c r="M1446" s="754">
        <f t="shared" si="69"/>
        <v>433.68</v>
      </c>
      <c r="N1446" s="756">
        <v>2507.54</v>
      </c>
      <c r="O1446" s="720">
        <f t="shared" si="70"/>
        <v>0</v>
      </c>
    </row>
    <row r="1447" spans="1:15" outlineLevel="2" x14ac:dyDescent="0.25">
      <c r="A1447" s="207" t="str">
        <f>VLOOKUP(RIGHT(E1447,3)+0,SchLocTable!$A$2:$B$47,2,FALSE)</f>
        <v>Marin</v>
      </c>
      <c r="B1447" s="207" t="str">
        <f>VLOOKUP(VALUE(D1447),$D$3:F$106,3,FALSE)</f>
        <v>Mathematics</v>
      </c>
      <c r="C1447" s="751" t="s">
        <v>246</v>
      </c>
      <c r="D1447" s="751" t="s">
        <v>552</v>
      </c>
      <c r="E1447" s="751" t="s">
        <v>556</v>
      </c>
      <c r="F1447" s="751" t="s">
        <v>292</v>
      </c>
      <c r="G1447" s="752" t="s">
        <v>1681</v>
      </c>
      <c r="H1447" s="753">
        <v>52385</v>
      </c>
      <c r="I1447" s="754">
        <v>0</v>
      </c>
      <c r="J1447" s="754">
        <v>0</v>
      </c>
      <c r="K1447" s="754">
        <v>0</v>
      </c>
      <c r="L1447" s="754">
        <v>0</v>
      </c>
      <c r="M1447" s="754">
        <f t="shared" si="69"/>
        <v>0</v>
      </c>
      <c r="N1447" s="756">
        <v>0</v>
      </c>
      <c r="O1447" s="720">
        <f t="shared" si="70"/>
        <v>0</v>
      </c>
    </row>
    <row r="1448" spans="1:15" outlineLevel="2" x14ac:dyDescent="0.25">
      <c r="A1448" s="207" t="str">
        <f>VLOOKUP(RIGHT(E1448,3)+0,SchLocTable!$A$2:$B$47,2,FALSE)</f>
        <v>Marin</v>
      </c>
      <c r="B1448" s="207" t="str">
        <f>VLOOKUP(VALUE(D1448),$D$3:F$106,3,FALSE)</f>
        <v>Mathematics</v>
      </c>
      <c r="C1448" s="751" t="s">
        <v>246</v>
      </c>
      <c r="D1448" s="751" t="s">
        <v>552</v>
      </c>
      <c r="E1448" s="751" t="s">
        <v>556</v>
      </c>
      <c r="F1448" s="751" t="s">
        <v>259</v>
      </c>
      <c r="G1448" s="752" t="s">
        <v>1681</v>
      </c>
      <c r="H1448" s="753">
        <v>52917</v>
      </c>
      <c r="I1448" s="754">
        <v>56516.88</v>
      </c>
      <c r="J1448" s="754">
        <v>0</v>
      </c>
      <c r="K1448" s="754">
        <v>0</v>
      </c>
      <c r="L1448" s="754">
        <v>13456.4</v>
      </c>
      <c r="M1448" s="754">
        <f t="shared" si="69"/>
        <v>13456.4</v>
      </c>
      <c r="N1448" s="756">
        <v>56516.88</v>
      </c>
      <c r="O1448" s="720">
        <f t="shared" si="70"/>
        <v>0</v>
      </c>
    </row>
    <row r="1449" spans="1:15" outlineLevel="2" x14ac:dyDescent="0.25">
      <c r="A1449" s="207" t="str">
        <f>VLOOKUP(RIGHT(E1449,3)+0,SchLocTable!$A$2:$B$47,2,FALSE)</f>
        <v>Hooker</v>
      </c>
      <c r="B1449" s="207" t="str">
        <f>VLOOKUP(VALUE(D1449),$D$3:F$106,3,FALSE)</f>
        <v>Mathematics</v>
      </c>
      <c r="C1449" s="751" t="s">
        <v>246</v>
      </c>
      <c r="D1449" s="751" t="s">
        <v>552</v>
      </c>
      <c r="E1449" s="751" t="s">
        <v>557</v>
      </c>
      <c r="F1449" s="751" t="s">
        <v>248</v>
      </c>
      <c r="G1449" s="752">
        <v>1</v>
      </c>
      <c r="H1449" s="753">
        <v>51000</v>
      </c>
      <c r="I1449" s="754">
        <v>103153.2</v>
      </c>
      <c r="J1449" s="754">
        <v>0</v>
      </c>
      <c r="K1449" s="754">
        <v>0</v>
      </c>
      <c r="L1449" s="754">
        <v>19761.150000000001</v>
      </c>
      <c r="M1449" s="754">
        <f t="shared" si="69"/>
        <v>19761.150000000001</v>
      </c>
      <c r="N1449" s="756">
        <v>103153.2</v>
      </c>
      <c r="O1449" s="720">
        <f t="shared" si="70"/>
        <v>0</v>
      </c>
    </row>
    <row r="1450" spans="1:15" outlineLevel="2" x14ac:dyDescent="0.25">
      <c r="A1450" s="207" t="str">
        <f>VLOOKUP(RIGHT(E1450,3)+0,SchLocTable!$A$2:$B$47,2,FALSE)</f>
        <v>Hooker</v>
      </c>
      <c r="B1450" s="207" t="str">
        <f>VLOOKUP(VALUE(D1450),$D$3:F$106,3,FALSE)</f>
        <v>Mathematics</v>
      </c>
      <c r="C1450" s="751" t="s">
        <v>246</v>
      </c>
      <c r="D1450" s="751" t="s">
        <v>552</v>
      </c>
      <c r="E1450" s="751" t="s">
        <v>557</v>
      </c>
      <c r="F1450" s="751" t="s">
        <v>257</v>
      </c>
      <c r="G1450" s="752" t="s">
        <v>1681</v>
      </c>
      <c r="H1450" s="753">
        <v>51140</v>
      </c>
      <c r="I1450" s="754">
        <v>1100</v>
      </c>
      <c r="J1450" s="754">
        <v>0</v>
      </c>
      <c r="K1450" s="754">
        <v>0</v>
      </c>
      <c r="L1450" s="754">
        <v>0</v>
      </c>
      <c r="M1450" s="754">
        <f t="shared" si="69"/>
        <v>0</v>
      </c>
      <c r="N1450" s="756">
        <v>1100</v>
      </c>
      <c r="O1450" s="720">
        <f t="shared" si="70"/>
        <v>0</v>
      </c>
    </row>
    <row r="1451" spans="1:15" outlineLevel="2" x14ac:dyDescent="0.25">
      <c r="A1451" s="207" t="str">
        <f>VLOOKUP(RIGHT(E1451,3)+0,SchLocTable!$A$2:$B$47,2,FALSE)</f>
        <v>Hooker</v>
      </c>
      <c r="B1451" s="207" t="str">
        <f>VLOOKUP(VALUE(D1451),$D$3:F$106,3,FALSE)</f>
        <v>Mathematics</v>
      </c>
      <c r="C1451" s="751" t="s">
        <v>246</v>
      </c>
      <c r="D1451" s="751" t="s">
        <v>552</v>
      </c>
      <c r="E1451" s="751" t="s">
        <v>557</v>
      </c>
      <c r="F1451" s="751" t="s">
        <v>254</v>
      </c>
      <c r="G1451" s="752" t="s">
        <v>1681</v>
      </c>
      <c r="H1451" s="753">
        <v>52360</v>
      </c>
      <c r="I1451" s="754">
        <v>1460.07</v>
      </c>
      <c r="J1451" s="754">
        <v>0</v>
      </c>
      <c r="K1451" s="754">
        <v>0</v>
      </c>
      <c r="L1451" s="754">
        <v>250.89</v>
      </c>
      <c r="M1451" s="754">
        <f t="shared" si="69"/>
        <v>250.89</v>
      </c>
      <c r="N1451" s="756">
        <v>1460.07</v>
      </c>
      <c r="O1451" s="720">
        <f t="shared" si="70"/>
        <v>0</v>
      </c>
    </row>
    <row r="1452" spans="1:15" outlineLevel="2" x14ac:dyDescent="0.25">
      <c r="A1452" s="207" t="str">
        <f>VLOOKUP(RIGHT(E1452,3)+0,SchLocTable!$A$2:$B$47,2,FALSE)</f>
        <v>Hooker</v>
      </c>
      <c r="B1452" s="207" t="str">
        <f>VLOOKUP(VALUE(D1452),$D$3:F$106,3,FALSE)</f>
        <v>Mathematics</v>
      </c>
      <c r="C1452" s="751" t="s">
        <v>246</v>
      </c>
      <c r="D1452" s="751" t="s">
        <v>552</v>
      </c>
      <c r="E1452" s="751" t="s">
        <v>557</v>
      </c>
      <c r="F1452" s="751" t="s">
        <v>259</v>
      </c>
      <c r="G1452" s="752" t="s">
        <v>1681</v>
      </c>
      <c r="H1452" s="753">
        <v>52917</v>
      </c>
      <c r="I1452" s="754">
        <v>35075.879999999997</v>
      </c>
      <c r="J1452" s="754">
        <v>0</v>
      </c>
      <c r="K1452" s="754">
        <v>0</v>
      </c>
      <c r="L1452" s="754">
        <v>8351.4</v>
      </c>
      <c r="M1452" s="754">
        <f t="shared" si="69"/>
        <v>8351.4</v>
      </c>
      <c r="N1452" s="756">
        <v>35075.879999999997</v>
      </c>
      <c r="O1452" s="720">
        <f t="shared" si="70"/>
        <v>0</v>
      </c>
    </row>
    <row r="1453" spans="1:15" outlineLevel="2" x14ac:dyDescent="0.25">
      <c r="A1453" s="207" t="str">
        <f>VLOOKUP(RIGHT(E1453,3)+0,SchLocTable!$A$2:$B$47,2,FALSE)</f>
        <v>Batalla</v>
      </c>
      <c r="B1453" s="207" t="str">
        <f>VLOOKUP(VALUE(D1453),$D$3:F$106,3,FALSE)</f>
        <v>Mathematics</v>
      </c>
      <c r="C1453" s="751" t="s">
        <v>246</v>
      </c>
      <c r="D1453" s="751" t="s">
        <v>552</v>
      </c>
      <c r="E1453" s="751" t="s">
        <v>558</v>
      </c>
      <c r="F1453" s="751" t="s">
        <v>248</v>
      </c>
      <c r="G1453" s="752">
        <v>2</v>
      </c>
      <c r="H1453" s="753">
        <v>51000</v>
      </c>
      <c r="I1453" s="754">
        <v>167338.06</v>
      </c>
      <c r="J1453" s="754">
        <v>0</v>
      </c>
      <c r="K1453" s="754">
        <v>0</v>
      </c>
      <c r="L1453" s="754">
        <v>32057.1</v>
      </c>
      <c r="M1453" s="754">
        <f t="shared" si="69"/>
        <v>32057.1</v>
      </c>
      <c r="N1453" s="756">
        <v>167338.06</v>
      </c>
      <c r="O1453" s="720">
        <f t="shared" si="70"/>
        <v>0</v>
      </c>
    </row>
    <row r="1454" spans="1:15" outlineLevel="2" x14ac:dyDescent="0.25">
      <c r="A1454" s="207" t="str">
        <f>VLOOKUP(RIGHT(E1454,3)+0,SchLocTable!$A$2:$B$47,2,FALSE)</f>
        <v>Batalla</v>
      </c>
      <c r="B1454" s="207" t="str">
        <f>VLOOKUP(VALUE(D1454),$D$3:F$106,3,FALSE)</f>
        <v>Mathematics</v>
      </c>
      <c r="C1454" s="755" t="s">
        <v>246</v>
      </c>
      <c r="D1454" s="751" t="s">
        <v>552</v>
      </c>
      <c r="E1454" s="751" t="s">
        <v>558</v>
      </c>
      <c r="F1454" s="751" t="s">
        <v>254</v>
      </c>
      <c r="G1454" s="752" t="s">
        <v>1681</v>
      </c>
      <c r="H1454" s="753">
        <v>52360</v>
      </c>
      <c r="I1454" s="754">
        <v>2379.61</v>
      </c>
      <c r="J1454" s="754">
        <v>0</v>
      </c>
      <c r="K1454" s="754">
        <v>0</v>
      </c>
      <c r="L1454" s="754">
        <v>418.04</v>
      </c>
      <c r="M1454" s="754">
        <f t="shared" si="69"/>
        <v>418.04</v>
      </c>
      <c r="N1454" s="756">
        <v>2379.61</v>
      </c>
      <c r="O1454" s="720">
        <f t="shared" si="70"/>
        <v>0</v>
      </c>
    </row>
    <row r="1455" spans="1:15" outlineLevel="2" x14ac:dyDescent="0.25">
      <c r="A1455" s="207" t="str">
        <f>VLOOKUP(RIGHT(E1455,3)+0,SchLocTable!$A$2:$B$47,2,FALSE)</f>
        <v>Batalla</v>
      </c>
      <c r="B1455" s="207" t="str">
        <f>VLOOKUP(VALUE(D1455),$D$3:F$106,3,FALSE)</f>
        <v>Mathematics</v>
      </c>
      <c r="C1455" s="751" t="s">
        <v>246</v>
      </c>
      <c r="D1455" s="751" t="s">
        <v>552</v>
      </c>
      <c r="E1455" s="751" t="s">
        <v>558</v>
      </c>
      <c r="F1455" s="751" t="s">
        <v>259</v>
      </c>
      <c r="G1455" s="752" t="s">
        <v>1681</v>
      </c>
      <c r="H1455" s="753">
        <v>52917</v>
      </c>
      <c r="I1455" s="754">
        <v>40322.1</v>
      </c>
      <c r="J1455" s="754">
        <v>0</v>
      </c>
      <c r="K1455" s="754">
        <v>0</v>
      </c>
      <c r="L1455" s="754">
        <v>9600.5</v>
      </c>
      <c r="M1455" s="754">
        <f t="shared" si="69"/>
        <v>9600.5</v>
      </c>
      <c r="N1455" s="756">
        <v>40322.1</v>
      </c>
      <c r="O1455" s="720">
        <f t="shared" si="70"/>
        <v>0</v>
      </c>
    </row>
    <row r="1456" spans="1:15" outlineLevel="2" x14ac:dyDescent="0.25">
      <c r="A1456" s="207" t="str">
        <f>VLOOKUP(RIGHT(E1456,3)+0,SchLocTable!$A$2:$B$47,2,FALSE)</f>
        <v>Info Tech HS</v>
      </c>
      <c r="B1456" s="207" t="str">
        <f>VLOOKUP(VALUE(D1456),$D$3:F$106,3,FALSE)</f>
        <v>Mathematics</v>
      </c>
      <c r="C1456" s="751" t="s">
        <v>246</v>
      </c>
      <c r="D1456" s="751" t="s">
        <v>552</v>
      </c>
      <c r="E1456" s="751" t="s">
        <v>559</v>
      </c>
      <c r="F1456" s="751" t="s">
        <v>248</v>
      </c>
      <c r="G1456" s="752">
        <v>3</v>
      </c>
      <c r="H1456" s="753">
        <v>51000</v>
      </c>
      <c r="I1456" s="754">
        <v>172415.1</v>
      </c>
      <c r="J1456" s="754">
        <v>0</v>
      </c>
      <c r="K1456" s="754">
        <v>0</v>
      </c>
      <c r="L1456" s="754">
        <v>31033.75</v>
      </c>
      <c r="M1456" s="754">
        <f t="shared" si="69"/>
        <v>31033.75</v>
      </c>
      <c r="N1456" s="756">
        <v>172415.1</v>
      </c>
      <c r="O1456" s="720">
        <f t="shared" si="70"/>
        <v>0</v>
      </c>
    </row>
    <row r="1457" spans="1:15" outlineLevel="2" x14ac:dyDescent="0.25">
      <c r="A1457" s="207" t="str">
        <f>VLOOKUP(RIGHT(E1457,3)+0,SchLocTable!$A$2:$B$47,2,FALSE)</f>
        <v>Info Tech HS</v>
      </c>
      <c r="B1457" s="207" t="str">
        <f>VLOOKUP(VALUE(D1457),$D$3:F$106,3,FALSE)</f>
        <v>Mathematics</v>
      </c>
      <c r="C1457" s="751" t="s">
        <v>246</v>
      </c>
      <c r="D1457" s="751" t="s">
        <v>552</v>
      </c>
      <c r="E1457" s="751" t="s">
        <v>559</v>
      </c>
      <c r="F1457" s="751" t="s">
        <v>254</v>
      </c>
      <c r="G1457" s="752" t="s">
        <v>1681</v>
      </c>
      <c r="H1457" s="753">
        <v>52360</v>
      </c>
      <c r="I1457" s="754">
        <v>2447.54</v>
      </c>
      <c r="J1457" s="754">
        <v>0</v>
      </c>
      <c r="K1457" s="754">
        <v>0</v>
      </c>
      <c r="L1457" s="754">
        <v>397.51</v>
      </c>
      <c r="M1457" s="754">
        <f t="shared" si="69"/>
        <v>397.51</v>
      </c>
      <c r="N1457" s="756">
        <v>2447.54</v>
      </c>
      <c r="O1457" s="720">
        <f t="shared" si="70"/>
        <v>0</v>
      </c>
    </row>
    <row r="1458" spans="1:15" outlineLevel="2" x14ac:dyDescent="0.25">
      <c r="A1458" s="207" t="str">
        <f>VLOOKUP(RIGHT(E1458,3)+0,SchLocTable!$A$2:$B$47,2,FALSE)</f>
        <v>Info Tech HS</v>
      </c>
      <c r="B1458" s="207" t="str">
        <f>VLOOKUP(VALUE(D1458),$D$3:F$106,3,FALSE)</f>
        <v>Mathematics</v>
      </c>
      <c r="C1458" s="751" t="s">
        <v>246</v>
      </c>
      <c r="D1458" s="751" t="s">
        <v>552</v>
      </c>
      <c r="E1458" s="751" t="s">
        <v>559</v>
      </c>
      <c r="F1458" s="751" t="s">
        <v>292</v>
      </c>
      <c r="G1458" s="752" t="s">
        <v>1681</v>
      </c>
      <c r="H1458" s="753">
        <v>52385</v>
      </c>
      <c r="I1458" s="754">
        <v>196.51</v>
      </c>
      <c r="J1458" s="754">
        <v>0</v>
      </c>
      <c r="K1458" s="754">
        <v>0</v>
      </c>
      <c r="L1458" s="754">
        <v>196.51</v>
      </c>
      <c r="M1458" s="754">
        <f t="shared" si="69"/>
        <v>196.51</v>
      </c>
      <c r="N1458" s="756">
        <v>196.51</v>
      </c>
      <c r="O1458" s="720">
        <f t="shared" si="70"/>
        <v>0</v>
      </c>
    </row>
    <row r="1459" spans="1:15" outlineLevel="2" x14ac:dyDescent="0.25">
      <c r="A1459" s="207" t="str">
        <f>VLOOKUP(RIGHT(E1459,3)+0,SchLocTable!$A$2:$B$47,2,FALSE)</f>
        <v>Info Tech HS</v>
      </c>
      <c r="B1459" s="207" t="str">
        <f>VLOOKUP(VALUE(D1459),$D$3:F$106,3,FALSE)</f>
        <v>Mathematics</v>
      </c>
      <c r="C1459" s="751" t="s">
        <v>246</v>
      </c>
      <c r="D1459" s="751" t="s">
        <v>552</v>
      </c>
      <c r="E1459" s="751" t="s">
        <v>559</v>
      </c>
      <c r="F1459" s="751" t="s">
        <v>259</v>
      </c>
      <c r="G1459" s="752" t="s">
        <v>1681</v>
      </c>
      <c r="H1459" s="753">
        <v>52917</v>
      </c>
      <c r="I1459" s="754">
        <v>58163.82</v>
      </c>
      <c r="J1459" s="754">
        <v>0</v>
      </c>
      <c r="K1459" s="754">
        <v>0</v>
      </c>
      <c r="L1459" s="754">
        <v>12290.2</v>
      </c>
      <c r="M1459" s="754">
        <f t="shared" si="69"/>
        <v>12290.2</v>
      </c>
      <c r="N1459" s="756">
        <v>58163.82</v>
      </c>
      <c r="O1459" s="720">
        <f t="shared" si="70"/>
        <v>0</v>
      </c>
    </row>
    <row r="1460" spans="1:15" outlineLevel="2" x14ac:dyDescent="0.25">
      <c r="A1460" s="207" t="str">
        <f>VLOOKUP(RIGHT(E1460,3)+0,SchLocTable!$A$2:$B$47,2,FALSE)</f>
        <v>BMA HS</v>
      </c>
      <c r="B1460" s="207" t="str">
        <f>VLOOKUP(VALUE(D1460),$D$3:F$106,3,FALSE)</f>
        <v>Mathematics</v>
      </c>
      <c r="C1460" s="751" t="s">
        <v>246</v>
      </c>
      <c r="D1460" s="751" t="s">
        <v>552</v>
      </c>
      <c r="E1460" s="751" t="s">
        <v>560</v>
      </c>
      <c r="F1460" s="751" t="s">
        <v>248</v>
      </c>
      <c r="G1460" s="752">
        <v>4</v>
      </c>
      <c r="H1460" s="753">
        <v>51000</v>
      </c>
      <c r="I1460" s="754">
        <v>318104.02</v>
      </c>
      <c r="J1460" s="754">
        <v>0</v>
      </c>
      <c r="K1460" s="754">
        <v>0</v>
      </c>
      <c r="L1460" s="754">
        <v>72509.149999999994</v>
      </c>
      <c r="M1460" s="754">
        <f t="shared" si="69"/>
        <v>72509.149999999994</v>
      </c>
      <c r="N1460" s="756">
        <v>318104.02</v>
      </c>
      <c r="O1460" s="720">
        <f t="shared" si="70"/>
        <v>0</v>
      </c>
    </row>
    <row r="1461" spans="1:15" outlineLevel="2" x14ac:dyDescent="0.25">
      <c r="A1461" s="207" t="str">
        <f>VLOOKUP(RIGHT(E1461,3)+0,SchLocTable!$A$2:$B$47,2,FALSE)</f>
        <v>BMA HS</v>
      </c>
      <c r="B1461" s="207" t="str">
        <f>VLOOKUP(VALUE(D1461),$D$3:F$106,3,FALSE)</f>
        <v>Mathematics</v>
      </c>
      <c r="C1461" s="751" t="s">
        <v>246</v>
      </c>
      <c r="D1461" s="751" t="s">
        <v>552</v>
      </c>
      <c r="E1461" s="751" t="s">
        <v>560</v>
      </c>
      <c r="F1461" s="751" t="s">
        <v>257</v>
      </c>
      <c r="G1461" s="752" t="s">
        <v>1681</v>
      </c>
      <c r="H1461" s="753">
        <v>51140</v>
      </c>
      <c r="I1461" s="754">
        <v>1800</v>
      </c>
      <c r="J1461" s="754">
        <v>0</v>
      </c>
      <c r="K1461" s="754">
        <v>0</v>
      </c>
      <c r="L1461" s="754">
        <v>0</v>
      </c>
      <c r="M1461" s="754">
        <f t="shared" si="69"/>
        <v>0</v>
      </c>
      <c r="N1461" s="756">
        <v>1800</v>
      </c>
      <c r="O1461" s="720">
        <f t="shared" si="70"/>
        <v>0</v>
      </c>
    </row>
    <row r="1462" spans="1:15" outlineLevel="2" x14ac:dyDescent="0.25">
      <c r="A1462" s="207" t="str">
        <f>VLOOKUP(RIGHT(E1462,3)+0,SchLocTable!$A$2:$B$47,2,FALSE)</f>
        <v>BMA HS</v>
      </c>
      <c r="B1462" s="207" t="str">
        <f>VLOOKUP(VALUE(D1462),$D$3:F$106,3,FALSE)</f>
        <v>Mathematics</v>
      </c>
      <c r="C1462" s="755" t="s">
        <v>246</v>
      </c>
      <c r="D1462" s="751" t="s">
        <v>552</v>
      </c>
      <c r="E1462" s="751" t="s">
        <v>560</v>
      </c>
      <c r="F1462" s="751" t="s">
        <v>254</v>
      </c>
      <c r="G1462" s="752" t="s">
        <v>1681</v>
      </c>
      <c r="H1462" s="753">
        <v>52360</v>
      </c>
      <c r="I1462" s="754">
        <v>4538.3100000000004</v>
      </c>
      <c r="J1462" s="754">
        <v>0</v>
      </c>
      <c r="K1462" s="754">
        <v>0</v>
      </c>
      <c r="L1462" s="754">
        <v>977.18</v>
      </c>
      <c r="M1462" s="754">
        <f t="shared" si="69"/>
        <v>977.18</v>
      </c>
      <c r="N1462" s="756">
        <v>4538.3100000000004</v>
      </c>
      <c r="O1462" s="720">
        <f t="shared" si="70"/>
        <v>0</v>
      </c>
    </row>
    <row r="1463" spans="1:15" outlineLevel="2" x14ac:dyDescent="0.25">
      <c r="A1463" s="207" t="str">
        <f>VLOOKUP(RIGHT(E1463,3)+0,SchLocTable!$A$2:$B$47,2,FALSE)</f>
        <v>BMA HS</v>
      </c>
      <c r="B1463" s="207" t="str">
        <f>VLOOKUP(VALUE(D1463),$D$3:F$106,3,FALSE)</f>
        <v>Mathematics</v>
      </c>
      <c r="C1463" s="751" t="s">
        <v>246</v>
      </c>
      <c r="D1463" s="751" t="s">
        <v>552</v>
      </c>
      <c r="E1463" s="751" t="s">
        <v>560</v>
      </c>
      <c r="F1463" s="751" t="s">
        <v>259</v>
      </c>
      <c r="G1463" s="752" t="s">
        <v>1681</v>
      </c>
      <c r="H1463" s="753">
        <v>52917</v>
      </c>
      <c r="I1463" s="754">
        <v>70151.759999999995</v>
      </c>
      <c r="J1463" s="754">
        <v>0</v>
      </c>
      <c r="K1463" s="754">
        <v>0</v>
      </c>
      <c r="L1463" s="754">
        <v>16702.8</v>
      </c>
      <c r="M1463" s="754">
        <f t="shared" si="69"/>
        <v>16702.8</v>
      </c>
      <c r="N1463" s="756">
        <v>70151.759999999995</v>
      </c>
      <c r="O1463" s="720">
        <f t="shared" si="70"/>
        <v>0</v>
      </c>
    </row>
    <row r="1464" spans="1:15" outlineLevel="2" x14ac:dyDescent="0.25">
      <c r="A1464" s="207" t="str">
        <f>VLOOKUP(RIGHT(E1464,3)+0,SchLocTable!$A$2:$B$47,2,FALSE)</f>
        <v>Park City Magnet</v>
      </c>
      <c r="B1464" s="207" t="str">
        <f>VLOOKUP(VALUE(D1464),$D$3:F$106,3,FALSE)</f>
        <v>Mathematics</v>
      </c>
      <c r="C1464" s="751" t="s">
        <v>246</v>
      </c>
      <c r="D1464" s="751" t="s">
        <v>552</v>
      </c>
      <c r="E1464" s="751" t="s">
        <v>1499</v>
      </c>
      <c r="F1464" s="751" t="s">
        <v>248</v>
      </c>
      <c r="G1464" s="752">
        <v>1</v>
      </c>
      <c r="H1464" s="753">
        <v>51000</v>
      </c>
      <c r="I1464" s="754">
        <v>58141.67</v>
      </c>
      <c r="J1464" s="754">
        <v>0</v>
      </c>
      <c r="K1464" s="754">
        <v>0</v>
      </c>
      <c r="L1464" s="754">
        <v>11138.25</v>
      </c>
      <c r="M1464" s="754">
        <f t="shared" si="69"/>
        <v>11138.25</v>
      </c>
      <c r="N1464" s="756">
        <v>58141.67</v>
      </c>
      <c r="O1464" s="720">
        <f t="shared" si="70"/>
        <v>0</v>
      </c>
    </row>
    <row r="1465" spans="1:15" outlineLevel="2" x14ac:dyDescent="0.25">
      <c r="A1465" s="207" t="str">
        <f>VLOOKUP(RIGHT(E1465,3)+0,SchLocTable!$A$2:$B$47,2,FALSE)</f>
        <v>Park City Magnet</v>
      </c>
      <c r="B1465" s="207" t="str">
        <f>VLOOKUP(VALUE(D1465),$D$3:F$106,3,FALSE)</f>
        <v>Mathematics</v>
      </c>
      <c r="C1465" s="751" t="s">
        <v>246</v>
      </c>
      <c r="D1465" s="751" t="s">
        <v>552</v>
      </c>
      <c r="E1465" s="751" t="s">
        <v>1499</v>
      </c>
      <c r="F1465" s="751" t="s">
        <v>254</v>
      </c>
      <c r="G1465" s="752" t="s">
        <v>1681</v>
      </c>
      <c r="H1465" s="753">
        <v>52360</v>
      </c>
      <c r="I1465" s="754">
        <v>843.05</v>
      </c>
      <c r="J1465" s="754">
        <v>0</v>
      </c>
      <c r="K1465" s="754">
        <v>0</v>
      </c>
      <c r="L1465" s="754">
        <v>161.5</v>
      </c>
      <c r="M1465" s="754">
        <f t="shared" si="69"/>
        <v>161.5</v>
      </c>
      <c r="N1465" s="756">
        <v>843.05</v>
      </c>
      <c r="O1465" s="720">
        <f t="shared" si="70"/>
        <v>0</v>
      </c>
    </row>
    <row r="1466" spans="1:15" outlineLevel="2" x14ac:dyDescent="0.25">
      <c r="A1466" s="207" t="str">
        <f>VLOOKUP(RIGHT(E1466,3)+0,SchLocTable!$A$2:$B$47,2,FALSE)</f>
        <v>Park City Magnet</v>
      </c>
      <c r="B1466" s="207" t="str">
        <f>VLOOKUP(VALUE(D1466),$D$3:F$106,3,FALSE)</f>
        <v>Mathematics</v>
      </c>
      <c r="C1466" s="751" t="s">
        <v>246</v>
      </c>
      <c r="D1466" s="751" t="s">
        <v>552</v>
      </c>
      <c r="E1466" s="751" t="s">
        <v>1499</v>
      </c>
      <c r="F1466" s="751" t="s">
        <v>259</v>
      </c>
      <c r="G1466" s="752" t="s">
        <v>1681</v>
      </c>
      <c r="H1466" s="753">
        <v>52917</v>
      </c>
      <c r="I1466" s="754">
        <v>0</v>
      </c>
      <c r="J1466" s="754">
        <v>0</v>
      </c>
      <c r="K1466" s="754">
        <v>0</v>
      </c>
      <c r="L1466" s="754">
        <v>0</v>
      </c>
      <c r="M1466" s="754">
        <f t="shared" si="69"/>
        <v>0</v>
      </c>
      <c r="N1466" s="756">
        <v>0</v>
      </c>
      <c r="O1466" s="720">
        <f t="shared" si="70"/>
        <v>0</v>
      </c>
    </row>
    <row r="1467" spans="1:15" outlineLevel="2" x14ac:dyDescent="0.25">
      <c r="A1467" s="207" t="str">
        <f>VLOOKUP(RIGHT(E1467,3)+0,SchLocTable!$A$2:$B$47,2,FALSE)</f>
        <v>Zoo Science HS</v>
      </c>
      <c r="B1467" s="207" t="str">
        <f>VLOOKUP(VALUE(D1467),$D$3:F$106,3,FALSE)</f>
        <v>Mathematics</v>
      </c>
      <c r="C1467" s="751" t="s">
        <v>246</v>
      </c>
      <c r="D1467" s="751" t="s">
        <v>552</v>
      </c>
      <c r="E1467" s="751" t="s">
        <v>561</v>
      </c>
      <c r="F1467" s="751" t="s">
        <v>248</v>
      </c>
      <c r="G1467" s="752">
        <v>3</v>
      </c>
      <c r="H1467" s="753">
        <v>51000</v>
      </c>
      <c r="I1467" s="754">
        <v>240819.08</v>
      </c>
      <c r="J1467" s="754">
        <v>0</v>
      </c>
      <c r="K1467" s="754">
        <v>0</v>
      </c>
      <c r="L1467" s="754">
        <v>50474.43</v>
      </c>
      <c r="M1467" s="754">
        <f t="shared" si="69"/>
        <v>50474.43</v>
      </c>
      <c r="N1467" s="756">
        <v>240819.08</v>
      </c>
      <c r="O1467" s="720">
        <f t="shared" si="70"/>
        <v>0</v>
      </c>
    </row>
    <row r="1468" spans="1:15" outlineLevel="2" x14ac:dyDescent="0.25">
      <c r="A1468" s="207" t="str">
        <f>VLOOKUP(RIGHT(E1468,3)+0,SchLocTable!$A$2:$B$47,2,FALSE)</f>
        <v>Zoo Science HS</v>
      </c>
      <c r="B1468" s="207" t="str">
        <f>VLOOKUP(VALUE(D1468),$D$3:F$106,3,FALSE)</f>
        <v>Mathematics</v>
      </c>
      <c r="C1468" s="751" t="s">
        <v>246</v>
      </c>
      <c r="D1468" s="751" t="s">
        <v>552</v>
      </c>
      <c r="E1468" s="751" t="s">
        <v>561</v>
      </c>
      <c r="F1468" s="751" t="s">
        <v>257</v>
      </c>
      <c r="G1468" s="752" t="s">
        <v>1681</v>
      </c>
      <c r="H1468" s="753">
        <v>51140</v>
      </c>
      <c r="I1468" s="754">
        <v>1100</v>
      </c>
      <c r="J1468" s="754">
        <v>0</v>
      </c>
      <c r="K1468" s="754">
        <v>0</v>
      </c>
      <c r="L1468" s="754">
        <v>0</v>
      </c>
      <c r="M1468" s="754">
        <f t="shared" si="69"/>
        <v>0</v>
      </c>
      <c r="N1468" s="756">
        <v>1100</v>
      </c>
      <c r="O1468" s="720">
        <f t="shared" si="70"/>
        <v>0</v>
      </c>
    </row>
    <row r="1469" spans="1:15" outlineLevel="2" x14ac:dyDescent="0.25">
      <c r="A1469" s="207" t="str">
        <f>VLOOKUP(RIGHT(E1469,3)+0,SchLocTable!$A$2:$B$47,2,FALSE)</f>
        <v>Zoo Science HS</v>
      </c>
      <c r="B1469" s="207" t="str">
        <f>VLOOKUP(VALUE(D1469),$D$3:F$106,3,FALSE)</f>
        <v>Mathematics</v>
      </c>
      <c r="C1469" s="751" t="s">
        <v>246</v>
      </c>
      <c r="D1469" s="751" t="s">
        <v>552</v>
      </c>
      <c r="E1469" s="751" t="s">
        <v>561</v>
      </c>
      <c r="F1469" s="751" t="s">
        <v>254</v>
      </c>
      <c r="G1469" s="752" t="s">
        <v>1681</v>
      </c>
      <c r="H1469" s="753">
        <v>52360</v>
      </c>
      <c r="I1469" s="754">
        <v>3444.19</v>
      </c>
      <c r="J1469" s="754">
        <v>0</v>
      </c>
      <c r="K1469" s="754">
        <v>0</v>
      </c>
      <c r="L1469" s="754">
        <v>684.19</v>
      </c>
      <c r="M1469" s="754">
        <f t="shared" si="69"/>
        <v>684.19</v>
      </c>
      <c r="N1469" s="756">
        <v>3444.19</v>
      </c>
      <c r="O1469" s="720">
        <f t="shared" si="70"/>
        <v>0</v>
      </c>
    </row>
    <row r="1470" spans="1:15" outlineLevel="2" x14ac:dyDescent="0.25">
      <c r="A1470" s="207" t="str">
        <f>VLOOKUP(RIGHT(E1470,3)+0,SchLocTable!$A$2:$B$47,2,FALSE)</f>
        <v>Zoo Science HS</v>
      </c>
      <c r="B1470" s="207" t="str">
        <f>VLOOKUP(VALUE(D1470),$D$3:F$106,3,FALSE)</f>
        <v>Mathematics</v>
      </c>
      <c r="C1470" s="751" t="s">
        <v>246</v>
      </c>
      <c r="D1470" s="751" t="s">
        <v>552</v>
      </c>
      <c r="E1470" s="751" t="s">
        <v>561</v>
      </c>
      <c r="F1470" s="751" t="s">
        <v>259</v>
      </c>
      <c r="G1470" s="752" t="s">
        <v>1681</v>
      </c>
      <c r="H1470" s="753">
        <v>52917</v>
      </c>
      <c r="I1470" s="754">
        <v>46919.88</v>
      </c>
      <c r="J1470" s="754">
        <v>0</v>
      </c>
      <c r="K1470" s="754">
        <v>0</v>
      </c>
      <c r="L1470" s="754">
        <v>11171.4</v>
      </c>
      <c r="M1470" s="754">
        <f t="shared" si="69"/>
        <v>11171.4</v>
      </c>
      <c r="N1470" s="756">
        <v>46919.88</v>
      </c>
      <c r="O1470" s="720">
        <f t="shared" si="70"/>
        <v>0</v>
      </c>
    </row>
    <row r="1471" spans="1:15" outlineLevel="2" x14ac:dyDescent="0.25">
      <c r="A1471" s="207" t="str">
        <f>VLOOKUP(RIGHT(E1471,3)+0,SchLocTable!$A$2:$B$47,2,FALSE)</f>
        <v>Classical Studies Academy</v>
      </c>
      <c r="B1471" s="207" t="str">
        <f>VLOOKUP(VALUE(D1471),$D$3:F$106,3,FALSE)</f>
        <v>Mathematics</v>
      </c>
      <c r="C1471" s="755" t="s">
        <v>246</v>
      </c>
      <c r="D1471" s="751" t="s">
        <v>552</v>
      </c>
      <c r="E1471" s="751" t="s">
        <v>562</v>
      </c>
      <c r="F1471" s="751" t="s">
        <v>248</v>
      </c>
      <c r="G1471" s="752">
        <v>1</v>
      </c>
      <c r="H1471" s="753">
        <v>51000</v>
      </c>
      <c r="I1471" s="754">
        <v>93652.800000000003</v>
      </c>
      <c r="J1471" s="754">
        <v>0</v>
      </c>
      <c r="K1471" s="754">
        <v>0</v>
      </c>
      <c r="L1471" s="754">
        <v>17941.150000000001</v>
      </c>
      <c r="M1471" s="754">
        <f t="shared" ref="M1471:M1534" si="71">SUM(J1471:L1471)</f>
        <v>17941.150000000001</v>
      </c>
      <c r="N1471" s="756">
        <v>93652.800000000003</v>
      </c>
      <c r="O1471" s="720">
        <f t="shared" ref="O1471:O1534" si="72">I1471-N1471</f>
        <v>0</v>
      </c>
    </row>
    <row r="1472" spans="1:15" outlineLevel="2" x14ac:dyDescent="0.25">
      <c r="A1472" s="207" t="str">
        <f>VLOOKUP(RIGHT(E1472,3)+0,SchLocTable!$A$2:$B$47,2,FALSE)</f>
        <v>Classical Studies Academy</v>
      </c>
      <c r="B1472" s="207" t="str">
        <f>VLOOKUP(VALUE(D1472),$D$3:F$106,3,FALSE)</f>
        <v>Mathematics</v>
      </c>
      <c r="C1472" s="751" t="s">
        <v>246</v>
      </c>
      <c r="D1472" s="751" t="s">
        <v>552</v>
      </c>
      <c r="E1472" s="751" t="s">
        <v>562</v>
      </c>
      <c r="F1472" s="751" t="s">
        <v>254</v>
      </c>
      <c r="G1472" s="752" t="s">
        <v>1681</v>
      </c>
      <c r="H1472" s="753">
        <v>52360</v>
      </c>
      <c r="I1472" s="754">
        <v>1345.93</v>
      </c>
      <c r="J1472" s="754">
        <v>0</v>
      </c>
      <c r="K1472" s="754">
        <v>0</v>
      </c>
      <c r="L1472" s="754">
        <v>248.11</v>
      </c>
      <c r="M1472" s="754">
        <f t="shared" si="71"/>
        <v>248.11</v>
      </c>
      <c r="N1472" s="756">
        <v>1345.93</v>
      </c>
      <c r="O1472" s="720">
        <f t="shared" si="72"/>
        <v>0</v>
      </c>
    </row>
    <row r="1473" spans="1:15" outlineLevel="2" x14ac:dyDescent="0.25">
      <c r="A1473" s="207" t="str">
        <f>VLOOKUP(RIGHT(E1473,3)+0,SchLocTable!$A$2:$B$47,2,FALSE)</f>
        <v>Classical Studies Academy</v>
      </c>
      <c r="B1473" s="207" t="str">
        <f>VLOOKUP(VALUE(D1473),$D$3:F$106,3,FALSE)</f>
        <v>Mathematics</v>
      </c>
      <c r="C1473" s="751" t="s">
        <v>246</v>
      </c>
      <c r="D1473" s="751" t="s">
        <v>552</v>
      </c>
      <c r="E1473" s="751" t="s">
        <v>562</v>
      </c>
      <c r="F1473" s="751" t="s">
        <v>259</v>
      </c>
      <c r="G1473" s="752" t="s">
        <v>1681</v>
      </c>
      <c r="H1473" s="753">
        <v>52917</v>
      </c>
      <c r="I1473" s="754">
        <v>11844</v>
      </c>
      <c r="J1473" s="754">
        <v>0</v>
      </c>
      <c r="K1473" s="754">
        <v>0</v>
      </c>
      <c r="L1473" s="754">
        <v>2820</v>
      </c>
      <c r="M1473" s="754">
        <f t="shared" si="71"/>
        <v>2820</v>
      </c>
      <c r="N1473" s="756">
        <v>11844</v>
      </c>
      <c r="O1473" s="720">
        <f t="shared" si="72"/>
        <v>0</v>
      </c>
    </row>
    <row r="1474" spans="1:15" outlineLevel="2" x14ac:dyDescent="0.25">
      <c r="A1474" s="207" t="str">
        <f>VLOOKUP(RIGHT(E1474,3)+0,SchLocTable!$A$2:$B$47,2,FALSE)</f>
        <v>Tisdale</v>
      </c>
      <c r="B1474" s="207" t="str">
        <f>VLOOKUP(VALUE(D1474),$D$3:F$106,3,FALSE)</f>
        <v>Mathematics</v>
      </c>
      <c r="C1474" s="751" t="s">
        <v>246</v>
      </c>
      <c r="D1474" s="751" t="s">
        <v>552</v>
      </c>
      <c r="E1474" s="751" t="s">
        <v>563</v>
      </c>
      <c r="F1474" s="751" t="s">
        <v>248</v>
      </c>
      <c r="G1474" s="752">
        <v>2</v>
      </c>
      <c r="H1474" s="753">
        <v>51000</v>
      </c>
      <c r="I1474" s="754">
        <v>161197.01</v>
      </c>
      <c r="J1474" s="754">
        <v>0</v>
      </c>
      <c r="K1474" s="754">
        <v>0</v>
      </c>
      <c r="L1474" s="754">
        <v>31369.919999999998</v>
      </c>
      <c r="M1474" s="754">
        <f t="shared" si="71"/>
        <v>31369.919999999998</v>
      </c>
      <c r="N1474" s="756">
        <v>161197.01</v>
      </c>
      <c r="O1474" s="720">
        <f t="shared" si="72"/>
        <v>0</v>
      </c>
    </row>
    <row r="1475" spans="1:15" outlineLevel="2" x14ac:dyDescent="0.25">
      <c r="A1475" s="207" t="str">
        <f>VLOOKUP(RIGHT(E1475,3)+0,SchLocTable!$A$2:$B$47,2,FALSE)</f>
        <v>Tisdale</v>
      </c>
      <c r="B1475" s="207" t="str">
        <f>VLOOKUP(VALUE(D1475),$D$3:F$106,3,FALSE)</f>
        <v>Mathematics</v>
      </c>
      <c r="C1475" s="751" t="s">
        <v>246</v>
      </c>
      <c r="D1475" s="751" t="s">
        <v>552</v>
      </c>
      <c r="E1475" s="751" t="s">
        <v>563</v>
      </c>
      <c r="F1475" s="751" t="s">
        <v>257</v>
      </c>
      <c r="G1475" s="752" t="s">
        <v>1681</v>
      </c>
      <c r="H1475" s="753">
        <v>51140</v>
      </c>
      <c r="I1475" s="754">
        <v>900</v>
      </c>
      <c r="J1475" s="754">
        <v>0</v>
      </c>
      <c r="K1475" s="754">
        <v>0</v>
      </c>
      <c r="L1475" s="754">
        <v>0</v>
      </c>
      <c r="M1475" s="754">
        <f t="shared" si="71"/>
        <v>0</v>
      </c>
      <c r="N1475" s="756">
        <v>900</v>
      </c>
      <c r="O1475" s="720">
        <f t="shared" si="72"/>
        <v>0</v>
      </c>
    </row>
    <row r="1476" spans="1:15" outlineLevel="2" x14ac:dyDescent="0.25">
      <c r="A1476" s="207" t="str">
        <f>VLOOKUP(RIGHT(E1476,3)+0,SchLocTable!$A$2:$B$47,2,FALSE)</f>
        <v>Tisdale</v>
      </c>
      <c r="B1476" s="207" t="str">
        <f>VLOOKUP(VALUE(D1476),$D$3:F$106,3,FALSE)</f>
        <v>Mathematics</v>
      </c>
      <c r="C1476" s="751" t="s">
        <v>246</v>
      </c>
      <c r="D1476" s="751" t="s">
        <v>552</v>
      </c>
      <c r="E1476" s="751" t="s">
        <v>563</v>
      </c>
      <c r="F1476" s="751" t="s">
        <v>254</v>
      </c>
      <c r="G1476" s="752" t="s">
        <v>1681</v>
      </c>
      <c r="H1476" s="753">
        <v>52360</v>
      </c>
      <c r="I1476" s="754">
        <v>2298.69</v>
      </c>
      <c r="J1476" s="754">
        <v>0</v>
      </c>
      <c r="K1476" s="754">
        <v>0</v>
      </c>
      <c r="L1476" s="754">
        <v>416.2</v>
      </c>
      <c r="M1476" s="754">
        <f t="shared" si="71"/>
        <v>416.2</v>
      </c>
      <c r="N1476" s="756">
        <v>2298.69</v>
      </c>
      <c r="O1476" s="720">
        <f t="shared" si="72"/>
        <v>0</v>
      </c>
    </row>
    <row r="1477" spans="1:15" outlineLevel="2" x14ac:dyDescent="0.25">
      <c r="A1477" s="207" t="str">
        <f>VLOOKUP(RIGHT(E1477,3)+0,SchLocTable!$A$2:$B$47,2,FALSE)</f>
        <v>Tisdale</v>
      </c>
      <c r="B1477" s="207" t="str">
        <f>VLOOKUP(VALUE(D1477),$D$3:F$106,3,FALSE)</f>
        <v>Mathematics</v>
      </c>
      <c r="C1477" s="751" t="s">
        <v>246</v>
      </c>
      <c r="D1477" s="751" t="s">
        <v>552</v>
      </c>
      <c r="E1477" s="751" t="s">
        <v>563</v>
      </c>
      <c r="F1477" s="751" t="s">
        <v>292</v>
      </c>
      <c r="G1477" s="752" t="s">
        <v>1681</v>
      </c>
      <c r="H1477" s="753">
        <v>52385</v>
      </c>
      <c r="I1477" s="754">
        <v>98.19</v>
      </c>
      <c r="J1477" s="754">
        <v>0</v>
      </c>
      <c r="K1477" s="754">
        <v>0</v>
      </c>
      <c r="L1477" s="754">
        <v>98.19</v>
      </c>
      <c r="M1477" s="754">
        <f t="shared" si="71"/>
        <v>98.19</v>
      </c>
      <c r="N1477" s="756">
        <v>98.19</v>
      </c>
      <c r="O1477" s="720">
        <f t="shared" si="72"/>
        <v>0</v>
      </c>
    </row>
    <row r="1478" spans="1:15" outlineLevel="2" x14ac:dyDescent="0.25">
      <c r="A1478" s="207" t="str">
        <f>VLOOKUP(RIGHT(E1478,3)+0,SchLocTable!$A$2:$B$47,2,FALSE)</f>
        <v>Tisdale</v>
      </c>
      <c r="B1478" s="207" t="str">
        <f>VLOOKUP(VALUE(D1478),$D$3:F$106,3,FALSE)</f>
        <v>Mathematics</v>
      </c>
      <c r="C1478" s="751" t="s">
        <v>246</v>
      </c>
      <c r="D1478" s="751" t="s">
        <v>552</v>
      </c>
      <c r="E1478" s="751" t="s">
        <v>563</v>
      </c>
      <c r="F1478" s="751" t="s">
        <v>259</v>
      </c>
      <c r="G1478" s="752" t="s">
        <v>1681</v>
      </c>
      <c r="H1478" s="753">
        <v>52917</v>
      </c>
      <c r="I1478" s="754">
        <v>39796.5</v>
      </c>
      <c r="J1478" s="754">
        <v>0</v>
      </c>
      <c r="K1478" s="754">
        <v>0</v>
      </c>
      <c r="L1478" s="754">
        <v>9044.18</v>
      </c>
      <c r="M1478" s="754">
        <f t="shared" si="71"/>
        <v>9044.18</v>
      </c>
      <c r="N1478" s="756">
        <v>39796.5</v>
      </c>
      <c r="O1478" s="720">
        <f t="shared" si="72"/>
        <v>0</v>
      </c>
    </row>
    <row r="1479" spans="1:15" outlineLevel="2" x14ac:dyDescent="0.25">
      <c r="A1479" s="207" t="str">
        <f>VLOOKUP(RIGHT(E1479,3)+0,SchLocTable!$A$2:$B$47,2,FALSE)</f>
        <v>Read</v>
      </c>
      <c r="B1479" s="207" t="str">
        <f>VLOOKUP(VALUE(D1479),$D$3:F$106,3,FALSE)</f>
        <v>Mathematics</v>
      </c>
      <c r="C1479" s="751" t="s">
        <v>246</v>
      </c>
      <c r="D1479" s="751" t="s">
        <v>552</v>
      </c>
      <c r="E1479" s="751" t="s">
        <v>564</v>
      </c>
      <c r="F1479" s="751" t="s">
        <v>248</v>
      </c>
      <c r="G1479" s="752">
        <v>2</v>
      </c>
      <c r="H1479" s="753">
        <v>51000</v>
      </c>
      <c r="I1479" s="754">
        <v>196806.01</v>
      </c>
      <c r="J1479" s="754">
        <v>0</v>
      </c>
      <c r="K1479" s="754">
        <v>0</v>
      </c>
      <c r="L1479" s="754">
        <v>37702.300000000003</v>
      </c>
      <c r="M1479" s="754">
        <f t="shared" si="71"/>
        <v>37702.300000000003</v>
      </c>
      <c r="N1479" s="756">
        <v>196806.01</v>
      </c>
      <c r="O1479" s="720">
        <f t="shared" si="72"/>
        <v>0</v>
      </c>
    </row>
    <row r="1480" spans="1:15" outlineLevel="2" x14ac:dyDescent="0.25">
      <c r="A1480" s="207" t="str">
        <f>VLOOKUP(RIGHT(E1480,3)+0,SchLocTable!$A$2:$B$47,2,FALSE)</f>
        <v>Read</v>
      </c>
      <c r="B1480" s="207" t="str">
        <f>VLOOKUP(VALUE(D1480),$D$3:F$106,3,FALSE)</f>
        <v>Mathematics</v>
      </c>
      <c r="C1480" s="751" t="s">
        <v>246</v>
      </c>
      <c r="D1480" s="751" t="s">
        <v>552</v>
      </c>
      <c r="E1480" s="751" t="s">
        <v>564</v>
      </c>
      <c r="F1480" s="751" t="s">
        <v>257</v>
      </c>
      <c r="G1480" s="752" t="s">
        <v>1681</v>
      </c>
      <c r="H1480" s="753">
        <v>51140</v>
      </c>
      <c r="I1480" s="754">
        <v>1100</v>
      </c>
      <c r="J1480" s="754">
        <v>0</v>
      </c>
      <c r="K1480" s="754">
        <v>0</v>
      </c>
      <c r="L1480" s="754">
        <v>0</v>
      </c>
      <c r="M1480" s="754">
        <f t="shared" si="71"/>
        <v>0</v>
      </c>
      <c r="N1480" s="756">
        <v>1100</v>
      </c>
      <c r="O1480" s="720">
        <f t="shared" si="72"/>
        <v>0</v>
      </c>
    </row>
    <row r="1481" spans="1:15" outlineLevel="2" x14ac:dyDescent="0.25">
      <c r="A1481" s="207" t="str">
        <f>VLOOKUP(RIGHT(E1481,3)+0,SchLocTable!$A$2:$B$47,2,FALSE)</f>
        <v>Read</v>
      </c>
      <c r="B1481" s="207" t="str">
        <f>VLOOKUP(VALUE(D1481),$D$3:F$106,3,FALSE)</f>
        <v>Mathematics</v>
      </c>
      <c r="C1481" s="755" t="s">
        <v>246</v>
      </c>
      <c r="D1481" s="751" t="s">
        <v>552</v>
      </c>
      <c r="E1481" s="751" t="s">
        <v>564</v>
      </c>
      <c r="F1481" s="751" t="s">
        <v>254</v>
      </c>
      <c r="G1481" s="752" t="s">
        <v>1681</v>
      </c>
      <c r="H1481" s="753">
        <v>52360</v>
      </c>
      <c r="I1481" s="754">
        <v>2786.11</v>
      </c>
      <c r="J1481" s="754">
        <v>0</v>
      </c>
      <c r="K1481" s="754">
        <v>0</v>
      </c>
      <c r="L1481" s="754">
        <v>479.11</v>
      </c>
      <c r="M1481" s="754">
        <f t="shared" si="71"/>
        <v>479.11</v>
      </c>
      <c r="N1481" s="756">
        <v>2786.11</v>
      </c>
      <c r="O1481" s="720">
        <f t="shared" si="72"/>
        <v>0</v>
      </c>
    </row>
    <row r="1482" spans="1:15" outlineLevel="2" x14ac:dyDescent="0.25">
      <c r="A1482" s="207" t="str">
        <f>VLOOKUP(RIGHT(E1482,3)+0,SchLocTable!$A$2:$B$47,2,FALSE)</f>
        <v>Read</v>
      </c>
      <c r="B1482" s="207" t="str">
        <f>VLOOKUP(VALUE(D1482),$D$3:F$106,3,FALSE)</f>
        <v>Mathematics</v>
      </c>
      <c r="C1482" s="755" t="s">
        <v>246</v>
      </c>
      <c r="D1482" s="751" t="s">
        <v>552</v>
      </c>
      <c r="E1482" s="751" t="s">
        <v>564</v>
      </c>
      <c r="F1482" s="751" t="s">
        <v>259</v>
      </c>
      <c r="G1482" s="752" t="s">
        <v>1681</v>
      </c>
      <c r="H1482" s="753">
        <v>52917</v>
      </c>
      <c r="I1482" s="754">
        <v>63553.98</v>
      </c>
      <c r="J1482" s="754">
        <v>0</v>
      </c>
      <c r="K1482" s="754">
        <v>0</v>
      </c>
      <c r="L1482" s="754">
        <v>15131.9</v>
      </c>
      <c r="M1482" s="754">
        <f t="shared" si="71"/>
        <v>15131.9</v>
      </c>
      <c r="N1482" s="756">
        <v>63553.98</v>
      </c>
      <c r="O1482" s="720">
        <f t="shared" si="72"/>
        <v>0</v>
      </c>
    </row>
    <row r="1483" spans="1:15" outlineLevel="2" x14ac:dyDescent="0.25">
      <c r="A1483" s="207" t="str">
        <f>VLOOKUP(RIGHT(E1483,3)+0,SchLocTable!$A$2:$B$47,2,FALSE)</f>
        <v>Waltersville</v>
      </c>
      <c r="B1483" s="207" t="str">
        <f>VLOOKUP(VALUE(D1483),$D$3:F$106,3,FALSE)</f>
        <v>Mathematics</v>
      </c>
      <c r="C1483" s="751" t="s">
        <v>246</v>
      </c>
      <c r="D1483" s="751" t="s">
        <v>552</v>
      </c>
      <c r="E1483" s="751" t="s">
        <v>565</v>
      </c>
      <c r="F1483" s="751" t="s">
        <v>248</v>
      </c>
      <c r="G1483" s="752">
        <v>1</v>
      </c>
      <c r="H1483" s="753">
        <v>51000</v>
      </c>
      <c r="I1483" s="754">
        <v>103153.2</v>
      </c>
      <c r="J1483" s="754">
        <v>0</v>
      </c>
      <c r="K1483" s="754">
        <v>0</v>
      </c>
      <c r="L1483" s="754">
        <v>19761.150000000001</v>
      </c>
      <c r="M1483" s="754">
        <f t="shared" si="71"/>
        <v>19761.150000000001</v>
      </c>
      <c r="N1483" s="756">
        <v>103153.2</v>
      </c>
      <c r="O1483" s="720">
        <f t="shared" si="72"/>
        <v>0</v>
      </c>
    </row>
    <row r="1484" spans="1:15" outlineLevel="2" x14ac:dyDescent="0.25">
      <c r="A1484" s="207" t="str">
        <f>VLOOKUP(RIGHT(E1484,3)+0,SchLocTable!$A$2:$B$47,2,FALSE)</f>
        <v>Waltersville</v>
      </c>
      <c r="B1484" s="207" t="str">
        <f>VLOOKUP(VALUE(D1484),$D$3:F$106,3,FALSE)</f>
        <v>Mathematics</v>
      </c>
      <c r="C1484" s="751" t="s">
        <v>246</v>
      </c>
      <c r="D1484" s="751" t="s">
        <v>552</v>
      </c>
      <c r="E1484" s="751" t="s">
        <v>565</v>
      </c>
      <c r="F1484" s="751" t="s">
        <v>257</v>
      </c>
      <c r="G1484" s="752" t="s">
        <v>1681</v>
      </c>
      <c r="H1484" s="753">
        <v>51140</v>
      </c>
      <c r="I1484" s="754">
        <v>1100</v>
      </c>
      <c r="J1484" s="754">
        <v>0</v>
      </c>
      <c r="K1484" s="754">
        <v>0</v>
      </c>
      <c r="L1484" s="754">
        <v>0</v>
      </c>
      <c r="M1484" s="754">
        <f t="shared" si="71"/>
        <v>0</v>
      </c>
      <c r="N1484" s="756">
        <v>1100</v>
      </c>
      <c r="O1484" s="720">
        <f t="shared" si="72"/>
        <v>0</v>
      </c>
    </row>
    <row r="1485" spans="1:15" outlineLevel="2" x14ac:dyDescent="0.25">
      <c r="A1485" s="207" t="str">
        <f>VLOOKUP(RIGHT(E1485,3)+0,SchLocTable!$A$2:$B$47,2,FALSE)</f>
        <v>Waltersville</v>
      </c>
      <c r="B1485" s="207" t="str">
        <f>VLOOKUP(VALUE(D1485),$D$3:F$106,3,FALSE)</f>
        <v>Mathematics</v>
      </c>
      <c r="C1485" s="751" t="s">
        <v>246</v>
      </c>
      <c r="D1485" s="751" t="s">
        <v>552</v>
      </c>
      <c r="E1485" s="751" t="s">
        <v>565</v>
      </c>
      <c r="F1485" s="751" t="s">
        <v>254</v>
      </c>
      <c r="G1485" s="752" t="s">
        <v>1681</v>
      </c>
      <c r="H1485" s="753">
        <v>52360</v>
      </c>
      <c r="I1485" s="754">
        <v>1483.68</v>
      </c>
      <c r="J1485" s="754">
        <v>0</v>
      </c>
      <c r="K1485" s="754">
        <v>0</v>
      </c>
      <c r="L1485" s="754">
        <v>274.5</v>
      </c>
      <c r="M1485" s="754">
        <f t="shared" si="71"/>
        <v>274.5</v>
      </c>
      <c r="N1485" s="756">
        <v>1483.68</v>
      </c>
      <c r="O1485" s="720">
        <f t="shared" si="72"/>
        <v>0</v>
      </c>
    </row>
    <row r="1486" spans="1:15" outlineLevel="2" x14ac:dyDescent="0.25">
      <c r="A1486" s="207" t="str">
        <f>VLOOKUP(RIGHT(E1486,3)+0,SchLocTable!$A$2:$B$47,2,FALSE)</f>
        <v>Waltersville</v>
      </c>
      <c r="B1486" s="207" t="str">
        <f>VLOOKUP(VALUE(D1486),$D$3:F$106,3,FALSE)</f>
        <v>Mathematics</v>
      </c>
      <c r="C1486" s="755" t="s">
        <v>246</v>
      </c>
      <c r="D1486" s="751" t="s">
        <v>552</v>
      </c>
      <c r="E1486" s="751" t="s">
        <v>565</v>
      </c>
      <c r="F1486" s="751" t="s">
        <v>259</v>
      </c>
      <c r="G1486" s="752" t="s">
        <v>1681</v>
      </c>
      <c r="H1486" s="753">
        <v>52917</v>
      </c>
      <c r="I1486" s="754">
        <v>11844</v>
      </c>
      <c r="J1486" s="754">
        <v>0</v>
      </c>
      <c r="K1486" s="754">
        <v>0</v>
      </c>
      <c r="L1486" s="754">
        <v>2820</v>
      </c>
      <c r="M1486" s="754">
        <f t="shared" si="71"/>
        <v>2820</v>
      </c>
      <c r="N1486" s="756">
        <v>11844</v>
      </c>
      <c r="O1486" s="720">
        <f t="shared" si="72"/>
        <v>0</v>
      </c>
    </row>
    <row r="1487" spans="1:15" outlineLevel="2" x14ac:dyDescent="0.25">
      <c r="A1487" s="207" t="str">
        <f>VLOOKUP(RIGHT(E1487,3)+0,SchLocTable!$A$2:$B$47,2,FALSE)</f>
        <v>Claytor</v>
      </c>
      <c r="B1487" s="207" t="str">
        <f>VLOOKUP(VALUE(D1487),$D$3:F$106,3,FALSE)</f>
        <v>Mathematics</v>
      </c>
      <c r="C1487" s="755" t="s">
        <v>246</v>
      </c>
      <c r="D1487" s="751" t="s">
        <v>552</v>
      </c>
      <c r="E1487" s="751" t="s">
        <v>566</v>
      </c>
      <c r="F1487" s="751" t="s">
        <v>248</v>
      </c>
      <c r="G1487" s="752">
        <v>1</v>
      </c>
      <c r="H1487" s="753">
        <v>51000</v>
      </c>
      <c r="I1487" s="754">
        <v>54507.76</v>
      </c>
      <c r="J1487" s="754">
        <v>0</v>
      </c>
      <c r="K1487" s="754">
        <v>0</v>
      </c>
      <c r="L1487" s="754">
        <v>10442.1</v>
      </c>
      <c r="M1487" s="754">
        <f t="shared" si="71"/>
        <v>10442.1</v>
      </c>
      <c r="N1487" s="756">
        <v>54507.76</v>
      </c>
      <c r="O1487" s="720">
        <f t="shared" si="72"/>
        <v>0</v>
      </c>
    </row>
    <row r="1488" spans="1:15" outlineLevel="2" x14ac:dyDescent="0.25">
      <c r="A1488" s="207" t="str">
        <f>VLOOKUP(RIGHT(E1488,3)+0,SchLocTable!$A$2:$B$47,2,FALSE)</f>
        <v>Claytor</v>
      </c>
      <c r="B1488" s="207" t="str">
        <f>VLOOKUP(VALUE(D1488),$D$3:F$106,3,FALSE)</f>
        <v>Mathematics</v>
      </c>
      <c r="C1488" s="751" t="s">
        <v>246</v>
      </c>
      <c r="D1488" s="751" t="s">
        <v>552</v>
      </c>
      <c r="E1488" s="751" t="s">
        <v>566</v>
      </c>
      <c r="F1488" s="751" t="s">
        <v>254</v>
      </c>
      <c r="G1488" s="752" t="s">
        <v>1681</v>
      </c>
      <c r="H1488" s="753">
        <v>52360</v>
      </c>
      <c r="I1488" s="754">
        <v>778.38</v>
      </c>
      <c r="J1488" s="754">
        <v>0</v>
      </c>
      <c r="K1488" s="754">
        <v>0</v>
      </c>
      <c r="L1488" s="754">
        <v>139.43</v>
      </c>
      <c r="M1488" s="754">
        <f t="shared" si="71"/>
        <v>139.43</v>
      </c>
      <c r="N1488" s="756">
        <v>778.38</v>
      </c>
      <c r="O1488" s="720">
        <f t="shared" si="72"/>
        <v>0</v>
      </c>
    </row>
    <row r="1489" spans="1:15" outlineLevel="2" x14ac:dyDescent="0.25">
      <c r="A1489" s="207" t="str">
        <f>VLOOKUP(RIGHT(E1489,3)+0,SchLocTable!$A$2:$B$47,2,FALSE)</f>
        <v>Claytor</v>
      </c>
      <c r="B1489" s="207" t="str">
        <f>VLOOKUP(VALUE(D1489),$D$3:F$106,3,FALSE)</f>
        <v>Mathematics</v>
      </c>
      <c r="C1489" s="751" t="s">
        <v>246</v>
      </c>
      <c r="D1489" s="751" t="s">
        <v>552</v>
      </c>
      <c r="E1489" s="751" t="s">
        <v>566</v>
      </c>
      <c r="F1489" s="751" t="s">
        <v>259</v>
      </c>
      <c r="G1489" s="752" t="s">
        <v>1681</v>
      </c>
      <c r="H1489" s="753">
        <v>52917</v>
      </c>
      <c r="I1489" s="754">
        <v>11747.4</v>
      </c>
      <c r="J1489" s="754">
        <v>0</v>
      </c>
      <c r="K1489" s="754">
        <v>0</v>
      </c>
      <c r="L1489" s="754">
        <v>2797</v>
      </c>
      <c r="M1489" s="754">
        <f t="shared" si="71"/>
        <v>2797</v>
      </c>
      <c r="N1489" s="756">
        <v>11747.4</v>
      </c>
      <c r="O1489" s="720">
        <f t="shared" si="72"/>
        <v>0</v>
      </c>
    </row>
    <row r="1490" spans="1:15" outlineLevel="2" x14ac:dyDescent="0.25">
      <c r="A1490" s="207" t="str">
        <f>VLOOKUP(RIGHT(E1490,3)+0,SchLocTable!$A$2:$B$47,2,FALSE)</f>
        <v>Johnson</v>
      </c>
      <c r="B1490" s="207" t="str">
        <f>VLOOKUP(VALUE(D1490),$D$3:F$106,3,FALSE)</f>
        <v>Mathematics</v>
      </c>
      <c r="C1490" s="751" t="s">
        <v>246</v>
      </c>
      <c r="D1490" s="751" t="s">
        <v>552</v>
      </c>
      <c r="E1490" s="751" t="s">
        <v>567</v>
      </c>
      <c r="F1490" s="751" t="s">
        <v>248</v>
      </c>
      <c r="G1490" s="752">
        <v>2</v>
      </c>
      <c r="H1490" s="753">
        <v>51000</v>
      </c>
      <c r="I1490" s="754">
        <v>196806.01</v>
      </c>
      <c r="J1490" s="754">
        <v>0</v>
      </c>
      <c r="K1490" s="754">
        <v>0</v>
      </c>
      <c r="L1490" s="754">
        <v>37702.300000000003</v>
      </c>
      <c r="M1490" s="754">
        <f t="shared" si="71"/>
        <v>37702.300000000003</v>
      </c>
      <c r="N1490" s="756">
        <v>196806.01</v>
      </c>
      <c r="O1490" s="720">
        <f t="shared" si="72"/>
        <v>0</v>
      </c>
    </row>
    <row r="1491" spans="1:15" outlineLevel="2" x14ac:dyDescent="0.25">
      <c r="A1491" s="207" t="str">
        <f>VLOOKUP(RIGHT(E1491,3)+0,SchLocTable!$A$2:$B$47,2,FALSE)</f>
        <v>Johnson</v>
      </c>
      <c r="B1491" s="207" t="str">
        <f>VLOOKUP(VALUE(D1491),$D$3:F$106,3,FALSE)</f>
        <v>Mathematics</v>
      </c>
      <c r="C1491" s="751" t="s">
        <v>246</v>
      </c>
      <c r="D1491" s="751" t="s">
        <v>552</v>
      </c>
      <c r="E1491" s="751" t="s">
        <v>567</v>
      </c>
      <c r="F1491" s="751" t="s">
        <v>257</v>
      </c>
      <c r="G1491" s="752" t="s">
        <v>1681</v>
      </c>
      <c r="H1491" s="753">
        <v>51140</v>
      </c>
      <c r="I1491" s="754">
        <v>900</v>
      </c>
      <c r="J1491" s="754">
        <v>0</v>
      </c>
      <c r="K1491" s="754">
        <v>0</v>
      </c>
      <c r="L1491" s="754">
        <v>0</v>
      </c>
      <c r="M1491" s="754">
        <f t="shared" si="71"/>
        <v>0</v>
      </c>
      <c r="N1491" s="756">
        <v>900</v>
      </c>
      <c r="O1491" s="720">
        <f t="shared" si="72"/>
        <v>0</v>
      </c>
    </row>
    <row r="1492" spans="1:15" outlineLevel="2" x14ac:dyDescent="0.25">
      <c r="A1492" s="207" t="str">
        <f>VLOOKUP(RIGHT(E1492,3)+0,SchLocTable!$A$2:$B$47,2,FALSE)</f>
        <v>Johnson</v>
      </c>
      <c r="B1492" s="207" t="str">
        <f>VLOOKUP(VALUE(D1492),$D$3:F$106,3,FALSE)</f>
        <v>Mathematics</v>
      </c>
      <c r="C1492" s="751" t="s">
        <v>246</v>
      </c>
      <c r="D1492" s="751" t="s">
        <v>552</v>
      </c>
      <c r="E1492" s="751" t="s">
        <v>567</v>
      </c>
      <c r="F1492" s="751" t="s">
        <v>254</v>
      </c>
      <c r="G1492" s="752" t="s">
        <v>1681</v>
      </c>
      <c r="H1492" s="753">
        <v>52360</v>
      </c>
      <c r="I1492" s="754">
        <v>2789.02</v>
      </c>
      <c r="J1492" s="754">
        <v>0</v>
      </c>
      <c r="K1492" s="754">
        <v>0</v>
      </c>
      <c r="L1492" s="754">
        <v>482.02</v>
      </c>
      <c r="M1492" s="754">
        <f t="shared" si="71"/>
        <v>482.02</v>
      </c>
      <c r="N1492" s="756">
        <v>2789.02</v>
      </c>
      <c r="O1492" s="720">
        <f t="shared" si="72"/>
        <v>0</v>
      </c>
    </row>
    <row r="1493" spans="1:15" outlineLevel="2" x14ac:dyDescent="0.25">
      <c r="A1493" s="207" t="str">
        <f>VLOOKUP(RIGHT(E1493,3)+0,SchLocTable!$A$2:$B$47,2,FALSE)</f>
        <v>Johnson</v>
      </c>
      <c r="B1493" s="207" t="str">
        <f>VLOOKUP(VALUE(D1493),$D$3:F$106,3,FALSE)</f>
        <v>Mathematics</v>
      </c>
      <c r="C1493" s="751" t="s">
        <v>246</v>
      </c>
      <c r="D1493" s="751" t="s">
        <v>552</v>
      </c>
      <c r="E1493" s="751" t="s">
        <v>567</v>
      </c>
      <c r="F1493" s="751" t="s">
        <v>259</v>
      </c>
      <c r="G1493" s="752" t="s">
        <v>1681</v>
      </c>
      <c r="H1493" s="753">
        <v>52917</v>
      </c>
      <c r="I1493" s="754">
        <v>63553.98</v>
      </c>
      <c r="J1493" s="754">
        <v>0</v>
      </c>
      <c r="K1493" s="754">
        <v>0</v>
      </c>
      <c r="L1493" s="754">
        <v>15131.9</v>
      </c>
      <c r="M1493" s="754">
        <f t="shared" si="71"/>
        <v>15131.9</v>
      </c>
      <c r="N1493" s="756">
        <v>63553.98</v>
      </c>
      <c r="O1493" s="720">
        <f t="shared" si="72"/>
        <v>0</v>
      </c>
    </row>
    <row r="1494" spans="1:15" outlineLevel="2" x14ac:dyDescent="0.25">
      <c r="A1494" s="207" t="str">
        <f>VLOOKUP(RIGHT(E1494,3)+0,SchLocTable!$A$2:$B$47,2,FALSE)</f>
        <v>Winthrop</v>
      </c>
      <c r="B1494" s="207" t="str">
        <f>VLOOKUP(VALUE(D1494),$D$3:F$106,3,FALSE)</f>
        <v>Mathematics</v>
      </c>
      <c r="C1494" s="751" t="s">
        <v>246</v>
      </c>
      <c r="D1494" s="751" t="s">
        <v>552</v>
      </c>
      <c r="E1494" s="751" t="s">
        <v>568</v>
      </c>
      <c r="F1494" s="751" t="s">
        <v>248</v>
      </c>
      <c r="G1494" s="752">
        <v>1</v>
      </c>
      <c r="H1494" s="753">
        <v>51000</v>
      </c>
      <c r="I1494" s="754">
        <v>93652.800000000003</v>
      </c>
      <c r="J1494" s="754">
        <v>0</v>
      </c>
      <c r="K1494" s="754">
        <v>0</v>
      </c>
      <c r="L1494" s="754">
        <v>17941.150000000001</v>
      </c>
      <c r="M1494" s="754">
        <f t="shared" si="71"/>
        <v>17941.150000000001</v>
      </c>
      <c r="N1494" s="756">
        <v>93652.800000000003</v>
      </c>
      <c r="O1494" s="720">
        <f t="shared" si="72"/>
        <v>0</v>
      </c>
    </row>
    <row r="1495" spans="1:15" outlineLevel="2" x14ac:dyDescent="0.25">
      <c r="A1495" s="207" t="str">
        <f>VLOOKUP(RIGHT(E1495,3)+0,SchLocTable!$A$2:$B$47,2,FALSE)</f>
        <v>Winthrop</v>
      </c>
      <c r="B1495" s="207" t="str">
        <f>VLOOKUP(VALUE(D1495),$D$3:F$106,3,FALSE)</f>
        <v>Mathematics</v>
      </c>
      <c r="C1495" s="751" t="s">
        <v>246</v>
      </c>
      <c r="D1495" s="751" t="s">
        <v>552</v>
      </c>
      <c r="E1495" s="751" t="s">
        <v>568</v>
      </c>
      <c r="F1495" s="751" t="s">
        <v>257</v>
      </c>
      <c r="G1495" s="752" t="s">
        <v>1681</v>
      </c>
      <c r="H1495" s="753">
        <v>51140</v>
      </c>
      <c r="I1495" s="754">
        <v>0</v>
      </c>
      <c r="J1495" s="754">
        <v>0</v>
      </c>
      <c r="K1495" s="754">
        <v>0</v>
      </c>
      <c r="L1495" s="754">
        <v>0</v>
      </c>
      <c r="M1495" s="754">
        <f t="shared" si="71"/>
        <v>0</v>
      </c>
      <c r="N1495" s="756">
        <v>0</v>
      </c>
      <c r="O1495" s="720">
        <f t="shared" si="72"/>
        <v>0</v>
      </c>
    </row>
    <row r="1496" spans="1:15" outlineLevel="2" x14ac:dyDescent="0.25">
      <c r="A1496" s="207" t="str">
        <f>VLOOKUP(RIGHT(E1496,3)+0,SchLocTable!$A$2:$B$47,2,FALSE)</f>
        <v>Winthrop</v>
      </c>
      <c r="B1496" s="207" t="str">
        <f>VLOOKUP(VALUE(D1496),$D$3:F$106,3,FALSE)</f>
        <v>Mathematics</v>
      </c>
      <c r="C1496" s="751" t="s">
        <v>246</v>
      </c>
      <c r="D1496" s="751" t="s">
        <v>552</v>
      </c>
      <c r="E1496" s="751" t="s">
        <v>568</v>
      </c>
      <c r="F1496" s="751" t="s">
        <v>254</v>
      </c>
      <c r="G1496" s="752" t="s">
        <v>1681</v>
      </c>
      <c r="H1496" s="753">
        <v>52360</v>
      </c>
      <c r="I1496" s="754">
        <v>1357.69</v>
      </c>
      <c r="J1496" s="754">
        <v>0</v>
      </c>
      <c r="K1496" s="754">
        <v>0</v>
      </c>
      <c r="L1496" s="754">
        <v>259.87</v>
      </c>
      <c r="M1496" s="754">
        <f t="shared" si="71"/>
        <v>259.87</v>
      </c>
      <c r="N1496" s="756">
        <v>1357.69</v>
      </c>
      <c r="O1496" s="720">
        <f t="shared" si="72"/>
        <v>0</v>
      </c>
    </row>
    <row r="1497" spans="1:15" outlineLevel="2" x14ac:dyDescent="0.25">
      <c r="A1497" s="207" t="str">
        <f>VLOOKUP(RIGHT(E1497,3)+0,SchLocTable!$A$2:$B$47,2,FALSE)</f>
        <v>Winthrop</v>
      </c>
      <c r="B1497" s="207" t="str">
        <f>VLOOKUP(VALUE(D1497),$D$3:F$106,3,FALSE)</f>
        <v>Mathematics</v>
      </c>
      <c r="C1497" s="751" t="s">
        <v>246</v>
      </c>
      <c r="D1497" s="751" t="s">
        <v>552</v>
      </c>
      <c r="E1497" s="751" t="s">
        <v>568</v>
      </c>
      <c r="F1497" s="751" t="s">
        <v>259</v>
      </c>
      <c r="G1497" s="752" t="s">
        <v>1681</v>
      </c>
      <c r="H1497" s="753">
        <v>52917</v>
      </c>
      <c r="I1497" s="754">
        <v>439.32</v>
      </c>
      <c r="J1497" s="754">
        <v>0</v>
      </c>
      <c r="K1497" s="754">
        <v>0</v>
      </c>
      <c r="L1497" s="754">
        <v>104.6</v>
      </c>
      <c r="M1497" s="754">
        <f t="shared" si="71"/>
        <v>104.6</v>
      </c>
      <c r="N1497" s="756">
        <v>439.32</v>
      </c>
      <c r="O1497" s="720">
        <f t="shared" si="72"/>
        <v>0</v>
      </c>
    </row>
    <row r="1498" spans="1:15" outlineLevel="2" x14ac:dyDescent="0.25">
      <c r="A1498" s="207" t="str">
        <f>VLOOKUP(RIGHT(E1498,3)+0,SchLocTable!$A$2:$B$47,2,FALSE)</f>
        <v>Discovery</v>
      </c>
      <c r="B1498" s="207" t="str">
        <f>VLOOKUP(VALUE(D1498),$D$3:F$106,3,FALSE)</f>
        <v>Mathematics</v>
      </c>
      <c r="C1498" s="751" t="s">
        <v>246</v>
      </c>
      <c r="D1498" s="751" t="s">
        <v>552</v>
      </c>
      <c r="E1498" s="751" t="s">
        <v>569</v>
      </c>
      <c r="F1498" s="751" t="s">
        <v>248</v>
      </c>
      <c r="G1498" s="752">
        <v>2</v>
      </c>
      <c r="H1498" s="753">
        <v>51000</v>
      </c>
      <c r="I1498" s="754">
        <v>161989.60999999999</v>
      </c>
      <c r="J1498" s="754">
        <v>0</v>
      </c>
      <c r="K1498" s="754">
        <v>0</v>
      </c>
      <c r="L1498" s="754">
        <v>29137.47</v>
      </c>
      <c r="M1498" s="754">
        <f t="shared" si="71"/>
        <v>29137.47</v>
      </c>
      <c r="N1498" s="756">
        <v>161989.60999999999</v>
      </c>
      <c r="O1498" s="720">
        <f t="shared" si="72"/>
        <v>0</v>
      </c>
    </row>
    <row r="1499" spans="1:15" outlineLevel="2" x14ac:dyDescent="0.25">
      <c r="A1499" s="207" t="str">
        <f>VLOOKUP(RIGHT(E1499,3)+0,SchLocTable!$A$2:$B$47,2,FALSE)</f>
        <v>Discovery</v>
      </c>
      <c r="B1499" s="207" t="str">
        <f>VLOOKUP(VALUE(D1499),$D$3:F$106,3,FALSE)</f>
        <v>Mathematics</v>
      </c>
      <c r="C1499" s="751" t="s">
        <v>246</v>
      </c>
      <c r="D1499" s="751" t="s">
        <v>552</v>
      </c>
      <c r="E1499" s="751" t="s">
        <v>569</v>
      </c>
      <c r="F1499" s="751" t="s">
        <v>257</v>
      </c>
      <c r="G1499" s="752" t="s">
        <v>1681</v>
      </c>
      <c r="H1499" s="753">
        <v>51140</v>
      </c>
      <c r="I1499" s="754">
        <v>1100</v>
      </c>
      <c r="J1499" s="754">
        <v>0</v>
      </c>
      <c r="K1499" s="754">
        <v>0</v>
      </c>
      <c r="L1499" s="754">
        <v>0</v>
      </c>
      <c r="M1499" s="754">
        <f t="shared" si="71"/>
        <v>0</v>
      </c>
      <c r="N1499" s="756">
        <v>1100</v>
      </c>
      <c r="O1499" s="720">
        <f t="shared" si="72"/>
        <v>0</v>
      </c>
    </row>
    <row r="1500" spans="1:15" outlineLevel="2" x14ac:dyDescent="0.25">
      <c r="A1500" s="207" t="str">
        <f>VLOOKUP(RIGHT(E1500,3)+0,SchLocTable!$A$2:$B$47,2,FALSE)</f>
        <v>Discovery</v>
      </c>
      <c r="B1500" s="207" t="str">
        <f>VLOOKUP(VALUE(D1500),$D$3:F$106,3,FALSE)</f>
        <v>Mathematics</v>
      </c>
      <c r="C1500" s="751" t="s">
        <v>246</v>
      </c>
      <c r="D1500" s="751" t="s">
        <v>552</v>
      </c>
      <c r="E1500" s="751" t="s">
        <v>569</v>
      </c>
      <c r="F1500" s="751" t="s">
        <v>254</v>
      </c>
      <c r="G1500" s="752" t="s">
        <v>1681</v>
      </c>
      <c r="H1500" s="753">
        <v>52360</v>
      </c>
      <c r="I1500" s="754">
        <v>2310.1999999999998</v>
      </c>
      <c r="J1500" s="754">
        <v>0</v>
      </c>
      <c r="K1500" s="754">
        <v>0</v>
      </c>
      <c r="L1500" s="754">
        <v>383.84</v>
      </c>
      <c r="M1500" s="754">
        <f t="shared" si="71"/>
        <v>383.84</v>
      </c>
      <c r="N1500" s="756">
        <v>2310.1999999999998</v>
      </c>
      <c r="O1500" s="720">
        <f t="shared" si="72"/>
        <v>0</v>
      </c>
    </row>
    <row r="1501" spans="1:15" outlineLevel="2" x14ac:dyDescent="0.25">
      <c r="A1501" s="207" t="str">
        <f>VLOOKUP(RIGHT(E1501,3)+0,SchLocTable!$A$2:$B$47,2,FALSE)</f>
        <v>Discovery</v>
      </c>
      <c r="B1501" s="207" t="str">
        <f>VLOOKUP(VALUE(D1501),$D$3:F$106,3,FALSE)</f>
        <v>Mathematics</v>
      </c>
      <c r="C1501" s="755" t="s">
        <v>246</v>
      </c>
      <c r="D1501" s="751" t="s">
        <v>552</v>
      </c>
      <c r="E1501" s="751" t="s">
        <v>569</v>
      </c>
      <c r="F1501" s="751" t="s">
        <v>259</v>
      </c>
      <c r="G1501" s="752" t="s">
        <v>1681</v>
      </c>
      <c r="H1501" s="753">
        <v>52917</v>
      </c>
      <c r="I1501" s="754">
        <v>39758.1</v>
      </c>
      <c r="J1501" s="754">
        <v>0</v>
      </c>
      <c r="K1501" s="754">
        <v>0</v>
      </c>
      <c r="L1501" s="754">
        <v>9036.5</v>
      </c>
      <c r="M1501" s="754">
        <f t="shared" si="71"/>
        <v>9036.5</v>
      </c>
      <c r="N1501" s="756">
        <v>39758.1</v>
      </c>
      <c r="O1501" s="720">
        <f t="shared" si="72"/>
        <v>0</v>
      </c>
    </row>
    <row r="1502" spans="1:15" outlineLevel="2" x14ac:dyDescent="0.25">
      <c r="A1502" s="207" t="str">
        <f>VLOOKUP(RIGHT(E1502,3)+0,SchLocTable!$A$2:$B$47,2,FALSE)</f>
        <v>Cross</v>
      </c>
      <c r="B1502" s="207" t="str">
        <f>VLOOKUP(VALUE(D1502),$D$3:F$106,3,FALSE)</f>
        <v>Mathematics</v>
      </c>
      <c r="C1502" s="751" t="s">
        <v>246</v>
      </c>
      <c r="D1502" s="751" t="s">
        <v>552</v>
      </c>
      <c r="E1502" s="751" t="s">
        <v>570</v>
      </c>
      <c r="F1502" s="751" t="s">
        <v>248</v>
      </c>
      <c r="G1502" s="752">
        <v>1</v>
      </c>
      <c r="H1502" s="753">
        <v>51000</v>
      </c>
      <c r="I1502" s="754">
        <v>49225</v>
      </c>
      <c r="J1502" s="754">
        <v>0</v>
      </c>
      <c r="K1502" s="754">
        <v>0</v>
      </c>
      <c r="L1502" s="754">
        <v>8500</v>
      </c>
      <c r="M1502" s="754">
        <f t="shared" si="71"/>
        <v>8500</v>
      </c>
      <c r="N1502" s="756">
        <v>49225</v>
      </c>
      <c r="O1502" s="720">
        <f t="shared" si="72"/>
        <v>0</v>
      </c>
    </row>
    <row r="1503" spans="1:15" outlineLevel="2" x14ac:dyDescent="0.25">
      <c r="A1503" s="207" t="str">
        <f>VLOOKUP(RIGHT(E1503,3)+0,SchLocTable!$A$2:$B$47,2,FALSE)</f>
        <v>Cross</v>
      </c>
      <c r="B1503" s="207" t="str">
        <f>VLOOKUP(VALUE(D1503),$D$3:F$106,3,FALSE)</f>
        <v>Mathematics</v>
      </c>
      <c r="C1503" s="751" t="s">
        <v>246</v>
      </c>
      <c r="D1503" s="751" t="s">
        <v>552</v>
      </c>
      <c r="E1503" s="751" t="s">
        <v>570</v>
      </c>
      <c r="F1503" s="751" t="s">
        <v>254</v>
      </c>
      <c r="G1503" s="752" t="s">
        <v>1681</v>
      </c>
      <c r="H1503" s="753">
        <v>52360</v>
      </c>
      <c r="I1503" s="754">
        <v>710.07</v>
      </c>
      <c r="J1503" s="754">
        <v>0</v>
      </c>
      <c r="K1503" s="754">
        <v>0</v>
      </c>
      <c r="L1503" s="754">
        <v>119.56</v>
      </c>
      <c r="M1503" s="754">
        <f t="shared" si="71"/>
        <v>119.56</v>
      </c>
      <c r="N1503" s="756">
        <v>710.07</v>
      </c>
      <c r="O1503" s="720">
        <f t="shared" si="72"/>
        <v>0</v>
      </c>
    </row>
    <row r="1504" spans="1:15" outlineLevel="2" x14ac:dyDescent="0.25">
      <c r="A1504" s="207" t="str">
        <f>VLOOKUP(RIGHT(E1504,3)+0,SchLocTable!$A$2:$B$47,2,FALSE)</f>
        <v>Cross</v>
      </c>
      <c r="B1504" s="207" t="str">
        <f>VLOOKUP(VALUE(D1504),$D$3:F$106,3,FALSE)</f>
        <v>Mathematics</v>
      </c>
      <c r="C1504" s="751" t="s">
        <v>246</v>
      </c>
      <c r="D1504" s="751" t="s">
        <v>552</v>
      </c>
      <c r="E1504" s="751" t="s">
        <v>570</v>
      </c>
      <c r="F1504" s="751" t="s">
        <v>292</v>
      </c>
      <c r="G1504" s="752" t="s">
        <v>1681</v>
      </c>
      <c r="H1504" s="753">
        <v>52385</v>
      </c>
      <c r="I1504" s="754">
        <v>3032.21</v>
      </c>
      <c r="J1504" s="754">
        <v>0</v>
      </c>
      <c r="K1504" s="754">
        <v>0</v>
      </c>
      <c r="L1504" s="754">
        <v>511.24</v>
      </c>
      <c r="M1504" s="754">
        <f t="shared" si="71"/>
        <v>511.24</v>
      </c>
      <c r="N1504" s="756">
        <v>3032.21</v>
      </c>
      <c r="O1504" s="720">
        <f t="shared" si="72"/>
        <v>0</v>
      </c>
    </row>
    <row r="1505" spans="1:15" outlineLevel="2" x14ac:dyDescent="0.25">
      <c r="A1505" s="207" t="str">
        <f>VLOOKUP(RIGHT(E1505,3)+0,SchLocTable!$A$2:$B$47,2,FALSE)</f>
        <v>Cross</v>
      </c>
      <c r="B1505" s="207" t="str">
        <f>VLOOKUP(VALUE(D1505),$D$3:F$106,3,FALSE)</f>
        <v>Mathematics</v>
      </c>
      <c r="C1505" s="751" t="s">
        <v>246</v>
      </c>
      <c r="D1505" s="751" t="s">
        <v>552</v>
      </c>
      <c r="E1505" s="751" t="s">
        <v>570</v>
      </c>
      <c r="F1505" s="751" t="s">
        <v>259</v>
      </c>
      <c r="G1505" s="752" t="s">
        <v>1681</v>
      </c>
      <c r="H1505" s="753">
        <v>52917</v>
      </c>
      <c r="I1505" s="754">
        <v>446.2</v>
      </c>
      <c r="J1505" s="754">
        <v>0</v>
      </c>
      <c r="K1505" s="754">
        <v>0</v>
      </c>
      <c r="L1505" s="754">
        <v>80.760000000000005</v>
      </c>
      <c r="M1505" s="754">
        <f t="shared" si="71"/>
        <v>80.760000000000005</v>
      </c>
      <c r="N1505" s="756">
        <v>446.2</v>
      </c>
      <c r="O1505" s="720">
        <f t="shared" si="72"/>
        <v>0</v>
      </c>
    </row>
    <row r="1506" spans="1:15" outlineLevel="2" x14ac:dyDescent="0.25">
      <c r="A1506" s="207" t="str">
        <f>VLOOKUP(RIGHT(E1506,3)+0,SchLocTable!$A$2:$B$47,2,FALSE)</f>
        <v>Blackham</v>
      </c>
      <c r="B1506" s="207" t="str">
        <f>VLOOKUP(VALUE(D1506),$D$3:F$106,3,FALSE)</f>
        <v>Mathematics</v>
      </c>
      <c r="C1506" s="751" t="s">
        <v>246</v>
      </c>
      <c r="D1506" s="751" t="s">
        <v>552</v>
      </c>
      <c r="E1506" s="751" t="s">
        <v>571</v>
      </c>
      <c r="F1506" s="751" t="s">
        <v>248</v>
      </c>
      <c r="G1506" s="752">
        <v>3</v>
      </c>
      <c r="H1506" s="753">
        <v>51000</v>
      </c>
      <c r="I1506" s="754">
        <v>244634.26</v>
      </c>
      <c r="J1506" s="754">
        <v>0</v>
      </c>
      <c r="K1506" s="754">
        <v>0</v>
      </c>
      <c r="L1506" s="754">
        <v>46864.800000000003</v>
      </c>
      <c r="M1506" s="754">
        <f t="shared" si="71"/>
        <v>46864.800000000003</v>
      </c>
      <c r="N1506" s="756">
        <v>244634.26</v>
      </c>
      <c r="O1506" s="720">
        <f t="shared" si="72"/>
        <v>0</v>
      </c>
    </row>
    <row r="1507" spans="1:15" outlineLevel="2" x14ac:dyDescent="0.25">
      <c r="A1507" s="207" t="str">
        <f>VLOOKUP(RIGHT(E1507,3)+0,SchLocTable!$A$2:$B$47,2,FALSE)</f>
        <v>Blackham</v>
      </c>
      <c r="B1507" s="207" t="str">
        <f>VLOOKUP(VALUE(D1507),$D$3:F$106,3,FALSE)</f>
        <v>Mathematics</v>
      </c>
      <c r="C1507" s="751" t="s">
        <v>246</v>
      </c>
      <c r="D1507" s="751" t="s">
        <v>552</v>
      </c>
      <c r="E1507" s="751" t="s">
        <v>571</v>
      </c>
      <c r="F1507" s="751" t="s">
        <v>257</v>
      </c>
      <c r="G1507" s="752" t="s">
        <v>1681</v>
      </c>
      <c r="H1507" s="753">
        <v>51140</v>
      </c>
      <c r="I1507" s="754">
        <v>2200</v>
      </c>
      <c r="J1507" s="754">
        <v>0</v>
      </c>
      <c r="K1507" s="754">
        <v>0</v>
      </c>
      <c r="L1507" s="754">
        <v>0</v>
      </c>
      <c r="M1507" s="754">
        <f t="shared" si="71"/>
        <v>0</v>
      </c>
      <c r="N1507" s="756">
        <v>2200</v>
      </c>
      <c r="O1507" s="720">
        <f t="shared" si="72"/>
        <v>0</v>
      </c>
    </row>
    <row r="1508" spans="1:15" outlineLevel="2" x14ac:dyDescent="0.25">
      <c r="A1508" s="207" t="str">
        <f>VLOOKUP(RIGHT(E1508,3)+0,SchLocTable!$A$2:$B$47,2,FALSE)</f>
        <v>Blackham</v>
      </c>
      <c r="B1508" s="207" t="str">
        <f>VLOOKUP(VALUE(D1508),$D$3:F$106,3,FALSE)</f>
        <v>Mathematics</v>
      </c>
      <c r="C1508" s="751" t="s">
        <v>246</v>
      </c>
      <c r="D1508" s="751" t="s">
        <v>552</v>
      </c>
      <c r="E1508" s="751" t="s">
        <v>571</v>
      </c>
      <c r="F1508" s="751" t="s">
        <v>254</v>
      </c>
      <c r="G1508" s="752" t="s">
        <v>1681</v>
      </c>
      <c r="H1508" s="753">
        <v>52360</v>
      </c>
      <c r="I1508" s="754">
        <v>3300.06</v>
      </c>
      <c r="J1508" s="754">
        <v>0</v>
      </c>
      <c r="K1508" s="754">
        <v>0</v>
      </c>
      <c r="L1508" s="754">
        <v>432.4</v>
      </c>
      <c r="M1508" s="754">
        <f t="shared" si="71"/>
        <v>432.4</v>
      </c>
      <c r="N1508" s="756">
        <v>3300.06</v>
      </c>
      <c r="O1508" s="720">
        <f t="shared" si="72"/>
        <v>0</v>
      </c>
    </row>
    <row r="1509" spans="1:15" outlineLevel="2" x14ac:dyDescent="0.25">
      <c r="A1509" s="207" t="str">
        <f>VLOOKUP(RIGHT(E1509,3)+0,SchLocTable!$A$2:$B$47,2,FALSE)</f>
        <v>Blackham</v>
      </c>
      <c r="B1509" s="207" t="str">
        <f>VLOOKUP(VALUE(D1509),$D$3:F$106,3,FALSE)</f>
        <v>Mathematics</v>
      </c>
      <c r="C1509" s="751" t="s">
        <v>246</v>
      </c>
      <c r="D1509" s="751" t="s">
        <v>552</v>
      </c>
      <c r="E1509" s="751" t="s">
        <v>571</v>
      </c>
      <c r="F1509" s="751" t="s">
        <v>259</v>
      </c>
      <c r="G1509" s="752" t="s">
        <v>1681</v>
      </c>
      <c r="H1509" s="753">
        <v>52917</v>
      </c>
      <c r="I1509" s="754">
        <v>58763.88</v>
      </c>
      <c r="J1509" s="754">
        <v>0</v>
      </c>
      <c r="K1509" s="754">
        <v>0</v>
      </c>
      <c r="L1509" s="754">
        <v>13991.4</v>
      </c>
      <c r="M1509" s="754">
        <f t="shared" si="71"/>
        <v>13991.4</v>
      </c>
      <c r="N1509" s="756">
        <v>58763.88</v>
      </c>
      <c r="O1509" s="720">
        <f t="shared" si="72"/>
        <v>0</v>
      </c>
    </row>
    <row r="1510" spans="1:15" outlineLevel="2" x14ac:dyDescent="0.25">
      <c r="A1510" s="207" t="str">
        <f>VLOOKUP(RIGHT(E1510,3)+0,SchLocTable!$A$2:$B$47,2,FALSE)</f>
        <v>Dunbar</v>
      </c>
      <c r="B1510" s="207" t="str">
        <f>VLOOKUP(VALUE(D1510),$D$3:F$106,3,FALSE)</f>
        <v>Mathematics</v>
      </c>
      <c r="C1510" s="751" t="s">
        <v>246</v>
      </c>
      <c r="D1510" s="751" t="s">
        <v>552</v>
      </c>
      <c r="E1510" s="751" t="s">
        <v>572</v>
      </c>
      <c r="F1510" s="751" t="s">
        <v>248</v>
      </c>
      <c r="G1510" s="752">
        <v>1</v>
      </c>
      <c r="H1510" s="753">
        <v>51000</v>
      </c>
      <c r="I1510" s="754">
        <v>93652.800000000003</v>
      </c>
      <c r="J1510" s="754">
        <v>0</v>
      </c>
      <c r="K1510" s="754">
        <v>0</v>
      </c>
      <c r="L1510" s="754">
        <v>17941.150000000001</v>
      </c>
      <c r="M1510" s="754">
        <f t="shared" si="71"/>
        <v>17941.150000000001</v>
      </c>
      <c r="N1510" s="756">
        <v>93652.800000000003</v>
      </c>
      <c r="O1510" s="720">
        <f t="shared" si="72"/>
        <v>0</v>
      </c>
    </row>
    <row r="1511" spans="1:15" outlineLevel="2" x14ac:dyDescent="0.25">
      <c r="A1511" s="207" t="str">
        <f>VLOOKUP(RIGHT(E1511,3)+0,SchLocTable!$A$2:$B$47,2,FALSE)</f>
        <v>Dunbar</v>
      </c>
      <c r="B1511" s="207" t="str">
        <f>VLOOKUP(VALUE(D1511),$D$3:F$106,3,FALSE)</f>
        <v>Mathematics</v>
      </c>
      <c r="C1511" s="751" t="s">
        <v>246</v>
      </c>
      <c r="D1511" s="751" t="s">
        <v>552</v>
      </c>
      <c r="E1511" s="751" t="s">
        <v>572</v>
      </c>
      <c r="F1511" s="751" t="s">
        <v>257</v>
      </c>
      <c r="G1511" s="752" t="s">
        <v>1681</v>
      </c>
      <c r="H1511" s="753">
        <v>51140</v>
      </c>
      <c r="I1511" s="754">
        <v>1200</v>
      </c>
      <c r="J1511" s="754">
        <v>0</v>
      </c>
      <c r="K1511" s="754">
        <v>0</v>
      </c>
      <c r="L1511" s="754">
        <v>0</v>
      </c>
      <c r="M1511" s="754">
        <f t="shared" si="71"/>
        <v>0</v>
      </c>
      <c r="N1511" s="756">
        <v>1200</v>
      </c>
      <c r="O1511" s="720">
        <f t="shared" si="72"/>
        <v>0</v>
      </c>
    </row>
    <row r="1512" spans="1:15" outlineLevel="2" x14ac:dyDescent="0.25">
      <c r="A1512" s="207" t="str">
        <f>VLOOKUP(RIGHT(E1512,3)+0,SchLocTable!$A$2:$B$47,2,FALSE)</f>
        <v>Dunbar</v>
      </c>
      <c r="B1512" s="207" t="str">
        <f>VLOOKUP(VALUE(D1512),$D$3:F$106,3,FALSE)</f>
        <v>Mathematics</v>
      </c>
      <c r="C1512" s="751" t="s">
        <v>246</v>
      </c>
      <c r="D1512" s="751" t="s">
        <v>552</v>
      </c>
      <c r="E1512" s="751" t="s">
        <v>572</v>
      </c>
      <c r="F1512" s="751" t="s">
        <v>254</v>
      </c>
      <c r="G1512" s="752" t="s">
        <v>1681</v>
      </c>
      <c r="H1512" s="753">
        <v>52360</v>
      </c>
      <c r="I1512" s="754">
        <v>1345.65</v>
      </c>
      <c r="J1512" s="754">
        <v>0</v>
      </c>
      <c r="K1512" s="754">
        <v>0</v>
      </c>
      <c r="L1512" s="754">
        <v>247.83</v>
      </c>
      <c r="M1512" s="754">
        <f t="shared" si="71"/>
        <v>247.83</v>
      </c>
      <c r="N1512" s="756">
        <v>1345.65</v>
      </c>
      <c r="O1512" s="720">
        <f t="shared" si="72"/>
        <v>0</v>
      </c>
    </row>
    <row r="1513" spans="1:15" outlineLevel="2" x14ac:dyDescent="0.25">
      <c r="A1513" s="207" t="str">
        <f>VLOOKUP(RIGHT(E1513,3)+0,SchLocTable!$A$2:$B$47,2,FALSE)</f>
        <v>Dunbar</v>
      </c>
      <c r="B1513" s="207" t="str">
        <f>VLOOKUP(VALUE(D1513),$D$3:F$106,3,FALSE)</f>
        <v>Mathematics</v>
      </c>
      <c r="C1513" s="751" t="s">
        <v>246</v>
      </c>
      <c r="D1513" s="751" t="s">
        <v>552</v>
      </c>
      <c r="E1513" s="751" t="s">
        <v>572</v>
      </c>
      <c r="F1513" s="751" t="s">
        <v>259</v>
      </c>
      <c r="G1513" s="752" t="s">
        <v>1681</v>
      </c>
      <c r="H1513" s="753">
        <v>52917</v>
      </c>
      <c r="I1513" s="754">
        <v>12283.32</v>
      </c>
      <c r="J1513" s="754">
        <v>0</v>
      </c>
      <c r="K1513" s="754">
        <v>0</v>
      </c>
      <c r="L1513" s="754">
        <v>2924.6</v>
      </c>
      <c r="M1513" s="754">
        <f t="shared" si="71"/>
        <v>2924.6</v>
      </c>
      <c r="N1513" s="756">
        <v>12283.32</v>
      </c>
      <c r="O1513" s="720">
        <f t="shared" si="72"/>
        <v>0</v>
      </c>
    </row>
    <row r="1514" spans="1:15" outlineLevel="2" x14ac:dyDescent="0.25">
      <c r="A1514" s="207" t="str">
        <f>VLOOKUP(RIGHT(E1514,3)+0,SchLocTable!$A$2:$B$47,2,FALSE)</f>
        <v>Curiale</v>
      </c>
      <c r="B1514" s="207" t="str">
        <f>VLOOKUP(VALUE(D1514),$D$3:F$106,3,FALSE)</f>
        <v>Mathematics</v>
      </c>
      <c r="C1514" s="751" t="s">
        <v>246</v>
      </c>
      <c r="D1514" s="751" t="s">
        <v>552</v>
      </c>
      <c r="E1514" s="751" t="s">
        <v>573</v>
      </c>
      <c r="F1514" s="751" t="s">
        <v>248</v>
      </c>
      <c r="G1514" s="752">
        <v>1</v>
      </c>
      <c r="H1514" s="753">
        <v>51000</v>
      </c>
      <c r="I1514" s="754">
        <v>58228.46</v>
      </c>
      <c r="J1514" s="754">
        <v>0</v>
      </c>
      <c r="K1514" s="754">
        <v>0</v>
      </c>
      <c r="L1514" s="754">
        <v>11793.42</v>
      </c>
      <c r="M1514" s="754">
        <f t="shared" si="71"/>
        <v>11793.42</v>
      </c>
      <c r="N1514" s="756">
        <v>58228.46</v>
      </c>
      <c r="O1514" s="720">
        <f t="shared" si="72"/>
        <v>0</v>
      </c>
    </row>
    <row r="1515" spans="1:15" outlineLevel="2" x14ac:dyDescent="0.25">
      <c r="A1515" s="207" t="str">
        <f>VLOOKUP(RIGHT(E1515,3)+0,SchLocTable!$A$2:$B$47,2,FALSE)</f>
        <v>Curiale</v>
      </c>
      <c r="B1515" s="207" t="str">
        <f>VLOOKUP(VALUE(D1515),$D$3:F$106,3,FALSE)</f>
        <v>Mathematics</v>
      </c>
      <c r="C1515" s="751" t="s">
        <v>246</v>
      </c>
      <c r="D1515" s="751" t="s">
        <v>552</v>
      </c>
      <c r="E1515" s="751" t="s">
        <v>573</v>
      </c>
      <c r="F1515" s="751" t="s">
        <v>254</v>
      </c>
      <c r="G1515" s="752" t="s">
        <v>1681</v>
      </c>
      <c r="H1515" s="753">
        <v>52360</v>
      </c>
      <c r="I1515" s="754">
        <v>844.32</v>
      </c>
      <c r="J1515" s="754">
        <v>0</v>
      </c>
      <c r="K1515" s="754">
        <v>0</v>
      </c>
      <c r="L1515" s="754">
        <v>171.01</v>
      </c>
      <c r="M1515" s="754">
        <f t="shared" si="71"/>
        <v>171.01</v>
      </c>
      <c r="N1515" s="756">
        <v>844.32</v>
      </c>
      <c r="O1515" s="720">
        <f t="shared" si="72"/>
        <v>0</v>
      </c>
    </row>
    <row r="1516" spans="1:15" outlineLevel="2" x14ac:dyDescent="0.25">
      <c r="A1516" s="207" t="str">
        <f>VLOOKUP(RIGHT(E1516,3)+0,SchLocTable!$A$2:$B$47,2,FALSE)</f>
        <v>High Horizons Magnet</v>
      </c>
      <c r="B1516" s="207" t="str">
        <f>VLOOKUP(VALUE(D1516),$D$3:F$106,3,FALSE)</f>
        <v>Mathematics</v>
      </c>
      <c r="C1516" s="751" t="s">
        <v>246</v>
      </c>
      <c r="D1516" s="751" t="s">
        <v>552</v>
      </c>
      <c r="E1516" s="751" t="s">
        <v>574</v>
      </c>
      <c r="F1516" s="751" t="s">
        <v>248</v>
      </c>
      <c r="G1516" s="752">
        <v>1</v>
      </c>
      <c r="H1516" s="753">
        <v>51000</v>
      </c>
      <c r="I1516" s="754">
        <v>67253.7</v>
      </c>
      <c r="J1516" s="754">
        <v>0</v>
      </c>
      <c r="K1516" s="754">
        <v>0</v>
      </c>
      <c r="L1516" s="754">
        <v>12883.85</v>
      </c>
      <c r="M1516" s="754">
        <f t="shared" si="71"/>
        <v>12883.85</v>
      </c>
      <c r="N1516" s="756">
        <v>67253.7</v>
      </c>
      <c r="O1516" s="720">
        <f t="shared" si="72"/>
        <v>0</v>
      </c>
    </row>
    <row r="1517" spans="1:15" outlineLevel="2" x14ac:dyDescent="0.25">
      <c r="A1517" s="207" t="str">
        <f>VLOOKUP(RIGHT(E1517,3)+0,SchLocTable!$A$2:$B$47,2,FALSE)</f>
        <v>High Horizons Magnet</v>
      </c>
      <c r="B1517" s="207" t="str">
        <f>VLOOKUP(VALUE(D1517),$D$3:F$106,3,FALSE)</f>
        <v>Mathematics</v>
      </c>
      <c r="C1517" s="751" t="s">
        <v>246</v>
      </c>
      <c r="D1517" s="751" t="s">
        <v>552</v>
      </c>
      <c r="E1517" s="751" t="s">
        <v>574</v>
      </c>
      <c r="F1517" s="751" t="s">
        <v>254</v>
      </c>
      <c r="G1517" s="752" t="s">
        <v>1681</v>
      </c>
      <c r="H1517" s="753">
        <v>52360</v>
      </c>
      <c r="I1517" s="754">
        <v>939.71</v>
      </c>
      <c r="J1517" s="754">
        <v>0</v>
      </c>
      <c r="K1517" s="754">
        <v>0</v>
      </c>
      <c r="L1517" s="754">
        <v>151.35</v>
      </c>
      <c r="M1517" s="754">
        <f t="shared" si="71"/>
        <v>151.35</v>
      </c>
      <c r="N1517" s="756">
        <v>939.71</v>
      </c>
      <c r="O1517" s="720">
        <f t="shared" si="72"/>
        <v>0</v>
      </c>
    </row>
    <row r="1518" spans="1:15" outlineLevel="2" x14ac:dyDescent="0.25">
      <c r="A1518" s="207" t="str">
        <f>VLOOKUP(RIGHT(E1518,3)+0,SchLocTable!$A$2:$B$47,2,FALSE)</f>
        <v>High Horizons Magnet</v>
      </c>
      <c r="B1518" s="207" t="str">
        <f>VLOOKUP(VALUE(D1518),$D$3:F$106,3,FALSE)</f>
        <v>Mathematics</v>
      </c>
      <c r="C1518" s="751" t="s">
        <v>246</v>
      </c>
      <c r="D1518" s="751" t="s">
        <v>552</v>
      </c>
      <c r="E1518" s="751" t="s">
        <v>574</v>
      </c>
      <c r="F1518" s="751" t="s">
        <v>259</v>
      </c>
      <c r="G1518" s="752" t="s">
        <v>1681</v>
      </c>
      <c r="H1518" s="753">
        <v>52917</v>
      </c>
      <c r="I1518" s="754">
        <v>34787.339999999997</v>
      </c>
      <c r="J1518" s="754">
        <v>0</v>
      </c>
      <c r="K1518" s="754">
        <v>0</v>
      </c>
      <c r="L1518" s="754">
        <v>8282.7000000000007</v>
      </c>
      <c r="M1518" s="754">
        <f t="shared" si="71"/>
        <v>8282.7000000000007</v>
      </c>
      <c r="N1518" s="756">
        <v>34787.339999999997</v>
      </c>
      <c r="O1518" s="720">
        <f t="shared" si="72"/>
        <v>0</v>
      </c>
    </row>
    <row r="1519" spans="1:15" outlineLevel="2" x14ac:dyDescent="0.25">
      <c r="A1519" s="207" t="str">
        <f>VLOOKUP(RIGHT(E1519,3)+0,SchLocTable!$A$2:$B$47,2,FALSE)</f>
        <v>Multicultural Magnet</v>
      </c>
      <c r="B1519" s="207" t="str">
        <f>VLOOKUP(VALUE(D1519),$D$3:F$106,3,FALSE)</f>
        <v>Mathematics</v>
      </c>
      <c r="C1519" s="751" t="s">
        <v>246</v>
      </c>
      <c r="D1519" s="751" t="s">
        <v>552</v>
      </c>
      <c r="E1519" s="751" t="s">
        <v>575</v>
      </c>
      <c r="F1519" s="751" t="s">
        <v>248</v>
      </c>
      <c r="G1519" s="752">
        <v>1</v>
      </c>
      <c r="H1519" s="753">
        <v>51000</v>
      </c>
      <c r="I1519" s="754">
        <v>103153.2</v>
      </c>
      <c r="J1519" s="754">
        <v>0</v>
      </c>
      <c r="K1519" s="754">
        <v>0</v>
      </c>
      <c r="L1519" s="754">
        <v>19761.150000000001</v>
      </c>
      <c r="M1519" s="754">
        <f t="shared" si="71"/>
        <v>19761.150000000001</v>
      </c>
      <c r="N1519" s="756">
        <v>103153.2</v>
      </c>
      <c r="O1519" s="720">
        <f t="shared" si="72"/>
        <v>0</v>
      </c>
    </row>
    <row r="1520" spans="1:15" outlineLevel="2" x14ac:dyDescent="0.25">
      <c r="A1520" s="207" t="str">
        <f>VLOOKUP(RIGHT(E1520,3)+0,SchLocTable!$A$2:$B$47,2,FALSE)</f>
        <v>Multicultural Magnet</v>
      </c>
      <c r="B1520" s="207" t="str">
        <f>VLOOKUP(VALUE(D1520),$D$3:F$106,3,FALSE)</f>
        <v>Mathematics</v>
      </c>
      <c r="C1520" s="751" t="s">
        <v>246</v>
      </c>
      <c r="D1520" s="751" t="s">
        <v>552</v>
      </c>
      <c r="E1520" s="751" t="s">
        <v>575</v>
      </c>
      <c r="F1520" s="751" t="s">
        <v>257</v>
      </c>
      <c r="G1520" s="752" t="s">
        <v>1681</v>
      </c>
      <c r="H1520" s="753">
        <v>51140</v>
      </c>
      <c r="I1520" s="754">
        <v>900</v>
      </c>
      <c r="J1520" s="754">
        <v>0</v>
      </c>
      <c r="K1520" s="754">
        <v>0</v>
      </c>
      <c r="L1520" s="754">
        <v>0</v>
      </c>
      <c r="M1520" s="754">
        <f t="shared" si="71"/>
        <v>0</v>
      </c>
      <c r="N1520" s="756">
        <v>900</v>
      </c>
      <c r="O1520" s="720">
        <f t="shared" si="72"/>
        <v>0</v>
      </c>
    </row>
    <row r="1521" spans="1:15" outlineLevel="2" x14ac:dyDescent="0.25">
      <c r="A1521" s="207" t="str">
        <f>VLOOKUP(RIGHT(E1521,3)+0,SchLocTable!$A$2:$B$47,2,FALSE)</f>
        <v>Multicultural Magnet</v>
      </c>
      <c r="B1521" s="207" t="str">
        <f>VLOOKUP(VALUE(D1521),$D$3:F$106,3,FALSE)</f>
        <v>Mathematics</v>
      </c>
      <c r="C1521" s="751" t="s">
        <v>246</v>
      </c>
      <c r="D1521" s="751" t="s">
        <v>552</v>
      </c>
      <c r="E1521" s="751" t="s">
        <v>575</v>
      </c>
      <c r="F1521" s="751" t="s">
        <v>254</v>
      </c>
      <c r="G1521" s="752" t="s">
        <v>1681</v>
      </c>
      <c r="H1521" s="753">
        <v>52360</v>
      </c>
      <c r="I1521" s="754">
        <v>1483.68</v>
      </c>
      <c r="J1521" s="754">
        <v>0</v>
      </c>
      <c r="K1521" s="754">
        <v>0</v>
      </c>
      <c r="L1521" s="754">
        <v>274.5</v>
      </c>
      <c r="M1521" s="754">
        <f t="shared" si="71"/>
        <v>274.5</v>
      </c>
      <c r="N1521" s="756">
        <v>1483.68</v>
      </c>
      <c r="O1521" s="720">
        <f t="shared" si="72"/>
        <v>0</v>
      </c>
    </row>
    <row r="1522" spans="1:15" outlineLevel="2" x14ac:dyDescent="0.25">
      <c r="A1522" s="207" t="str">
        <f>VLOOKUP(RIGHT(E1522,3)+0,SchLocTable!$A$2:$B$47,2,FALSE)</f>
        <v>Multicultural Magnet</v>
      </c>
      <c r="B1522" s="207" t="str">
        <f>VLOOKUP(VALUE(D1522),$D$3:F$106,3,FALSE)</f>
        <v>Mathematics</v>
      </c>
      <c r="C1522" s="755" t="s">
        <v>246</v>
      </c>
      <c r="D1522" s="751" t="s">
        <v>552</v>
      </c>
      <c r="E1522" s="751" t="s">
        <v>575</v>
      </c>
      <c r="F1522" s="751" t="s">
        <v>259</v>
      </c>
      <c r="G1522" s="752" t="s">
        <v>1681</v>
      </c>
      <c r="H1522" s="753">
        <v>52917</v>
      </c>
      <c r="I1522" s="754">
        <v>11844</v>
      </c>
      <c r="J1522" s="754">
        <v>0</v>
      </c>
      <c r="K1522" s="754">
        <v>0</v>
      </c>
      <c r="L1522" s="754">
        <v>2820</v>
      </c>
      <c r="M1522" s="754">
        <f t="shared" si="71"/>
        <v>2820</v>
      </c>
      <c r="N1522" s="756">
        <v>11844</v>
      </c>
      <c r="O1522" s="720">
        <f t="shared" si="72"/>
        <v>0</v>
      </c>
    </row>
    <row r="1523" spans="1:15" outlineLevel="2" x14ac:dyDescent="0.25">
      <c r="A1523" s="207" t="str">
        <f>VLOOKUP(RIGHT(E1523,3)+0,SchLocTable!$A$2:$B$47,2,FALSE)</f>
        <v>Bassick HS</v>
      </c>
      <c r="B1523" s="207" t="str">
        <f>VLOOKUP(VALUE(D1523),$D$3:F$106,3,FALSE)</f>
        <v>Mathematics</v>
      </c>
      <c r="C1523" s="755" t="s">
        <v>246</v>
      </c>
      <c r="D1523" s="751" t="s">
        <v>552</v>
      </c>
      <c r="E1523" s="751" t="s">
        <v>576</v>
      </c>
      <c r="F1523" s="751" t="s">
        <v>248</v>
      </c>
      <c r="G1523" s="752">
        <v>7</v>
      </c>
      <c r="H1523" s="753">
        <v>51000</v>
      </c>
      <c r="I1523" s="754">
        <v>440919.48</v>
      </c>
      <c r="J1523" s="754">
        <v>0</v>
      </c>
      <c r="K1523" s="754">
        <v>0</v>
      </c>
      <c r="L1523" s="754">
        <v>94410.15</v>
      </c>
      <c r="M1523" s="754">
        <f t="shared" si="71"/>
        <v>94410.15</v>
      </c>
      <c r="N1523" s="756">
        <v>440919.48</v>
      </c>
      <c r="O1523" s="720">
        <f t="shared" si="72"/>
        <v>0</v>
      </c>
    </row>
    <row r="1524" spans="1:15" outlineLevel="2" x14ac:dyDescent="0.25">
      <c r="A1524" s="207" t="str">
        <f>VLOOKUP(RIGHT(E1524,3)+0,SchLocTable!$A$2:$B$47,2,FALSE)</f>
        <v>Bassick HS</v>
      </c>
      <c r="B1524" s="207" t="str">
        <f>VLOOKUP(VALUE(D1524),$D$3:F$106,3,FALSE)</f>
        <v>Mathematics</v>
      </c>
      <c r="C1524" s="751" t="s">
        <v>246</v>
      </c>
      <c r="D1524" s="751" t="s">
        <v>552</v>
      </c>
      <c r="E1524" s="751" t="s">
        <v>576</v>
      </c>
      <c r="F1524" s="751" t="s">
        <v>257</v>
      </c>
      <c r="G1524" s="752" t="s">
        <v>1681</v>
      </c>
      <c r="H1524" s="753">
        <v>51140</v>
      </c>
      <c r="I1524" s="754">
        <v>0</v>
      </c>
      <c r="J1524" s="754">
        <v>0</v>
      </c>
      <c r="K1524" s="754">
        <v>0</v>
      </c>
      <c r="L1524" s="754">
        <v>0</v>
      </c>
      <c r="M1524" s="754">
        <f t="shared" si="71"/>
        <v>0</v>
      </c>
      <c r="N1524" s="756">
        <v>0</v>
      </c>
      <c r="O1524" s="720">
        <f t="shared" si="72"/>
        <v>0</v>
      </c>
    </row>
    <row r="1525" spans="1:15" outlineLevel="2" x14ac:dyDescent="0.25">
      <c r="A1525" s="207" t="str">
        <f>VLOOKUP(RIGHT(E1525,3)+0,SchLocTable!$A$2:$B$47,2,FALSE)</f>
        <v>Bassick HS</v>
      </c>
      <c r="B1525" s="207" t="str">
        <f>VLOOKUP(VALUE(D1525),$D$3:F$106,3,FALSE)</f>
        <v>Mathematics</v>
      </c>
      <c r="C1525" s="751" t="s">
        <v>246</v>
      </c>
      <c r="D1525" s="751" t="s">
        <v>552</v>
      </c>
      <c r="E1525" s="751" t="s">
        <v>576</v>
      </c>
      <c r="F1525" s="751" t="s">
        <v>254</v>
      </c>
      <c r="G1525" s="752" t="s">
        <v>1681</v>
      </c>
      <c r="H1525" s="753">
        <v>52360</v>
      </c>
      <c r="I1525" s="754">
        <v>6327.78</v>
      </c>
      <c r="J1525" s="754">
        <v>0</v>
      </c>
      <c r="K1525" s="754">
        <v>0</v>
      </c>
      <c r="L1525" s="754">
        <v>1303.3900000000001</v>
      </c>
      <c r="M1525" s="754">
        <f t="shared" si="71"/>
        <v>1303.3900000000001</v>
      </c>
      <c r="N1525" s="756">
        <v>6327.78</v>
      </c>
      <c r="O1525" s="720">
        <f t="shared" si="72"/>
        <v>0</v>
      </c>
    </row>
    <row r="1526" spans="1:15" outlineLevel="2" x14ac:dyDescent="0.25">
      <c r="A1526" s="207" t="str">
        <f>VLOOKUP(RIGHT(E1526,3)+0,SchLocTable!$A$2:$B$47,2,FALSE)</f>
        <v>Bassick HS</v>
      </c>
      <c r="B1526" s="207" t="str">
        <f>VLOOKUP(VALUE(D1526),$D$3:F$106,3,FALSE)</f>
        <v>Mathematics</v>
      </c>
      <c r="C1526" s="751" t="s">
        <v>246</v>
      </c>
      <c r="D1526" s="751" t="s">
        <v>552</v>
      </c>
      <c r="E1526" s="751" t="s">
        <v>576</v>
      </c>
      <c r="F1526" s="751" t="s">
        <v>292</v>
      </c>
      <c r="G1526" s="752" t="s">
        <v>1681</v>
      </c>
      <c r="H1526" s="753">
        <v>52385</v>
      </c>
      <c r="I1526" s="754">
        <v>5120.8500000000004</v>
      </c>
      <c r="J1526" s="754">
        <v>0</v>
      </c>
      <c r="K1526" s="754">
        <v>0</v>
      </c>
      <c r="L1526" s="754">
        <v>958.57</v>
      </c>
      <c r="M1526" s="754">
        <f t="shared" si="71"/>
        <v>958.57</v>
      </c>
      <c r="N1526" s="756">
        <v>5120.8500000000004</v>
      </c>
      <c r="O1526" s="720">
        <f t="shared" si="72"/>
        <v>0</v>
      </c>
    </row>
    <row r="1527" spans="1:15" outlineLevel="2" x14ac:dyDescent="0.25">
      <c r="A1527" s="207" t="str">
        <f>VLOOKUP(RIGHT(E1527,3)+0,SchLocTable!$A$2:$B$47,2,FALSE)</f>
        <v>Bassick HS</v>
      </c>
      <c r="B1527" s="207" t="str">
        <f>VLOOKUP(VALUE(D1527),$D$3:F$106,3,FALSE)</f>
        <v>Mathematics</v>
      </c>
      <c r="C1527" s="755" t="s">
        <v>246</v>
      </c>
      <c r="D1527" s="751" t="s">
        <v>552</v>
      </c>
      <c r="E1527" s="751" t="s">
        <v>576</v>
      </c>
      <c r="F1527" s="751" t="s">
        <v>259</v>
      </c>
      <c r="G1527" s="752" t="s">
        <v>1681</v>
      </c>
      <c r="H1527" s="753">
        <v>52917</v>
      </c>
      <c r="I1527" s="754">
        <v>64533.9</v>
      </c>
      <c r="J1527" s="754">
        <v>0</v>
      </c>
      <c r="K1527" s="754">
        <v>0</v>
      </c>
      <c r="L1527" s="754">
        <v>14653.5</v>
      </c>
      <c r="M1527" s="754">
        <f t="shared" si="71"/>
        <v>14653.5</v>
      </c>
      <c r="N1527" s="756">
        <v>64533.9</v>
      </c>
      <c r="O1527" s="720">
        <f t="shared" si="72"/>
        <v>0</v>
      </c>
    </row>
    <row r="1528" spans="1:15" outlineLevel="2" x14ac:dyDescent="0.25">
      <c r="A1528" s="207" t="str">
        <f>VLOOKUP(RIGHT(E1528,3)+0,SchLocTable!$A$2:$B$47,2,FALSE)</f>
        <v>Central HS</v>
      </c>
      <c r="B1528" s="207" t="str">
        <f>VLOOKUP(VALUE(D1528),$D$3:F$106,3,FALSE)</f>
        <v>Mathematics</v>
      </c>
      <c r="C1528" s="751" t="s">
        <v>246</v>
      </c>
      <c r="D1528" s="751" t="s">
        <v>552</v>
      </c>
      <c r="E1528" s="751" t="s">
        <v>577</v>
      </c>
      <c r="F1528" s="751" t="s">
        <v>248</v>
      </c>
      <c r="G1528" s="752">
        <v>13.7</v>
      </c>
      <c r="H1528" s="753">
        <v>51000</v>
      </c>
      <c r="I1528" s="754">
        <v>1184530.8400000001</v>
      </c>
      <c r="J1528" s="754">
        <v>0</v>
      </c>
      <c r="K1528" s="754">
        <v>0</v>
      </c>
      <c r="L1528" s="754">
        <v>234695.05</v>
      </c>
      <c r="M1528" s="754">
        <f t="shared" si="71"/>
        <v>234695.05</v>
      </c>
      <c r="N1528" s="756">
        <v>1184530.8400000001</v>
      </c>
      <c r="O1528" s="720">
        <f t="shared" si="72"/>
        <v>0</v>
      </c>
    </row>
    <row r="1529" spans="1:15" outlineLevel="2" x14ac:dyDescent="0.25">
      <c r="A1529" s="207" t="str">
        <f>VLOOKUP(RIGHT(E1529,3)+0,SchLocTable!$A$2:$B$47,2,FALSE)</f>
        <v>Central HS</v>
      </c>
      <c r="B1529" s="207" t="str">
        <f>VLOOKUP(VALUE(D1529),$D$3:F$106,3,FALSE)</f>
        <v>Mathematics</v>
      </c>
      <c r="C1529" s="751" t="s">
        <v>246</v>
      </c>
      <c r="D1529" s="751" t="s">
        <v>552</v>
      </c>
      <c r="E1529" s="751" t="s">
        <v>577</v>
      </c>
      <c r="F1529" s="751" t="s">
        <v>257</v>
      </c>
      <c r="G1529" s="752" t="s">
        <v>1681</v>
      </c>
      <c r="H1529" s="753">
        <v>51140</v>
      </c>
      <c r="I1529" s="754">
        <v>5300</v>
      </c>
      <c r="J1529" s="754">
        <v>0</v>
      </c>
      <c r="K1529" s="754">
        <v>0</v>
      </c>
      <c r="L1529" s="754">
        <v>0</v>
      </c>
      <c r="M1529" s="754">
        <f t="shared" si="71"/>
        <v>0</v>
      </c>
      <c r="N1529" s="756">
        <v>5300</v>
      </c>
      <c r="O1529" s="720">
        <f t="shared" si="72"/>
        <v>0</v>
      </c>
    </row>
    <row r="1530" spans="1:15" outlineLevel="2" x14ac:dyDescent="0.25">
      <c r="A1530" s="207" t="str">
        <f>VLOOKUP(RIGHT(E1530,3)+0,SchLocTable!$A$2:$B$47,2,FALSE)</f>
        <v>Central HS</v>
      </c>
      <c r="B1530" s="207" t="str">
        <f>VLOOKUP(VALUE(D1530),$D$3:F$106,3,FALSE)</f>
        <v>Mathematics</v>
      </c>
      <c r="C1530" s="751" t="s">
        <v>246</v>
      </c>
      <c r="D1530" s="751" t="s">
        <v>552</v>
      </c>
      <c r="E1530" s="751" t="s">
        <v>577</v>
      </c>
      <c r="F1530" s="751" t="s">
        <v>254</v>
      </c>
      <c r="G1530" s="752" t="s">
        <v>1681</v>
      </c>
      <c r="H1530" s="753">
        <v>52360</v>
      </c>
      <c r="I1530" s="754">
        <v>16529.759999999998</v>
      </c>
      <c r="J1530" s="754">
        <v>0</v>
      </c>
      <c r="K1530" s="754">
        <v>0</v>
      </c>
      <c r="L1530" s="754">
        <v>2757.14</v>
      </c>
      <c r="M1530" s="754">
        <f t="shared" si="71"/>
        <v>2757.14</v>
      </c>
      <c r="N1530" s="756">
        <v>16529.759999999998</v>
      </c>
      <c r="O1530" s="720">
        <f t="shared" si="72"/>
        <v>0</v>
      </c>
    </row>
    <row r="1531" spans="1:15" outlineLevel="2" x14ac:dyDescent="0.25">
      <c r="A1531" s="207" t="str">
        <f>VLOOKUP(RIGHT(E1531,3)+0,SchLocTable!$A$2:$B$47,2,FALSE)</f>
        <v>Central HS</v>
      </c>
      <c r="B1531" s="207" t="str">
        <f>VLOOKUP(VALUE(D1531),$D$3:F$106,3,FALSE)</f>
        <v>Mathematics</v>
      </c>
      <c r="C1531" s="751" t="s">
        <v>246</v>
      </c>
      <c r="D1531" s="751" t="s">
        <v>552</v>
      </c>
      <c r="E1531" s="751" t="s">
        <v>577</v>
      </c>
      <c r="F1531" s="751" t="s">
        <v>292</v>
      </c>
      <c r="G1531" s="752" t="s">
        <v>1681</v>
      </c>
      <c r="H1531" s="753">
        <v>52385</v>
      </c>
      <c r="I1531" s="754">
        <v>108.5</v>
      </c>
      <c r="J1531" s="754">
        <v>0</v>
      </c>
      <c r="K1531" s="754">
        <v>0</v>
      </c>
      <c r="L1531" s="754">
        <v>108.5</v>
      </c>
      <c r="M1531" s="754">
        <f t="shared" si="71"/>
        <v>108.5</v>
      </c>
      <c r="N1531" s="756">
        <v>108.5</v>
      </c>
      <c r="O1531" s="720">
        <f t="shared" si="72"/>
        <v>0</v>
      </c>
    </row>
    <row r="1532" spans="1:15" outlineLevel="2" x14ac:dyDescent="0.25">
      <c r="A1532" s="207" t="str">
        <f>VLOOKUP(RIGHT(E1532,3)+0,SchLocTable!$A$2:$B$47,2,FALSE)</f>
        <v>Central HS</v>
      </c>
      <c r="B1532" s="207" t="str">
        <f>VLOOKUP(VALUE(D1532),$D$3:F$106,3,FALSE)</f>
        <v>Mathematics</v>
      </c>
      <c r="C1532" s="751" t="s">
        <v>246</v>
      </c>
      <c r="D1532" s="751" t="s">
        <v>552</v>
      </c>
      <c r="E1532" s="751" t="s">
        <v>577</v>
      </c>
      <c r="F1532" s="751" t="s">
        <v>259</v>
      </c>
      <c r="G1532" s="752" t="s">
        <v>1681</v>
      </c>
      <c r="H1532" s="753">
        <v>52917</v>
      </c>
      <c r="I1532" s="754">
        <v>359171.82</v>
      </c>
      <c r="J1532" s="754">
        <v>0</v>
      </c>
      <c r="K1532" s="754">
        <v>0</v>
      </c>
      <c r="L1532" s="754">
        <v>85517.1</v>
      </c>
      <c r="M1532" s="754">
        <f t="shared" si="71"/>
        <v>85517.1</v>
      </c>
      <c r="N1532" s="756">
        <v>359171.82</v>
      </c>
      <c r="O1532" s="720">
        <f t="shared" si="72"/>
        <v>0</v>
      </c>
    </row>
    <row r="1533" spans="1:15" outlineLevel="2" x14ac:dyDescent="0.25">
      <c r="A1533" s="207" t="str">
        <f>VLOOKUP(RIGHT(E1533,3)+0,SchLocTable!$A$2:$B$47,2,FALSE)</f>
        <v>Harding HS</v>
      </c>
      <c r="B1533" s="207" t="str">
        <f>VLOOKUP(VALUE(D1533),$D$3:F$106,3,FALSE)</f>
        <v>Mathematics</v>
      </c>
      <c r="C1533" s="751" t="s">
        <v>246</v>
      </c>
      <c r="D1533" s="751" t="s">
        <v>552</v>
      </c>
      <c r="E1533" s="751" t="s">
        <v>578</v>
      </c>
      <c r="F1533" s="751" t="s">
        <v>248</v>
      </c>
      <c r="G1533" s="752">
        <v>7</v>
      </c>
      <c r="H1533" s="753">
        <v>51000</v>
      </c>
      <c r="I1533" s="754">
        <v>535393.41</v>
      </c>
      <c r="J1533" s="754">
        <v>0</v>
      </c>
      <c r="K1533" s="754">
        <v>0</v>
      </c>
      <c r="L1533" s="754">
        <v>122063.29</v>
      </c>
      <c r="M1533" s="754">
        <f t="shared" si="71"/>
        <v>122063.29</v>
      </c>
      <c r="N1533" s="756">
        <v>535393.41</v>
      </c>
      <c r="O1533" s="720">
        <f t="shared" si="72"/>
        <v>0</v>
      </c>
    </row>
    <row r="1534" spans="1:15" outlineLevel="2" x14ac:dyDescent="0.25">
      <c r="A1534" s="207" t="str">
        <f>VLOOKUP(RIGHT(E1534,3)+0,SchLocTable!$A$2:$B$47,2,FALSE)</f>
        <v>Harding HS</v>
      </c>
      <c r="B1534" s="207" t="str">
        <f>VLOOKUP(VALUE(D1534),$D$3:F$106,3,FALSE)</f>
        <v>Mathematics</v>
      </c>
      <c r="C1534" s="751" t="s">
        <v>246</v>
      </c>
      <c r="D1534" s="751" t="s">
        <v>552</v>
      </c>
      <c r="E1534" s="751" t="s">
        <v>578</v>
      </c>
      <c r="F1534" s="751" t="s">
        <v>257</v>
      </c>
      <c r="G1534" s="752" t="s">
        <v>1681</v>
      </c>
      <c r="H1534" s="753">
        <v>51140</v>
      </c>
      <c r="I1534" s="754">
        <v>2000</v>
      </c>
      <c r="J1534" s="754">
        <v>0</v>
      </c>
      <c r="K1534" s="754">
        <v>0</v>
      </c>
      <c r="L1534" s="754">
        <v>0</v>
      </c>
      <c r="M1534" s="754">
        <f t="shared" si="71"/>
        <v>0</v>
      </c>
      <c r="N1534" s="756">
        <v>2000</v>
      </c>
      <c r="O1534" s="720">
        <f t="shared" si="72"/>
        <v>0</v>
      </c>
    </row>
    <row r="1535" spans="1:15" outlineLevel="2" x14ac:dyDescent="0.25">
      <c r="A1535" s="207" t="str">
        <f>VLOOKUP(RIGHT(E1535,3)+0,SchLocTable!$A$2:$B$47,2,FALSE)</f>
        <v>Harding HS</v>
      </c>
      <c r="B1535" s="207" t="str">
        <f>VLOOKUP(VALUE(D1535),$D$3:F$106,3,FALSE)</f>
        <v>Mathematics</v>
      </c>
      <c r="C1535" s="751" t="s">
        <v>246</v>
      </c>
      <c r="D1535" s="751" t="s">
        <v>552</v>
      </c>
      <c r="E1535" s="751" t="s">
        <v>578</v>
      </c>
      <c r="F1535" s="751" t="s">
        <v>254</v>
      </c>
      <c r="G1535" s="752" t="s">
        <v>1681</v>
      </c>
      <c r="H1535" s="753">
        <v>52360</v>
      </c>
      <c r="I1535" s="754">
        <v>7629.44</v>
      </c>
      <c r="J1535" s="754">
        <v>0</v>
      </c>
      <c r="K1535" s="754">
        <v>0</v>
      </c>
      <c r="L1535" s="754">
        <v>1636.15</v>
      </c>
      <c r="M1535" s="754">
        <f t="shared" ref="M1535:M1598" si="73">SUM(J1535:L1535)</f>
        <v>1636.15</v>
      </c>
      <c r="N1535" s="756">
        <v>7629.44</v>
      </c>
      <c r="O1535" s="720">
        <f t="shared" ref="O1535:O1598" si="74">I1535-N1535</f>
        <v>0</v>
      </c>
    </row>
    <row r="1536" spans="1:15" outlineLevel="2" x14ac:dyDescent="0.25">
      <c r="A1536" s="207" t="str">
        <f>VLOOKUP(RIGHT(E1536,3)+0,SchLocTable!$A$2:$B$47,2,FALSE)</f>
        <v>Harding HS</v>
      </c>
      <c r="B1536" s="207" t="str">
        <f>VLOOKUP(VALUE(D1536),$D$3:F$106,3,FALSE)</f>
        <v>Mathematics</v>
      </c>
      <c r="C1536" s="751" t="s">
        <v>246</v>
      </c>
      <c r="D1536" s="751" t="s">
        <v>552</v>
      </c>
      <c r="E1536" s="751" t="s">
        <v>578</v>
      </c>
      <c r="F1536" s="751" t="s">
        <v>292</v>
      </c>
      <c r="G1536" s="752" t="s">
        <v>1681</v>
      </c>
      <c r="H1536" s="753">
        <v>52385</v>
      </c>
      <c r="I1536" s="754">
        <v>2736.61</v>
      </c>
      <c r="J1536" s="754">
        <v>0</v>
      </c>
      <c r="K1536" s="754">
        <v>0</v>
      </c>
      <c r="L1536" s="754">
        <v>397.91</v>
      </c>
      <c r="M1536" s="754">
        <f t="shared" si="73"/>
        <v>397.91</v>
      </c>
      <c r="N1536" s="756">
        <v>2736.61</v>
      </c>
      <c r="O1536" s="720">
        <f t="shared" si="74"/>
        <v>0</v>
      </c>
    </row>
    <row r="1537" spans="1:15" outlineLevel="2" x14ac:dyDescent="0.25">
      <c r="A1537" s="207" t="str">
        <f>VLOOKUP(RIGHT(E1537,3)+0,SchLocTable!$A$2:$B$47,2,FALSE)</f>
        <v>Harding HS</v>
      </c>
      <c r="B1537" s="207" t="str">
        <f>VLOOKUP(VALUE(D1537),$D$3:F$106,3,FALSE)</f>
        <v>Mathematics</v>
      </c>
      <c r="C1537" s="755" t="s">
        <v>246</v>
      </c>
      <c r="D1537" s="751" t="s">
        <v>552</v>
      </c>
      <c r="E1537" s="751" t="s">
        <v>578</v>
      </c>
      <c r="F1537" s="751" t="s">
        <v>806</v>
      </c>
      <c r="G1537" s="752" t="s">
        <v>1681</v>
      </c>
      <c r="H1537" s="753">
        <v>52397</v>
      </c>
      <c r="I1537" s="754">
        <v>0</v>
      </c>
      <c r="J1537" s="754">
        <v>0</v>
      </c>
      <c r="K1537" s="754">
        <v>0</v>
      </c>
      <c r="L1537" s="754">
        <v>0</v>
      </c>
      <c r="M1537" s="754">
        <f t="shared" si="73"/>
        <v>0</v>
      </c>
      <c r="N1537" s="756">
        <v>0</v>
      </c>
      <c r="O1537" s="720">
        <f t="shared" si="74"/>
        <v>0</v>
      </c>
    </row>
    <row r="1538" spans="1:15" outlineLevel="2" x14ac:dyDescent="0.25">
      <c r="A1538" s="207" t="str">
        <f>VLOOKUP(RIGHT(E1538,3)+0,SchLocTable!$A$2:$B$47,2,FALSE)</f>
        <v>Harding HS</v>
      </c>
      <c r="B1538" s="207" t="str">
        <f>VLOOKUP(VALUE(D1538),$D$3:F$106,3,FALSE)</f>
        <v>Mathematics</v>
      </c>
      <c r="C1538" s="751" t="s">
        <v>246</v>
      </c>
      <c r="D1538" s="751" t="s">
        <v>552</v>
      </c>
      <c r="E1538" s="751" t="s">
        <v>578</v>
      </c>
      <c r="F1538" s="751" t="s">
        <v>259</v>
      </c>
      <c r="G1538" s="752" t="s">
        <v>1681</v>
      </c>
      <c r="H1538" s="753">
        <v>52917</v>
      </c>
      <c r="I1538" s="754">
        <v>129063.12</v>
      </c>
      <c r="J1538" s="754">
        <v>0</v>
      </c>
      <c r="K1538" s="754">
        <v>0</v>
      </c>
      <c r="L1538" s="754">
        <v>30017.599999999999</v>
      </c>
      <c r="M1538" s="754">
        <f t="shared" si="73"/>
        <v>30017.599999999999</v>
      </c>
      <c r="N1538" s="756">
        <v>129063.12</v>
      </c>
      <c r="O1538" s="720">
        <f t="shared" si="74"/>
        <v>0</v>
      </c>
    </row>
    <row r="1539" spans="1:15" outlineLevel="2" x14ac:dyDescent="0.25">
      <c r="A1539" s="207" t="str">
        <f>VLOOKUP(RIGHT(E1539,3)+0,SchLocTable!$A$2:$B$47,2,FALSE)</f>
        <v>Barnum</v>
      </c>
      <c r="B1539" s="207" t="str">
        <f>VLOOKUP(VALUE(D1539),$D$3:F$106,3,FALSE)</f>
        <v>Science</v>
      </c>
      <c r="C1539" s="751" t="s">
        <v>246</v>
      </c>
      <c r="D1539" s="751" t="s">
        <v>579</v>
      </c>
      <c r="E1539" s="751" t="s">
        <v>580</v>
      </c>
      <c r="F1539" s="751" t="s">
        <v>248</v>
      </c>
      <c r="G1539" s="752">
        <v>1</v>
      </c>
      <c r="H1539" s="753">
        <v>51000</v>
      </c>
      <c r="I1539" s="754">
        <v>65770.95</v>
      </c>
      <c r="J1539" s="754">
        <v>0</v>
      </c>
      <c r="K1539" s="754">
        <v>0</v>
      </c>
      <c r="L1539" s="754">
        <v>15659.75</v>
      </c>
      <c r="M1539" s="754">
        <f t="shared" si="73"/>
        <v>15659.75</v>
      </c>
      <c r="N1539" s="756">
        <v>65770.95</v>
      </c>
      <c r="O1539" s="720">
        <f t="shared" si="74"/>
        <v>0</v>
      </c>
    </row>
    <row r="1540" spans="1:15" outlineLevel="2" x14ac:dyDescent="0.25">
      <c r="A1540" s="207" t="str">
        <f>VLOOKUP(RIGHT(E1540,3)+0,SchLocTable!$A$2:$B$47,2,FALSE)</f>
        <v>Barnum</v>
      </c>
      <c r="B1540" s="207" t="str">
        <f>VLOOKUP(VALUE(D1540),$D$3:F$106,3,FALSE)</f>
        <v>Science</v>
      </c>
      <c r="C1540" s="755" t="s">
        <v>246</v>
      </c>
      <c r="D1540" s="751" t="s">
        <v>579</v>
      </c>
      <c r="E1540" s="751" t="s">
        <v>580</v>
      </c>
      <c r="F1540" s="751" t="s">
        <v>254</v>
      </c>
      <c r="G1540" s="752" t="s">
        <v>1681</v>
      </c>
      <c r="H1540" s="753">
        <v>52360</v>
      </c>
      <c r="I1540" s="754">
        <v>953.67</v>
      </c>
      <c r="J1540" s="754">
        <v>0</v>
      </c>
      <c r="K1540" s="754">
        <v>0</v>
      </c>
      <c r="L1540" s="754">
        <v>227.06</v>
      </c>
      <c r="M1540" s="754">
        <f t="shared" si="73"/>
        <v>227.06</v>
      </c>
      <c r="N1540" s="756">
        <v>953.67</v>
      </c>
      <c r="O1540" s="720">
        <f t="shared" si="74"/>
        <v>0</v>
      </c>
    </row>
    <row r="1541" spans="1:15" outlineLevel="2" x14ac:dyDescent="0.25">
      <c r="A1541" s="207" t="str">
        <f>VLOOKUP(RIGHT(E1541,3)+0,SchLocTable!$A$2:$B$47,2,FALSE)</f>
        <v>Barnum</v>
      </c>
      <c r="B1541" s="207" t="str">
        <f>VLOOKUP(VALUE(D1541),$D$3:F$106,3,FALSE)</f>
        <v>Science</v>
      </c>
      <c r="C1541" s="751" t="s">
        <v>246</v>
      </c>
      <c r="D1541" s="751" t="s">
        <v>579</v>
      </c>
      <c r="E1541" s="751" t="s">
        <v>580</v>
      </c>
      <c r="F1541" s="751" t="s">
        <v>292</v>
      </c>
      <c r="G1541" s="752" t="s">
        <v>1681</v>
      </c>
      <c r="H1541" s="753">
        <v>52385</v>
      </c>
      <c r="I1541" s="754">
        <v>0</v>
      </c>
      <c r="J1541" s="754">
        <v>0</v>
      </c>
      <c r="K1541" s="754">
        <v>0</v>
      </c>
      <c r="L1541" s="754">
        <v>0</v>
      </c>
      <c r="M1541" s="754">
        <f t="shared" si="73"/>
        <v>0</v>
      </c>
      <c r="N1541" s="756">
        <v>0</v>
      </c>
      <c r="O1541" s="720">
        <f t="shared" si="74"/>
        <v>0</v>
      </c>
    </row>
    <row r="1542" spans="1:15" outlineLevel="2" x14ac:dyDescent="0.25">
      <c r="A1542" s="207" t="str">
        <f>VLOOKUP(RIGHT(E1542,3)+0,SchLocTable!$A$2:$B$47,2,FALSE)</f>
        <v>Black Rock</v>
      </c>
      <c r="B1542" s="207" t="str">
        <f>VLOOKUP(VALUE(D1542),$D$3:F$106,3,FALSE)</f>
        <v>Science</v>
      </c>
      <c r="C1542" s="751" t="s">
        <v>246</v>
      </c>
      <c r="D1542" s="751" t="s">
        <v>579</v>
      </c>
      <c r="E1542" s="751" t="s">
        <v>581</v>
      </c>
      <c r="F1542" s="751" t="s">
        <v>248</v>
      </c>
      <c r="G1542" s="752">
        <v>1</v>
      </c>
      <c r="H1542" s="753">
        <v>51000</v>
      </c>
      <c r="I1542" s="754">
        <v>103153.2</v>
      </c>
      <c r="J1542" s="754">
        <v>0</v>
      </c>
      <c r="K1542" s="754">
        <v>0</v>
      </c>
      <c r="L1542" s="754">
        <v>19761.150000000001</v>
      </c>
      <c r="M1542" s="754">
        <f t="shared" si="73"/>
        <v>19761.150000000001</v>
      </c>
      <c r="N1542" s="756">
        <v>103153.2</v>
      </c>
      <c r="O1542" s="720">
        <f t="shared" si="74"/>
        <v>0</v>
      </c>
    </row>
    <row r="1543" spans="1:15" outlineLevel="2" x14ac:dyDescent="0.25">
      <c r="A1543" s="207" t="str">
        <f>VLOOKUP(RIGHT(E1543,3)+0,SchLocTable!$A$2:$B$47,2,FALSE)</f>
        <v>Black Rock</v>
      </c>
      <c r="B1543" s="207" t="str">
        <f>VLOOKUP(VALUE(D1543),$D$3:F$106,3,FALSE)</f>
        <v>Science</v>
      </c>
      <c r="C1543" s="751" t="s">
        <v>246</v>
      </c>
      <c r="D1543" s="751" t="s">
        <v>579</v>
      </c>
      <c r="E1543" s="751" t="s">
        <v>581</v>
      </c>
      <c r="F1543" s="751" t="s">
        <v>254</v>
      </c>
      <c r="G1543" s="752" t="s">
        <v>1681</v>
      </c>
      <c r="H1543" s="753">
        <v>52360</v>
      </c>
      <c r="I1543" s="754">
        <v>1460.25</v>
      </c>
      <c r="J1543" s="754">
        <v>0</v>
      </c>
      <c r="K1543" s="754">
        <v>0</v>
      </c>
      <c r="L1543" s="754">
        <v>251.07</v>
      </c>
      <c r="M1543" s="754">
        <f t="shared" si="73"/>
        <v>251.07</v>
      </c>
      <c r="N1543" s="756">
        <v>1460.25</v>
      </c>
      <c r="O1543" s="720">
        <f t="shared" si="74"/>
        <v>0</v>
      </c>
    </row>
    <row r="1544" spans="1:15" outlineLevel="2" x14ac:dyDescent="0.25">
      <c r="A1544" s="207" t="str">
        <f>VLOOKUP(RIGHT(E1544,3)+0,SchLocTable!$A$2:$B$47,2,FALSE)</f>
        <v>Black Rock</v>
      </c>
      <c r="B1544" s="207" t="str">
        <f>VLOOKUP(VALUE(D1544),$D$3:F$106,3,FALSE)</f>
        <v>Science</v>
      </c>
      <c r="C1544" s="751" t="s">
        <v>246</v>
      </c>
      <c r="D1544" s="751" t="s">
        <v>579</v>
      </c>
      <c r="E1544" s="751" t="s">
        <v>581</v>
      </c>
      <c r="F1544" s="751" t="s">
        <v>259</v>
      </c>
      <c r="G1544" s="752" t="s">
        <v>1681</v>
      </c>
      <c r="H1544" s="753">
        <v>52917</v>
      </c>
      <c r="I1544" s="754">
        <v>34787.339999999997</v>
      </c>
      <c r="J1544" s="754">
        <v>0</v>
      </c>
      <c r="K1544" s="754">
        <v>0</v>
      </c>
      <c r="L1544" s="754">
        <v>8282.7000000000007</v>
      </c>
      <c r="M1544" s="754">
        <f t="shared" si="73"/>
        <v>8282.7000000000007</v>
      </c>
      <c r="N1544" s="756">
        <v>34787.339999999997</v>
      </c>
      <c r="O1544" s="720">
        <f t="shared" si="74"/>
        <v>0</v>
      </c>
    </row>
    <row r="1545" spans="1:15" outlineLevel="2" x14ac:dyDescent="0.25">
      <c r="A1545" s="207" t="str">
        <f>VLOOKUP(RIGHT(E1545,3)+0,SchLocTable!$A$2:$B$47,2,FALSE)</f>
        <v>Columbus</v>
      </c>
      <c r="B1545" s="207" t="str">
        <f>VLOOKUP(VALUE(D1545),$D$3:F$106,3,FALSE)</f>
        <v>Science</v>
      </c>
      <c r="C1545" s="751" t="s">
        <v>246</v>
      </c>
      <c r="D1545" s="751" t="s">
        <v>579</v>
      </c>
      <c r="E1545" s="751" t="s">
        <v>582</v>
      </c>
      <c r="F1545" s="751" t="s">
        <v>248</v>
      </c>
      <c r="G1545" s="752">
        <v>1</v>
      </c>
      <c r="H1545" s="753">
        <v>51000</v>
      </c>
      <c r="I1545" s="754">
        <v>58141.67</v>
      </c>
      <c r="J1545" s="754">
        <v>0</v>
      </c>
      <c r="K1545" s="754">
        <v>0</v>
      </c>
      <c r="L1545" s="754">
        <v>11138.25</v>
      </c>
      <c r="M1545" s="754">
        <f t="shared" si="73"/>
        <v>11138.25</v>
      </c>
      <c r="N1545" s="756">
        <v>58141.67</v>
      </c>
      <c r="O1545" s="720">
        <f t="shared" si="74"/>
        <v>0</v>
      </c>
    </row>
    <row r="1546" spans="1:15" outlineLevel="2" x14ac:dyDescent="0.25">
      <c r="A1546" s="207" t="str">
        <f>VLOOKUP(RIGHT(E1546,3)+0,SchLocTable!$A$2:$B$47,2,FALSE)</f>
        <v>Columbus</v>
      </c>
      <c r="B1546" s="207" t="str">
        <f>VLOOKUP(VALUE(D1546),$D$3:F$106,3,FALSE)</f>
        <v>Science</v>
      </c>
      <c r="C1546" s="751" t="s">
        <v>246</v>
      </c>
      <c r="D1546" s="751" t="s">
        <v>579</v>
      </c>
      <c r="E1546" s="751" t="s">
        <v>582</v>
      </c>
      <c r="F1546" s="751" t="s">
        <v>254</v>
      </c>
      <c r="G1546" s="752" t="s">
        <v>1681</v>
      </c>
      <c r="H1546" s="753">
        <v>52360</v>
      </c>
      <c r="I1546" s="754">
        <v>831.07</v>
      </c>
      <c r="J1546" s="754">
        <v>0</v>
      </c>
      <c r="K1546" s="754">
        <v>0</v>
      </c>
      <c r="L1546" s="754">
        <v>149.52000000000001</v>
      </c>
      <c r="M1546" s="754">
        <f t="shared" si="73"/>
        <v>149.52000000000001</v>
      </c>
      <c r="N1546" s="756">
        <v>831.07</v>
      </c>
      <c r="O1546" s="720">
        <f t="shared" si="74"/>
        <v>0</v>
      </c>
    </row>
    <row r="1547" spans="1:15" outlineLevel="2" x14ac:dyDescent="0.25">
      <c r="A1547" s="207" t="str">
        <f>VLOOKUP(RIGHT(E1547,3)+0,SchLocTable!$A$2:$B$47,2,FALSE)</f>
        <v>Columbus</v>
      </c>
      <c r="B1547" s="207" t="str">
        <f>VLOOKUP(VALUE(D1547),$D$3:F$106,3,FALSE)</f>
        <v>Science</v>
      </c>
      <c r="C1547" s="751" t="s">
        <v>246</v>
      </c>
      <c r="D1547" s="751" t="s">
        <v>579</v>
      </c>
      <c r="E1547" s="751" t="s">
        <v>582</v>
      </c>
      <c r="F1547" s="751" t="s">
        <v>259</v>
      </c>
      <c r="G1547" s="752" t="s">
        <v>1681</v>
      </c>
      <c r="H1547" s="753">
        <v>52917</v>
      </c>
      <c r="I1547" s="754">
        <v>11747.4</v>
      </c>
      <c r="J1547" s="754">
        <v>0</v>
      </c>
      <c r="K1547" s="754">
        <v>0</v>
      </c>
      <c r="L1547" s="754">
        <v>2797</v>
      </c>
      <c r="M1547" s="754">
        <f t="shared" si="73"/>
        <v>2797</v>
      </c>
      <c r="N1547" s="756">
        <v>11747.4</v>
      </c>
      <c r="O1547" s="720">
        <f t="shared" si="74"/>
        <v>0</v>
      </c>
    </row>
    <row r="1548" spans="1:15" outlineLevel="2" x14ac:dyDescent="0.25">
      <c r="A1548" s="207" t="str">
        <f>VLOOKUP(RIGHT(E1548,3)+0,SchLocTable!$A$2:$B$47,2,FALSE)</f>
        <v>Physical Science HS</v>
      </c>
      <c r="B1548" s="207" t="str">
        <f>VLOOKUP(VALUE(D1548),$D$3:F$106,3,FALSE)</f>
        <v>Science</v>
      </c>
      <c r="C1548" s="755" t="s">
        <v>246</v>
      </c>
      <c r="D1548" s="751" t="s">
        <v>579</v>
      </c>
      <c r="E1548" s="751" t="s">
        <v>583</v>
      </c>
      <c r="F1548" s="751" t="s">
        <v>248</v>
      </c>
      <c r="G1548" s="752">
        <v>4</v>
      </c>
      <c r="H1548" s="753">
        <v>51000</v>
      </c>
      <c r="I1548" s="754">
        <v>402717.25</v>
      </c>
      <c r="J1548" s="754">
        <v>0</v>
      </c>
      <c r="K1548" s="754">
        <v>0</v>
      </c>
      <c r="L1548" s="754">
        <v>81929.649999999994</v>
      </c>
      <c r="M1548" s="754">
        <f t="shared" si="73"/>
        <v>81929.649999999994</v>
      </c>
      <c r="N1548" s="756">
        <v>402717.25</v>
      </c>
      <c r="O1548" s="720">
        <f t="shared" si="74"/>
        <v>0</v>
      </c>
    </row>
    <row r="1549" spans="1:15" outlineLevel="2" x14ac:dyDescent="0.25">
      <c r="A1549" s="207" t="str">
        <f>VLOOKUP(RIGHT(E1549,3)+0,SchLocTable!$A$2:$B$47,2,FALSE)</f>
        <v>Physical Science HS</v>
      </c>
      <c r="B1549" s="207" t="str">
        <f>VLOOKUP(VALUE(D1549),$D$3:F$106,3,FALSE)</f>
        <v>Science</v>
      </c>
      <c r="C1549" s="751" t="s">
        <v>246</v>
      </c>
      <c r="D1549" s="751" t="s">
        <v>579</v>
      </c>
      <c r="E1549" s="751" t="s">
        <v>583</v>
      </c>
      <c r="F1549" s="751" t="s">
        <v>254</v>
      </c>
      <c r="G1549" s="752" t="s">
        <v>1681</v>
      </c>
      <c r="H1549" s="753">
        <v>52360</v>
      </c>
      <c r="I1549" s="754">
        <v>5696.81</v>
      </c>
      <c r="J1549" s="754">
        <v>0</v>
      </c>
      <c r="K1549" s="754">
        <v>0</v>
      </c>
      <c r="L1549" s="754">
        <v>1045.3900000000001</v>
      </c>
      <c r="M1549" s="754">
        <f t="shared" si="73"/>
        <v>1045.3900000000001</v>
      </c>
      <c r="N1549" s="756">
        <v>5696.81</v>
      </c>
      <c r="O1549" s="720">
        <f t="shared" si="74"/>
        <v>0</v>
      </c>
    </row>
    <row r="1550" spans="1:15" outlineLevel="2" x14ac:dyDescent="0.25">
      <c r="A1550" s="207" t="str">
        <f>VLOOKUP(RIGHT(E1550,3)+0,SchLocTable!$A$2:$B$47,2,FALSE)</f>
        <v>Physical Science HS</v>
      </c>
      <c r="B1550" s="207" t="str">
        <f>VLOOKUP(VALUE(D1550),$D$3:F$106,3,FALSE)</f>
        <v>Science</v>
      </c>
      <c r="C1550" s="751" t="s">
        <v>246</v>
      </c>
      <c r="D1550" s="751" t="s">
        <v>579</v>
      </c>
      <c r="E1550" s="751" t="s">
        <v>583</v>
      </c>
      <c r="F1550" s="751" t="s">
        <v>259</v>
      </c>
      <c r="G1550" s="752" t="s">
        <v>1681</v>
      </c>
      <c r="H1550" s="753">
        <v>52917</v>
      </c>
      <c r="I1550" s="754">
        <v>140303.51999999999</v>
      </c>
      <c r="J1550" s="754">
        <v>0</v>
      </c>
      <c r="K1550" s="754">
        <v>0</v>
      </c>
      <c r="L1550" s="754">
        <v>33405.599999999999</v>
      </c>
      <c r="M1550" s="754">
        <f t="shared" si="73"/>
        <v>33405.599999999999</v>
      </c>
      <c r="N1550" s="756">
        <v>140303.51999999999</v>
      </c>
      <c r="O1550" s="720">
        <f t="shared" si="74"/>
        <v>0</v>
      </c>
    </row>
    <row r="1551" spans="1:15" outlineLevel="2" x14ac:dyDescent="0.25">
      <c r="A1551" s="207" t="str">
        <f>VLOOKUP(RIGHT(E1551,3)+0,SchLocTable!$A$2:$B$47,2,FALSE)</f>
        <v>Marin</v>
      </c>
      <c r="B1551" s="207" t="str">
        <f>VLOOKUP(VALUE(D1551),$D$3:F$106,3,FALSE)</f>
        <v>Science</v>
      </c>
      <c r="C1551" s="751" t="s">
        <v>246</v>
      </c>
      <c r="D1551" s="751" t="s">
        <v>579</v>
      </c>
      <c r="E1551" s="751" t="s">
        <v>584</v>
      </c>
      <c r="F1551" s="751" t="s">
        <v>248</v>
      </c>
      <c r="G1551" s="752">
        <v>1</v>
      </c>
      <c r="H1551" s="753">
        <v>51000</v>
      </c>
      <c r="I1551" s="754">
        <v>63524.49</v>
      </c>
      <c r="J1551" s="754">
        <v>0</v>
      </c>
      <c r="K1551" s="754">
        <v>0</v>
      </c>
      <c r="L1551" s="754">
        <v>14064.4</v>
      </c>
      <c r="M1551" s="754">
        <f t="shared" si="73"/>
        <v>14064.4</v>
      </c>
      <c r="N1551" s="756">
        <v>63524.49</v>
      </c>
      <c r="O1551" s="720">
        <f t="shared" si="74"/>
        <v>0</v>
      </c>
    </row>
    <row r="1552" spans="1:15" outlineLevel="2" x14ac:dyDescent="0.25">
      <c r="A1552" s="207" t="str">
        <f>VLOOKUP(RIGHT(E1552,3)+0,SchLocTable!$A$2:$B$47,2,FALSE)</f>
        <v>Marin</v>
      </c>
      <c r="B1552" s="207" t="str">
        <f>VLOOKUP(VALUE(D1552),$D$3:F$106,3,FALSE)</f>
        <v>Science</v>
      </c>
      <c r="C1552" s="751" t="s">
        <v>246</v>
      </c>
      <c r="D1552" s="751" t="s">
        <v>579</v>
      </c>
      <c r="E1552" s="751" t="s">
        <v>584</v>
      </c>
      <c r="F1552" s="751" t="s">
        <v>254</v>
      </c>
      <c r="G1552" s="752" t="s">
        <v>1681</v>
      </c>
      <c r="H1552" s="753">
        <v>52360</v>
      </c>
      <c r="I1552" s="754">
        <v>920.9</v>
      </c>
      <c r="J1552" s="754">
        <v>0</v>
      </c>
      <c r="K1552" s="754">
        <v>0</v>
      </c>
      <c r="L1552" s="754">
        <v>203.73</v>
      </c>
      <c r="M1552" s="754">
        <f t="shared" si="73"/>
        <v>203.73</v>
      </c>
      <c r="N1552" s="756">
        <v>920.9</v>
      </c>
      <c r="O1552" s="720">
        <f t="shared" si="74"/>
        <v>0</v>
      </c>
    </row>
    <row r="1553" spans="1:15" outlineLevel="2" x14ac:dyDescent="0.25">
      <c r="A1553" s="207" t="str">
        <f>VLOOKUP(RIGHT(E1553,3)+0,SchLocTable!$A$2:$B$47,2,FALSE)</f>
        <v>Marin</v>
      </c>
      <c r="B1553" s="207" t="str">
        <f>VLOOKUP(VALUE(D1553),$D$3:F$106,3,FALSE)</f>
        <v>Science</v>
      </c>
      <c r="C1553" s="751" t="s">
        <v>246</v>
      </c>
      <c r="D1553" s="751" t="s">
        <v>579</v>
      </c>
      <c r="E1553" s="751" t="s">
        <v>584</v>
      </c>
      <c r="F1553" s="751" t="s">
        <v>259</v>
      </c>
      <c r="G1553" s="752" t="s">
        <v>1681</v>
      </c>
      <c r="H1553" s="753">
        <v>52917</v>
      </c>
      <c r="I1553" s="754">
        <v>336.42</v>
      </c>
      <c r="J1553" s="754">
        <v>0</v>
      </c>
      <c r="K1553" s="754">
        <v>0</v>
      </c>
      <c r="L1553" s="754">
        <v>80.099999999999994</v>
      </c>
      <c r="M1553" s="754">
        <f t="shared" si="73"/>
        <v>80.099999999999994</v>
      </c>
      <c r="N1553" s="756">
        <v>336.42</v>
      </c>
      <c r="O1553" s="720">
        <f t="shared" si="74"/>
        <v>0</v>
      </c>
    </row>
    <row r="1554" spans="1:15" outlineLevel="2" x14ac:dyDescent="0.25">
      <c r="A1554" s="207" t="str">
        <f>VLOOKUP(RIGHT(E1554,3)+0,SchLocTable!$A$2:$B$47,2,FALSE)</f>
        <v>Hooker</v>
      </c>
      <c r="B1554" s="207" t="str">
        <f>VLOOKUP(VALUE(D1554),$D$3:F$106,3,FALSE)</f>
        <v>Science</v>
      </c>
      <c r="C1554" s="751" t="s">
        <v>246</v>
      </c>
      <c r="D1554" s="751" t="s">
        <v>579</v>
      </c>
      <c r="E1554" s="751" t="s">
        <v>1751</v>
      </c>
      <c r="F1554" s="751" t="s">
        <v>248</v>
      </c>
      <c r="G1554" s="752" t="s">
        <v>1681</v>
      </c>
      <c r="H1554" s="753">
        <v>51000</v>
      </c>
      <c r="I1554" s="754">
        <v>0</v>
      </c>
      <c r="J1554" s="754">
        <v>0</v>
      </c>
      <c r="K1554" s="754">
        <v>0</v>
      </c>
      <c r="L1554" s="754">
        <v>0</v>
      </c>
      <c r="M1554" s="754">
        <f t="shared" si="73"/>
        <v>0</v>
      </c>
      <c r="N1554" s="756">
        <v>0</v>
      </c>
      <c r="O1554" s="720">
        <f t="shared" si="74"/>
        <v>0</v>
      </c>
    </row>
    <row r="1555" spans="1:15" outlineLevel="2" x14ac:dyDescent="0.25">
      <c r="A1555" s="207" t="str">
        <f>VLOOKUP(RIGHT(E1555,3)+0,SchLocTable!$A$2:$B$47,2,FALSE)</f>
        <v>Hooker</v>
      </c>
      <c r="B1555" s="207" t="str">
        <f>VLOOKUP(VALUE(D1555),$D$3:F$106,3,FALSE)</f>
        <v>Science</v>
      </c>
      <c r="C1555" s="751" t="s">
        <v>246</v>
      </c>
      <c r="D1555" s="751" t="s">
        <v>579</v>
      </c>
      <c r="E1555" s="751" t="s">
        <v>1751</v>
      </c>
      <c r="F1555" s="751" t="s">
        <v>254</v>
      </c>
      <c r="G1555" s="752" t="s">
        <v>1681</v>
      </c>
      <c r="H1555" s="753">
        <v>52360</v>
      </c>
      <c r="I1555" s="754">
        <v>0</v>
      </c>
      <c r="J1555" s="754">
        <v>0</v>
      </c>
      <c r="K1555" s="754">
        <v>0</v>
      </c>
      <c r="L1555" s="754">
        <v>0</v>
      </c>
      <c r="M1555" s="754">
        <f t="shared" si="73"/>
        <v>0</v>
      </c>
      <c r="N1555" s="756">
        <v>0</v>
      </c>
      <c r="O1555" s="720">
        <f t="shared" si="74"/>
        <v>0</v>
      </c>
    </row>
    <row r="1556" spans="1:15" outlineLevel="2" x14ac:dyDescent="0.25">
      <c r="A1556" s="207" t="str">
        <f>VLOOKUP(RIGHT(E1556,3)+0,SchLocTable!$A$2:$B$47,2,FALSE)</f>
        <v>Hooker</v>
      </c>
      <c r="B1556" s="207" t="str">
        <f>VLOOKUP(VALUE(D1556),$D$3:F$106,3,FALSE)</f>
        <v>Science</v>
      </c>
      <c r="C1556" s="751" t="s">
        <v>246</v>
      </c>
      <c r="D1556" s="751" t="s">
        <v>579</v>
      </c>
      <c r="E1556" s="751" t="s">
        <v>1751</v>
      </c>
      <c r="F1556" s="751" t="s">
        <v>259</v>
      </c>
      <c r="G1556" s="752" t="s">
        <v>1681</v>
      </c>
      <c r="H1556" s="753">
        <v>52917</v>
      </c>
      <c r="I1556" s="754">
        <v>0</v>
      </c>
      <c r="J1556" s="754">
        <v>0</v>
      </c>
      <c r="K1556" s="754">
        <v>0</v>
      </c>
      <c r="L1556" s="754">
        <v>0</v>
      </c>
      <c r="M1556" s="754">
        <f t="shared" si="73"/>
        <v>0</v>
      </c>
      <c r="N1556" s="756">
        <v>0</v>
      </c>
      <c r="O1556" s="720">
        <f t="shared" si="74"/>
        <v>0</v>
      </c>
    </row>
    <row r="1557" spans="1:15" outlineLevel="2" x14ac:dyDescent="0.25">
      <c r="A1557" s="207" t="str">
        <f>VLOOKUP(RIGHT(E1557,3)+0,SchLocTable!$A$2:$B$47,2,FALSE)</f>
        <v>Batalla</v>
      </c>
      <c r="B1557" s="207" t="str">
        <f>VLOOKUP(VALUE(D1557),$D$3:F$106,3,FALSE)</f>
        <v>Science</v>
      </c>
      <c r="C1557" s="751" t="s">
        <v>246</v>
      </c>
      <c r="D1557" s="751" t="s">
        <v>579</v>
      </c>
      <c r="E1557" s="751" t="s">
        <v>585</v>
      </c>
      <c r="F1557" s="751" t="s">
        <v>248</v>
      </c>
      <c r="G1557" s="752" t="s">
        <v>1681</v>
      </c>
      <c r="H1557" s="753">
        <v>51000</v>
      </c>
      <c r="I1557" s="754">
        <v>0</v>
      </c>
      <c r="J1557" s="754">
        <v>0</v>
      </c>
      <c r="K1557" s="754">
        <v>0</v>
      </c>
      <c r="L1557" s="754">
        <v>0</v>
      </c>
      <c r="M1557" s="754">
        <f t="shared" si="73"/>
        <v>0</v>
      </c>
      <c r="N1557" s="756">
        <v>0</v>
      </c>
      <c r="O1557" s="720">
        <f t="shared" si="74"/>
        <v>0</v>
      </c>
    </row>
    <row r="1558" spans="1:15" outlineLevel="2" x14ac:dyDescent="0.25">
      <c r="A1558" s="207" t="str">
        <f>VLOOKUP(RIGHT(E1558,3)+0,SchLocTable!$A$2:$B$47,2,FALSE)</f>
        <v>Batalla</v>
      </c>
      <c r="B1558" s="207" t="str">
        <f>VLOOKUP(VALUE(D1558),$D$3:F$106,3,FALSE)</f>
        <v>Science</v>
      </c>
      <c r="C1558" s="751" t="s">
        <v>246</v>
      </c>
      <c r="D1558" s="751" t="s">
        <v>579</v>
      </c>
      <c r="E1558" s="751" t="s">
        <v>585</v>
      </c>
      <c r="F1558" s="751" t="s">
        <v>254</v>
      </c>
      <c r="G1558" s="752" t="s">
        <v>1681</v>
      </c>
      <c r="H1558" s="753">
        <v>52360</v>
      </c>
      <c r="I1558" s="754">
        <v>0</v>
      </c>
      <c r="J1558" s="754">
        <v>0</v>
      </c>
      <c r="K1558" s="754">
        <v>0</v>
      </c>
      <c r="L1558" s="754">
        <v>0</v>
      </c>
      <c r="M1558" s="754">
        <f t="shared" si="73"/>
        <v>0</v>
      </c>
      <c r="N1558" s="756">
        <v>0</v>
      </c>
      <c r="O1558" s="720">
        <f t="shared" si="74"/>
        <v>0</v>
      </c>
    </row>
    <row r="1559" spans="1:15" outlineLevel="1" x14ac:dyDescent="0.25">
      <c r="A1559" s="207" t="str">
        <f>VLOOKUP(RIGHT(E1559,3)+0,SchLocTable!$A$2:$B$47,2,FALSE)</f>
        <v>Batalla</v>
      </c>
      <c r="B1559" s="207" t="str">
        <f>VLOOKUP(VALUE(D1559),$D$3:F$106,3,FALSE)</f>
        <v>Science</v>
      </c>
      <c r="C1559" s="751" t="s">
        <v>246</v>
      </c>
      <c r="D1559" s="751" t="s">
        <v>579</v>
      </c>
      <c r="E1559" s="751" t="s">
        <v>585</v>
      </c>
      <c r="F1559" s="751" t="s">
        <v>259</v>
      </c>
      <c r="G1559" s="752" t="s">
        <v>1681</v>
      </c>
      <c r="H1559" s="753">
        <v>52917</v>
      </c>
      <c r="I1559" s="754">
        <v>0</v>
      </c>
      <c r="J1559" s="754">
        <v>0</v>
      </c>
      <c r="K1559" s="754">
        <v>0</v>
      </c>
      <c r="L1559" s="754">
        <v>0</v>
      </c>
      <c r="M1559" s="754">
        <f t="shared" si="73"/>
        <v>0</v>
      </c>
      <c r="N1559" s="756">
        <v>0</v>
      </c>
      <c r="O1559" s="720">
        <f t="shared" si="74"/>
        <v>0</v>
      </c>
    </row>
    <row r="1560" spans="1:15" outlineLevel="2" x14ac:dyDescent="0.25">
      <c r="A1560" s="207" t="str">
        <f>VLOOKUP(RIGHT(E1560,3)+0,SchLocTable!$A$2:$B$47,2,FALSE)</f>
        <v>Info Tech HS</v>
      </c>
      <c r="B1560" s="207" t="str">
        <f>VLOOKUP(VALUE(D1560),$D$3:F$106,3,FALSE)</f>
        <v>Science</v>
      </c>
      <c r="C1560" s="751" t="s">
        <v>246</v>
      </c>
      <c r="D1560" s="751" t="s">
        <v>579</v>
      </c>
      <c r="E1560" s="751" t="s">
        <v>586</v>
      </c>
      <c r="F1560" s="751" t="s">
        <v>248</v>
      </c>
      <c r="G1560" s="752">
        <v>1</v>
      </c>
      <c r="H1560" s="753">
        <v>51000</v>
      </c>
      <c r="I1560" s="754">
        <v>73763.56</v>
      </c>
      <c r="J1560" s="754">
        <v>0</v>
      </c>
      <c r="K1560" s="754">
        <v>0</v>
      </c>
      <c r="L1560" s="754">
        <v>14130.95</v>
      </c>
      <c r="M1560" s="754">
        <f t="shared" si="73"/>
        <v>14130.95</v>
      </c>
      <c r="N1560" s="756">
        <v>73763.56</v>
      </c>
      <c r="O1560" s="720">
        <f t="shared" si="74"/>
        <v>0</v>
      </c>
    </row>
    <row r="1561" spans="1:15" outlineLevel="2" x14ac:dyDescent="0.25">
      <c r="A1561" s="207" t="str">
        <f>VLOOKUP(RIGHT(E1561,3)+0,SchLocTable!$A$2:$B$47,2,FALSE)</f>
        <v>Info Tech HS</v>
      </c>
      <c r="B1561" s="207" t="str">
        <f>VLOOKUP(VALUE(D1561),$D$3:F$106,3,FALSE)</f>
        <v>Science</v>
      </c>
      <c r="C1561" s="751" t="s">
        <v>246</v>
      </c>
      <c r="D1561" s="751" t="s">
        <v>579</v>
      </c>
      <c r="E1561" s="751" t="s">
        <v>586</v>
      </c>
      <c r="F1561" s="751" t="s">
        <v>254</v>
      </c>
      <c r="G1561" s="752" t="s">
        <v>1681</v>
      </c>
      <c r="H1561" s="753">
        <v>52360</v>
      </c>
      <c r="I1561" s="754">
        <v>1057.54</v>
      </c>
      <c r="J1561" s="754">
        <v>0</v>
      </c>
      <c r="K1561" s="754">
        <v>0</v>
      </c>
      <c r="L1561" s="754">
        <v>192.87</v>
      </c>
      <c r="M1561" s="754">
        <f t="shared" si="73"/>
        <v>192.87</v>
      </c>
      <c r="N1561" s="756">
        <v>1057.54</v>
      </c>
      <c r="O1561" s="720">
        <f t="shared" si="74"/>
        <v>0</v>
      </c>
    </row>
    <row r="1562" spans="1:15" outlineLevel="2" x14ac:dyDescent="0.25">
      <c r="A1562" s="207" t="str">
        <f>VLOOKUP(RIGHT(E1562,3)+0,SchLocTable!$A$2:$B$47,2,FALSE)</f>
        <v>Info Tech HS</v>
      </c>
      <c r="B1562" s="207" t="str">
        <f>VLOOKUP(VALUE(D1562),$D$3:F$106,3,FALSE)</f>
        <v>Science</v>
      </c>
      <c r="C1562" s="751" t="s">
        <v>246</v>
      </c>
      <c r="D1562" s="751" t="s">
        <v>579</v>
      </c>
      <c r="E1562" s="751" t="s">
        <v>586</v>
      </c>
      <c r="F1562" s="751" t="s">
        <v>259</v>
      </c>
      <c r="G1562" s="752" t="s">
        <v>1681</v>
      </c>
      <c r="H1562" s="753">
        <v>52917</v>
      </c>
      <c r="I1562" s="754">
        <v>11844</v>
      </c>
      <c r="J1562" s="754">
        <v>0</v>
      </c>
      <c r="K1562" s="754">
        <v>0</v>
      </c>
      <c r="L1562" s="754">
        <v>2820</v>
      </c>
      <c r="M1562" s="754">
        <f t="shared" si="73"/>
        <v>2820</v>
      </c>
      <c r="N1562" s="756">
        <v>11844</v>
      </c>
      <c r="O1562" s="720">
        <f t="shared" si="74"/>
        <v>0</v>
      </c>
    </row>
    <row r="1563" spans="1:15" outlineLevel="2" x14ac:dyDescent="0.25">
      <c r="A1563" s="207" t="str">
        <f>VLOOKUP(RIGHT(E1563,3)+0,SchLocTable!$A$2:$B$47,2,FALSE)</f>
        <v>BMA HS</v>
      </c>
      <c r="B1563" s="207" t="str">
        <f>VLOOKUP(VALUE(D1563),$D$3:F$106,3,FALSE)</f>
        <v>Science</v>
      </c>
      <c r="C1563" s="751" t="s">
        <v>246</v>
      </c>
      <c r="D1563" s="751" t="s">
        <v>579</v>
      </c>
      <c r="E1563" s="751" t="s">
        <v>587</v>
      </c>
      <c r="F1563" s="751" t="s">
        <v>248</v>
      </c>
      <c r="G1563" s="752">
        <v>3</v>
      </c>
      <c r="H1563" s="753">
        <v>51000</v>
      </c>
      <c r="I1563" s="754">
        <v>284407.52</v>
      </c>
      <c r="J1563" s="754">
        <v>0</v>
      </c>
      <c r="K1563" s="754">
        <v>0</v>
      </c>
      <c r="L1563" s="754">
        <v>54484.2</v>
      </c>
      <c r="M1563" s="754">
        <f t="shared" si="73"/>
        <v>54484.2</v>
      </c>
      <c r="N1563" s="756">
        <v>284407.52</v>
      </c>
      <c r="O1563" s="720">
        <f t="shared" si="74"/>
        <v>0</v>
      </c>
    </row>
    <row r="1564" spans="1:15" outlineLevel="2" x14ac:dyDescent="0.25">
      <c r="A1564" s="207" t="str">
        <f>VLOOKUP(RIGHT(E1564,3)+0,SchLocTable!$A$2:$B$47,2,FALSE)</f>
        <v>BMA HS</v>
      </c>
      <c r="B1564" s="207" t="str">
        <f>VLOOKUP(VALUE(D1564),$D$3:F$106,3,FALSE)</f>
        <v>Science</v>
      </c>
      <c r="C1564" s="751" t="s">
        <v>246</v>
      </c>
      <c r="D1564" s="751" t="s">
        <v>579</v>
      </c>
      <c r="E1564" s="751" t="s">
        <v>587</v>
      </c>
      <c r="F1564" s="751" t="s">
        <v>254</v>
      </c>
      <c r="G1564" s="752" t="s">
        <v>1681</v>
      </c>
      <c r="H1564" s="753">
        <v>52360</v>
      </c>
      <c r="I1564" s="754">
        <v>4051.78</v>
      </c>
      <c r="J1564" s="754">
        <v>0</v>
      </c>
      <c r="K1564" s="754">
        <v>0</v>
      </c>
      <c r="L1564" s="754">
        <v>717.89</v>
      </c>
      <c r="M1564" s="754">
        <f t="shared" si="73"/>
        <v>717.89</v>
      </c>
      <c r="N1564" s="756">
        <v>4051.78</v>
      </c>
      <c r="O1564" s="720">
        <f t="shared" si="74"/>
        <v>0</v>
      </c>
    </row>
    <row r="1565" spans="1:15" outlineLevel="2" x14ac:dyDescent="0.25">
      <c r="A1565" s="207" t="str">
        <f>VLOOKUP(RIGHT(E1565,3)+0,SchLocTable!$A$2:$B$47,2,FALSE)</f>
        <v>BMA HS</v>
      </c>
      <c r="B1565" s="207" t="str">
        <f>VLOOKUP(VALUE(D1565),$D$3:F$106,3,FALSE)</f>
        <v>Science</v>
      </c>
      <c r="C1565" s="751" t="s">
        <v>246</v>
      </c>
      <c r="D1565" s="751" t="s">
        <v>579</v>
      </c>
      <c r="E1565" s="751" t="s">
        <v>587</v>
      </c>
      <c r="F1565" s="751" t="s">
        <v>259</v>
      </c>
      <c r="G1565" s="752" t="s">
        <v>1681</v>
      </c>
      <c r="H1565" s="753">
        <v>52917</v>
      </c>
      <c r="I1565" s="754">
        <v>71469.72</v>
      </c>
      <c r="J1565" s="754">
        <v>0</v>
      </c>
      <c r="K1565" s="754">
        <v>0</v>
      </c>
      <c r="L1565" s="754">
        <v>17016.599999999999</v>
      </c>
      <c r="M1565" s="754">
        <f t="shared" si="73"/>
        <v>17016.599999999999</v>
      </c>
      <c r="N1565" s="756">
        <v>71469.72</v>
      </c>
      <c r="O1565" s="720">
        <f t="shared" si="74"/>
        <v>0</v>
      </c>
    </row>
    <row r="1566" spans="1:15" outlineLevel="2" x14ac:dyDescent="0.25">
      <c r="A1566" s="207" t="str">
        <f>VLOOKUP(RIGHT(E1566,3)+0,SchLocTable!$A$2:$B$47,2,FALSE)</f>
        <v>Park City Magnet</v>
      </c>
      <c r="B1566" s="207" t="str">
        <f>VLOOKUP(VALUE(D1566),$D$3:F$106,3,FALSE)</f>
        <v>Science</v>
      </c>
      <c r="C1566" s="751" t="s">
        <v>246</v>
      </c>
      <c r="D1566" s="751" t="s">
        <v>579</v>
      </c>
      <c r="E1566" s="751" t="s">
        <v>588</v>
      </c>
      <c r="F1566" s="751" t="s">
        <v>248</v>
      </c>
      <c r="G1566" s="752">
        <v>1</v>
      </c>
      <c r="H1566" s="753">
        <v>51000</v>
      </c>
      <c r="I1566" s="754">
        <v>49225</v>
      </c>
      <c r="J1566" s="754">
        <v>0</v>
      </c>
      <c r="K1566" s="754">
        <v>0</v>
      </c>
      <c r="L1566" s="754">
        <v>8500</v>
      </c>
      <c r="M1566" s="754">
        <f t="shared" si="73"/>
        <v>8500</v>
      </c>
      <c r="N1566" s="756">
        <v>49225</v>
      </c>
      <c r="O1566" s="720">
        <f t="shared" si="74"/>
        <v>0</v>
      </c>
    </row>
    <row r="1567" spans="1:15" outlineLevel="2" x14ac:dyDescent="0.25">
      <c r="A1567" s="207" t="str">
        <f>VLOOKUP(RIGHT(E1567,3)+0,SchLocTable!$A$2:$B$47,2,FALSE)</f>
        <v>Park City Magnet</v>
      </c>
      <c r="B1567" s="207" t="str">
        <f>VLOOKUP(VALUE(D1567),$D$3:F$106,3,FALSE)</f>
        <v>Science</v>
      </c>
      <c r="C1567" s="751" t="s">
        <v>246</v>
      </c>
      <c r="D1567" s="751" t="s">
        <v>579</v>
      </c>
      <c r="E1567" s="751" t="s">
        <v>588</v>
      </c>
      <c r="F1567" s="751" t="s">
        <v>254</v>
      </c>
      <c r="G1567" s="752" t="s">
        <v>1681</v>
      </c>
      <c r="H1567" s="753">
        <v>52360</v>
      </c>
      <c r="I1567" s="754">
        <v>713.76</v>
      </c>
      <c r="J1567" s="754">
        <v>0</v>
      </c>
      <c r="K1567" s="754">
        <v>0</v>
      </c>
      <c r="L1567" s="754">
        <v>123.25</v>
      </c>
      <c r="M1567" s="754">
        <f t="shared" si="73"/>
        <v>123.25</v>
      </c>
      <c r="N1567" s="756">
        <v>713.76</v>
      </c>
      <c r="O1567" s="720">
        <f t="shared" si="74"/>
        <v>0</v>
      </c>
    </row>
    <row r="1568" spans="1:15" outlineLevel="2" x14ac:dyDescent="0.25">
      <c r="A1568" s="207" t="str">
        <f>VLOOKUP(RIGHT(E1568,3)+0,SchLocTable!$A$2:$B$47,2,FALSE)</f>
        <v>Park City Magnet</v>
      </c>
      <c r="B1568" s="207" t="str">
        <f>VLOOKUP(VALUE(D1568),$D$3:F$106,3,FALSE)</f>
        <v>Science</v>
      </c>
      <c r="C1568" s="751" t="s">
        <v>246</v>
      </c>
      <c r="D1568" s="751" t="s">
        <v>579</v>
      </c>
      <c r="E1568" s="751" t="s">
        <v>588</v>
      </c>
      <c r="F1568" s="751" t="s">
        <v>292</v>
      </c>
      <c r="G1568" s="752" t="s">
        <v>1681</v>
      </c>
      <c r="H1568" s="753">
        <v>52385</v>
      </c>
      <c r="I1568" s="754">
        <v>3051.95</v>
      </c>
      <c r="J1568" s="754">
        <v>0</v>
      </c>
      <c r="K1568" s="754">
        <v>0</v>
      </c>
      <c r="L1568" s="754">
        <v>527</v>
      </c>
      <c r="M1568" s="754">
        <f t="shared" si="73"/>
        <v>527</v>
      </c>
      <c r="N1568" s="756">
        <v>3051.95</v>
      </c>
      <c r="O1568" s="720">
        <f t="shared" si="74"/>
        <v>0</v>
      </c>
    </row>
    <row r="1569" spans="1:15" outlineLevel="1" x14ac:dyDescent="0.25">
      <c r="A1569" s="207" t="str">
        <f>VLOOKUP(RIGHT(E1569,3)+0,SchLocTable!$A$2:$B$47,2,FALSE)</f>
        <v>Zoo Science HS</v>
      </c>
      <c r="B1569" s="207" t="str">
        <f>VLOOKUP(VALUE(D1569),$D$3:F$106,3,FALSE)</f>
        <v>Science</v>
      </c>
      <c r="C1569" s="751" t="s">
        <v>246</v>
      </c>
      <c r="D1569" s="751" t="s">
        <v>579</v>
      </c>
      <c r="E1569" s="751" t="s">
        <v>589</v>
      </c>
      <c r="F1569" s="751" t="s">
        <v>248</v>
      </c>
      <c r="G1569" s="752">
        <v>2</v>
      </c>
      <c r="H1569" s="753">
        <v>51000</v>
      </c>
      <c r="I1569" s="754">
        <v>146417.09</v>
      </c>
      <c r="J1569" s="754">
        <v>0</v>
      </c>
      <c r="K1569" s="754">
        <v>0</v>
      </c>
      <c r="L1569" s="754">
        <v>28049.25</v>
      </c>
      <c r="M1569" s="754">
        <f t="shared" si="73"/>
        <v>28049.25</v>
      </c>
      <c r="N1569" s="756">
        <v>146417.09</v>
      </c>
      <c r="O1569" s="720">
        <f t="shared" si="74"/>
        <v>0</v>
      </c>
    </row>
    <row r="1570" spans="1:15" outlineLevel="2" x14ac:dyDescent="0.25">
      <c r="A1570" s="207" t="str">
        <f>VLOOKUP(RIGHT(E1570,3)+0,SchLocTable!$A$2:$B$47,2,FALSE)</f>
        <v>Zoo Science HS</v>
      </c>
      <c r="B1570" s="207" t="str">
        <f>VLOOKUP(VALUE(D1570),$D$3:F$106,3,FALSE)</f>
        <v>Science</v>
      </c>
      <c r="C1570" s="751" t="s">
        <v>246</v>
      </c>
      <c r="D1570" s="751" t="s">
        <v>579</v>
      </c>
      <c r="E1570" s="751" t="s">
        <v>589</v>
      </c>
      <c r="F1570" s="751" t="s">
        <v>257</v>
      </c>
      <c r="G1570" s="752" t="s">
        <v>1681</v>
      </c>
      <c r="H1570" s="753">
        <v>51140</v>
      </c>
      <c r="I1570" s="754">
        <v>900</v>
      </c>
      <c r="J1570" s="754">
        <v>0</v>
      </c>
      <c r="K1570" s="754">
        <v>0</v>
      </c>
      <c r="L1570" s="754">
        <v>0</v>
      </c>
      <c r="M1570" s="754">
        <f t="shared" si="73"/>
        <v>0</v>
      </c>
      <c r="N1570" s="756">
        <v>900</v>
      </c>
      <c r="O1570" s="720">
        <f t="shared" si="74"/>
        <v>0</v>
      </c>
    </row>
    <row r="1571" spans="1:15" outlineLevel="2" x14ac:dyDescent="0.25">
      <c r="A1571" s="207" t="str">
        <f>VLOOKUP(RIGHT(E1571,3)+0,SchLocTable!$A$2:$B$47,2,FALSE)</f>
        <v>Zoo Science HS</v>
      </c>
      <c r="B1571" s="207" t="str">
        <f>VLOOKUP(VALUE(D1571),$D$3:F$106,3,FALSE)</f>
        <v>Science</v>
      </c>
      <c r="C1571" s="751" t="s">
        <v>246</v>
      </c>
      <c r="D1571" s="751" t="s">
        <v>579</v>
      </c>
      <c r="E1571" s="751" t="s">
        <v>589</v>
      </c>
      <c r="F1571" s="751" t="s">
        <v>254</v>
      </c>
      <c r="G1571" s="752" t="s">
        <v>1681</v>
      </c>
      <c r="H1571" s="753">
        <v>52360</v>
      </c>
      <c r="I1571" s="754">
        <v>2084.79</v>
      </c>
      <c r="J1571" s="754">
        <v>0</v>
      </c>
      <c r="K1571" s="754">
        <v>0</v>
      </c>
      <c r="L1571" s="754">
        <v>368.46</v>
      </c>
      <c r="M1571" s="754">
        <f t="shared" si="73"/>
        <v>368.46</v>
      </c>
      <c r="N1571" s="756">
        <v>2084.79</v>
      </c>
      <c r="O1571" s="720">
        <f t="shared" si="74"/>
        <v>0</v>
      </c>
    </row>
    <row r="1572" spans="1:15" outlineLevel="2" x14ac:dyDescent="0.25">
      <c r="A1572" s="207" t="str">
        <f>VLOOKUP(RIGHT(E1572,3)+0,SchLocTable!$A$2:$B$47,2,FALSE)</f>
        <v>Zoo Science HS</v>
      </c>
      <c r="B1572" s="207" t="str">
        <f>VLOOKUP(VALUE(D1572),$D$3:F$106,3,FALSE)</f>
        <v>Science</v>
      </c>
      <c r="C1572" s="755" t="s">
        <v>246</v>
      </c>
      <c r="D1572" s="751" t="s">
        <v>579</v>
      </c>
      <c r="E1572" s="751" t="s">
        <v>589</v>
      </c>
      <c r="F1572" s="751" t="s">
        <v>292</v>
      </c>
      <c r="G1572" s="752" t="s">
        <v>1681</v>
      </c>
      <c r="H1572" s="753">
        <v>52385</v>
      </c>
      <c r="I1572" s="754">
        <v>0</v>
      </c>
      <c r="J1572" s="754">
        <v>0</v>
      </c>
      <c r="K1572" s="754">
        <v>0</v>
      </c>
      <c r="L1572" s="754">
        <v>0</v>
      </c>
      <c r="M1572" s="754">
        <f t="shared" si="73"/>
        <v>0</v>
      </c>
      <c r="N1572" s="756">
        <v>0</v>
      </c>
      <c r="O1572" s="720">
        <f t="shared" si="74"/>
        <v>0</v>
      </c>
    </row>
    <row r="1573" spans="1:15" outlineLevel="2" x14ac:dyDescent="0.25">
      <c r="A1573" s="207" t="str">
        <f>VLOOKUP(RIGHT(E1573,3)+0,SchLocTable!$A$2:$B$47,2,FALSE)</f>
        <v>Zoo Science HS</v>
      </c>
      <c r="B1573" s="207" t="str">
        <f>VLOOKUP(VALUE(D1573),$D$3:F$106,3,FALSE)</f>
        <v>Science</v>
      </c>
      <c r="C1573" s="755" t="s">
        <v>246</v>
      </c>
      <c r="D1573" s="751" t="s">
        <v>579</v>
      </c>
      <c r="E1573" s="751" t="s">
        <v>589</v>
      </c>
      <c r="F1573" s="751" t="s">
        <v>259</v>
      </c>
      <c r="G1573" s="752" t="s">
        <v>1681</v>
      </c>
      <c r="H1573" s="753">
        <v>52917</v>
      </c>
      <c r="I1573" s="754">
        <v>34636.559999999998</v>
      </c>
      <c r="J1573" s="754">
        <v>0</v>
      </c>
      <c r="K1573" s="754">
        <v>0</v>
      </c>
      <c r="L1573" s="754">
        <v>8246.7999999999993</v>
      </c>
      <c r="M1573" s="754">
        <f t="shared" si="73"/>
        <v>8246.7999999999993</v>
      </c>
      <c r="N1573" s="756">
        <v>34636.559999999998</v>
      </c>
      <c r="O1573" s="720">
        <f t="shared" si="74"/>
        <v>0</v>
      </c>
    </row>
    <row r="1574" spans="1:15" outlineLevel="1" x14ac:dyDescent="0.25">
      <c r="A1574" s="207" t="str">
        <f>VLOOKUP(RIGHT(E1574,3)+0,SchLocTable!$A$2:$B$47,2,FALSE)</f>
        <v>Classical Studies Academy</v>
      </c>
      <c r="B1574" s="207" t="str">
        <f>VLOOKUP(VALUE(D1574),$D$3:F$106,3,FALSE)</f>
        <v>Science</v>
      </c>
      <c r="C1574" s="751" t="s">
        <v>246</v>
      </c>
      <c r="D1574" s="751" t="s">
        <v>579</v>
      </c>
      <c r="E1574" s="751" t="s">
        <v>590</v>
      </c>
      <c r="F1574" s="751" t="s">
        <v>248</v>
      </c>
      <c r="G1574" s="752" t="s">
        <v>1681</v>
      </c>
      <c r="H1574" s="753">
        <v>51000</v>
      </c>
      <c r="I1574" s="754">
        <v>0</v>
      </c>
      <c r="J1574" s="754">
        <v>0</v>
      </c>
      <c r="K1574" s="754">
        <v>0</v>
      </c>
      <c r="L1574" s="754">
        <v>0</v>
      </c>
      <c r="M1574" s="754">
        <f t="shared" si="73"/>
        <v>0</v>
      </c>
      <c r="N1574" s="756">
        <v>0</v>
      </c>
      <c r="O1574" s="720">
        <f t="shared" si="74"/>
        <v>0</v>
      </c>
    </row>
    <row r="1575" spans="1:15" outlineLevel="2" x14ac:dyDescent="0.25">
      <c r="A1575" s="207" t="str">
        <f>VLOOKUP(RIGHT(E1575,3)+0,SchLocTable!$A$2:$B$47,2,FALSE)</f>
        <v>Classical Studies Academy</v>
      </c>
      <c r="B1575" s="207" t="str">
        <f>VLOOKUP(VALUE(D1575),$D$3:F$106,3,FALSE)</f>
        <v>Science</v>
      </c>
      <c r="C1575" s="751" t="s">
        <v>246</v>
      </c>
      <c r="D1575" s="751" t="s">
        <v>579</v>
      </c>
      <c r="E1575" s="751" t="s">
        <v>590</v>
      </c>
      <c r="F1575" s="751" t="s">
        <v>254</v>
      </c>
      <c r="G1575" s="752" t="s">
        <v>1681</v>
      </c>
      <c r="H1575" s="753">
        <v>52360</v>
      </c>
      <c r="I1575" s="754">
        <v>0</v>
      </c>
      <c r="J1575" s="754">
        <v>0</v>
      </c>
      <c r="K1575" s="754">
        <v>0</v>
      </c>
      <c r="L1575" s="754">
        <v>0</v>
      </c>
      <c r="M1575" s="754">
        <f t="shared" si="73"/>
        <v>0</v>
      </c>
      <c r="N1575" s="756">
        <v>0</v>
      </c>
      <c r="O1575" s="720">
        <f t="shared" si="74"/>
        <v>0</v>
      </c>
    </row>
    <row r="1576" spans="1:15" outlineLevel="2" x14ac:dyDescent="0.25">
      <c r="A1576" s="207" t="str">
        <f>VLOOKUP(RIGHT(E1576,3)+0,SchLocTable!$A$2:$B$47,2,FALSE)</f>
        <v>Classical Studies Academy</v>
      </c>
      <c r="B1576" s="207" t="str">
        <f>VLOOKUP(VALUE(D1576),$D$3:F$106,3,FALSE)</f>
        <v>Science</v>
      </c>
      <c r="C1576" s="755" t="s">
        <v>246</v>
      </c>
      <c r="D1576" s="751" t="s">
        <v>579</v>
      </c>
      <c r="E1576" s="751" t="s">
        <v>590</v>
      </c>
      <c r="F1576" s="751" t="s">
        <v>292</v>
      </c>
      <c r="G1576" s="752" t="s">
        <v>1681</v>
      </c>
      <c r="H1576" s="753">
        <v>52385</v>
      </c>
      <c r="I1576" s="754">
        <v>0</v>
      </c>
      <c r="J1576" s="754">
        <v>0</v>
      </c>
      <c r="K1576" s="754">
        <v>0</v>
      </c>
      <c r="L1576" s="754">
        <v>0</v>
      </c>
      <c r="M1576" s="754">
        <f t="shared" si="73"/>
        <v>0</v>
      </c>
      <c r="N1576" s="756">
        <v>0</v>
      </c>
      <c r="O1576" s="720">
        <f t="shared" si="74"/>
        <v>0</v>
      </c>
    </row>
    <row r="1577" spans="1:15" outlineLevel="2" x14ac:dyDescent="0.25">
      <c r="A1577" s="207" t="str">
        <f>VLOOKUP(RIGHT(E1577,3)+0,SchLocTable!$A$2:$B$47,2,FALSE)</f>
        <v>Classical Studies Academy</v>
      </c>
      <c r="B1577" s="207" t="str">
        <f>VLOOKUP(VALUE(D1577),$D$3:F$106,3,FALSE)</f>
        <v>Science</v>
      </c>
      <c r="C1577" s="751" t="s">
        <v>246</v>
      </c>
      <c r="D1577" s="751" t="s">
        <v>579</v>
      </c>
      <c r="E1577" s="751" t="s">
        <v>590</v>
      </c>
      <c r="F1577" s="751" t="s">
        <v>259</v>
      </c>
      <c r="G1577" s="752" t="s">
        <v>1681</v>
      </c>
      <c r="H1577" s="753">
        <v>52917</v>
      </c>
      <c r="I1577" s="754">
        <v>0</v>
      </c>
      <c r="J1577" s="754">
        <v>0</v>
      </c>
      <c r="K1577" s="754">
        <v>0</v>
      </c>
      <c r="L1577" s="754">
        <v>0</v>
      </c>
      <c r="M1577" s="754">
        <f t="shared" si="73"/>
        <v>0</v>
      </c>
      <c r="N1577" s="756">
        <v>0</v>
      </c>
      <c r="O1577" s="720">
        <f t="shared" si="74"/>
        <v>0</v>
      </c>
    </row>
    <row r="1578" spans="1:15" outlineLevel="2" x14ac:dyDescent="0.25">
      <c r="A1578" s="207" t="str">
        <f>VLOOKUP(RIGHT(E1578,3)+0,SchLocTable!$A$2:$B$47,2,FALSE)</f>
        <v>Tisdale</v>
      </c>
      <c r="B1578" s="207" t="str">
        <f>VLOOKUP(VALUE(D1578),$D$3:F$106,3,FALSE)</f>
        <v>Science</v>
      </c>
      <c r="C1578" s="751" t="s">
        <v>246</v>
      </c>
      <c r="D1578" s="751" t="s">
        <v>579</v>
      </c>
      <c r="E1578" s="751" t="s">
        <v>591</v>
      </c>
      <c r="F1578" s="751" t="s">
        <v>248</v>
      </c>
      <c r="G1578" s="752">
        <v>1</v>
      </c>
      <c r="H1578" s="753">
        <v>51000</v>
      </c>
      <c r="I1578" s="754">
        <v>103153.2</v>
      </c>
      <c r="J1578" s="754">
        <v>0</v>
      </c>
      <c r="K1578" s="754">
        <v>0</v>
      </c>
      <c r="L1578" s="754">
        <v>19761.150000000001</v>
      </c>
      <c r="M1578" s="754">
        <f t="shared" si="73"/>
        <v>19761.150000000001</v>
      </c>
      <c r="N1578" s="756">
        <v>103153.2</v>
      </c>
      <c r="O1578" s="720">
        <f t="shared" si="74"/>
        <v>0</v>
      </c>
    </row>
    <row r="1579" spans="1:15" outlineLevel="2" x14ac:dyDescent="0.25">
      <c r="A1579" s="207" t="str">
        <f>VLOOKUP(RIGHT(E1579,3)+0,SchLocTable!$A$2:$B$47,2,FALSE)</f>
        <v>Tisdale</v>
      </c>
      <c r="B1579" s="207" t="str">
        <f>VLOOKUP(VALUE(D1579),$D$3:F$106,3,FALSE)</f>
        <v>Science</v>
      </c>
      <c r="C1579" s="751" t="s">
        <v>246</v>
      </c>
      <c r="D1579" s="751" t="s">
        <v>579</v>
      </c>
      <c r="E1579" s="751" t="s">
        <v>591</v>
      </c>
      <c r="F1579" s="751" t="s">
        <v>254</v>
      </c>
      <c r="G1579" s="752" t="s">
        <v>1681</v>
      </c>
      <c r="H1579" s="753">
        <v>52360</v>
      </c>
      <c r="I1579" s="754">
        <v>1460.07</v>
      </c>
      <c r="J1579" s="754">
        <v>0</v>
      </c>
      <c r="K1579" s="754">
        <v>0</v>
      </c>
      <c r="L1579" s="754">
        <v>250.89</v>
      </c>
      <c r="M1579" s="754">
        <f t="shared" si="73"/>
        <v>250.89</v>
      </c>
      <c r="N1579" s="756">
        <v>1460.07</v>
      </c>
      <c r="O1579" s="720">
        <f t="shared" si="74"/>
        <v>0</v>
      </c>
    </row>
    <row r="1580" spans="1:15" outlineLevel="2" x14ac:dyDescent="0.25">
      <c r="A1580" s="207" t="str">
        <f>VLOOKUP(RIGHT(E1580,3)+0,SchLocTable!$A$2:$B$47,2,FALSE)</f>
        <v>Tisdale</v>
      </c>
      <c r="B1580" s="207" t="str">
        <f>VLOOKUP(VALUE(D1580),$D$3:F$106,3,FALSE)</f>
        <v>Science</v>
      </c>
      <c r="C1580" s="755" t="s">
        <v>246</v>
      </c>
      <c r="D1580" s="751" t="s">
        <v>579</v>
      </c>
      <c r="E1580" s="751" t="s">
        <v>591</v>
      </c>
      <c r="F1580" s="751" t="s">
        <v>259</v>
      </c>
      <c r="G1580" s="752" t="s">
        <v>1681</v>
      </c>
      <c r="H1580" s="753">
        <v>52917</v>
      </c>
      <c r="I1580" s="754">
        <v>35075.879999999997</v>
      </c>
      <c r="J1580" s="754">
        <v>0</v>
      </c>
      <c r="K1580" s="754">
        <v>0</v>
      </c>
      <c r="L1580" s="754">
        <v>8351.4</v>
      </c>
      <c r="M1580" s="754">
        <f t="shared" si="73"/>
        <v>8351.4</v>
      </c>
      <c r="N1580" s="756">
        <v>35075.879999999997</v>
      </c>
      <c r="O1580" s="720">
        <f t="shared" si="74"/>
        <v>0</v>
      </c>
    </row>
    <row r="1581" spans="1:15" outlineLevel="1" x14ac:dyDescent="0.25">
      <c r="A1581" s="207" t="str">
        <f>VLOOKUP(RIGHT(E1581,3)+0,SchLocTable!$A$2:$B$47,2,FALSE)</f>
        <v>Read</v>
      </c>
      <c r="B1581" s="207" t="str">
        <f>VLOOKUP(VALUE(D1581),$D$3:F$106,3,FALSE)</f>
        <v>Science</v>
      </c>
      <c r="C1581" s="751" t="s">
        <v>246</v>
      </c>
      <c r="D1581" s="751" t="s">
        <v>579</v>
      </c>
      <c r="E1581" s="751" t="s">
        <v>592</v>
      </c>
      <c r="F1581" s="751" t="s">
        <v>248</v>
      </c>
      <c r="G1581" s="752">
        <v>2</v>
      </c>
      <c r="H1581" s="753">
        <v>51000</v>
      </c>
      <c r="I1581" s="754">
        <v>164333.69</v>
      </c>
      <c r="J1581" s="754">
        <v>0</v>
      </c>
      <c r="K1581" s="754">
        <v>0</v>
      </c>
      <c r="L1581" s="754">
        <v>31481.55</v>
      </c>
      <c r="M1581" s="754">
        <f t="shared" si="73"/>
        <v>31481.55</v>
      </c>
      <c r="N1581" s="756">
        <v>164333.69</v>
      </c>
      <c r="O1581" s="720">
        <f t="shared" si="74"/>
        <v>0</v>
      </c>
    </row>
    <row r="1582" spans="1:15" outlineLevel="2" x14ac:dyDescent="0.25">
      <c r="A1582" s="207" t="str">
        <f>VLOOKUP(RIGHT(E1582,3)+0,SchLocTable!$A$2:$B$47,2,FALSE)</f>
        <v>Read</v>
      </c>
      <c r="B1582" s="207" t="str">
        <f>VLOOKUP(VALUE(D1582),$D$3:F$106,3,FALSE)</f>
        <v>Science</v>
      </c>
      <c r="C1582" s="751" t="s">
        <v>246</v>
      </c>
      <c r="D1582" s="751" t="s">
        <v>579</v>
      </c>
      <c r="E1582" s="751" t="s">
        <v>592</v>
      </c>
      <c r="F1582" s="751" t="s">
        <v>257</v>
      </c>
      <c r="G1582" s="752" t="s">
        <v>1681</v>
      </c>
      <c r="H1582" s="753">
        <v>51140</v>
      </c>
      <c r="I1582" s="754">
        <v>900</v>
      </c>
      <c r="J1582" s="754">
        <v>0</v>
      </c>
      <c r="K1582" s="754">
        <v>0</v>
      </c>
      <c r="L1582" s="754">
        <v>0</v>
      </c>
      <c r="M1582" s="754">
        <f t="shared" si="73"/>
        <v>0</v>
      </c>
      <c r="N1582" s="756">
        <v>900</v>
      </c>
      <c r="O1582" s="720">
        <f t="shared" si="74"/>
        <v>0</v>
      </c>
    </row>
    <row r="1583" spans="1:15" outlineLevel="2" x14ac:dyDescent="0.25">
      <c r="A1583" s="207" t="str">
        <f>VLOOKUP(RIGHT(E1583,3)+0,SchLocTable!$A$2:$B$47,2,FALSE)</f>
        <v>Read</v>
      </c>
      <c r="B1583" s="207" t="str">
        <f>VLOOKUP(VALUE(D1583),$D$3:F$106,3,FALSE)</f>
        <v>Science</v>
      </c>
      <c r="C1583" s="751" t="s">
        <v>246</v>
      </c>
      <c r="D1583" s="751" t="s">
        <v>579</v>
      </c>
      <c r="E1583" s="751" t="s">
        <v>592</v>
      </c>
      <c r="F1583" s="751" t="s">
        <v>254</v>
      </c>
      <c r="G1583" s="752" t="s">
        <v>1681</v>
      </c>
      <c r="H1583" s="753">
        <v>52360</v>
      </c>
      <c r="I1583" s="754">
        <v>2341.79</v>
      </c>
      <c r="J1583" s="754">
        <v>0</v>
      </c>
      <c r="K1583" s="754">
        <v>0</v>
      </c>
      <c r="L1583" s="754">
        <v>415.43</v>
      </c>
      <c r="M1583" s="754">
        <f t="shared" si="73"/>
        <v>415.43</v>
      </c>
      <c r="N1583" s="756">
        <v>2341.79</v>
      </c>
      <c r="O1583" s="720">
        <f t="shared" si="74"/>
        <v>0</v>
      </c>
    </row>
    <row r="1584" spans="1:15" outlineLevel="2" x14ac:dyDescent="0.25">
      <c r="A1584" s="207" t="str">
        <f>VLOOKUP(RIGHT(E1584,3)+0,SchLocTable!$A$2:$B$47,2,FALSE)</f>
        <v>Read</v>
      </c>
      <c r="B1584" s="207" t="str">
        <f>VLOOKUP(VALUE(D1584),$D$3:F$106,3,FALSE)</f>
        <v>Science</v>
      </c>
      <c r="C1584" s="751" t="s">
        <v>246</v>
      </c>
      <c r="D1584" s="751" t="s">
        <v>579</v>
      </c>
      <c r="E1584" s="751" t="s">
        <v>592</v>
      </c>
      <c r="F1584" s="751" t="s">
        <v>259</v>
      </c>
      <c r="G1584" s="752" t="s">
        <v>1681</v>
      </c>
      <c r="H1584" s="753">
        <v>52917</v>
      </c>
      <c r="I1584" s="754">
        <v>40322.1</v>
      </c>
      <c r="J1584" s="754">
        <v>0</v>
      </c>
      <c r="K1584" s="754">
        <v>0</v>
      </c>
      <c r="L1584" s="754">
        <v>9600.5</v>
      </c>
      <c r="M1584" s="754">
        <f t="shared" si="73"/>
        <v>9600.5</v>
      </c>
      <c r="N1584" s="756">
        <v>40322.1</v>
      </c>
      <c r="O1584" s="720">
        <f t="shared" si="74"/>
        <v>0</v>
      </c>
    </row>
    <row r="1585" spans="1:15" outlineLevel="2" x14ac:dyDescent="0.25">
      <c r="A1585" s="207" t="str">
        <f>VLOOKUP(RIGHT(E1585,3)+0,SchLocTable!$A$2:$B$47,2,FALSE)</f>
        <v>Roosevelt</v>
      </c>
      <c r="B1585" s="207" t="str">
        <f>VLOOKUP(VALUE(D1585),$D$3:F$106,3,FALSE)</f>
        <v>Science</v>
      </c>
      <c r="C1585" s="751" t="s">
        <v>246</v>
      </c>
      <c r="D1585" s="751" t="s">
        <v>579</v>
      </c>
      <c r="E1585" s="751" t="s">
        <v>2000</v>
      </c>
      <c r="F1585" s="751" t="s">
        <v>248</v>
      </c>
      <c r="G1585" s="752" t="s">
        <v>1681</v>
      </c>
      <c r="H1585" s="753">
        <v>51000</v>
      </c>
      <c r="I1585" s="754">
        <v>49225</v>
      </c>
      <c r="J1585" s="754">
        <v>0</v>
      </c>
      <c r="K1585" s="754">
        <v>0</v>
      </c>
      <c r="L1585" s="754">
        <v>8500</v>
      </c>
      <c r="M1585" s="754">
        <f t="shared" si="73"/>
        <v>8500</v>
      </c>
      <c r="N1585" s="756">
        <v>49225</v>
      </c>
      <c r="O1585" s="720">
        <f t="shared" si="74"/>
        <v>0</v>
      </c>
    </row>
    <row r="1586" spans="1:15" outlineLevel="2" x14ac:dyDescent="0.25">
      <c r="A1586" s="207" t="str">
        <f>VLOOKUP(RIGHT(E1586,3)+0,SchLocTable!$A$2:$B$47,2,FALSE)</f>
        <v>Roosevelt</v>
      </c>
      <c r="B1586" s="207" t="str">
        <f>VLOOKUP(VALUE(D1586),$D$3:F$106,3,FALSE)</f>
        <v>Science</v>
      </c>
      <c r="C1586" s="751" t="s">
        <v>246</v>
      </c>
      <c r="D1586" s="751" t="s">
        <v>579</v>
      </c>
      <c r="E1586" s="751" t="s">
        <v>2000</v>
      </c>
      <c r="F1586" s="751" t="s">
        <v>254</v>
      </c>
      <c r="G1586" s="752" t="s">
        <v>1681</v>
      </c>
      <c r="H1586" s="753">
        <v>52360</v>
      </c>
      <c r="I1586" s="754">
        <v>690.32</v>
      </c>
      <c r="J1586" s="754">
        <v>0</v>
      </c>
      <c r="K1586" s="754">
        <v>0</v>
      </c>
      <c r="L1586" s="754">
        <v>99.81</v>
      </c>
      <c r="M1586" s="754">
        <f t="shared" si="73"/>
        <v>99.81</v>
      </c>
      <c r="N1586" s="756">
        <v>690.32</v>
      </c>
      <c r="O1586" s="720">
        <f t="shared" si="74"/>
        <v>0</v>
      </c>
    </row>
    <row r="1587" spans="1:15" outlineLevel="2" x14ac:dyDescent="0.25">
      <c r="A1587" s="207" t="str">
        <f>VLOOKUP(RIGHT(E1587,3)+0,SchLocTable!$A$2:$B$47,2,FALSE)</f>
        <v>Roosevelt</v>
      </c>
      <c r="B1587" s="207" t="str">
        <f>VLOOKUP(VALUE(D1587),$D$3:F$106,3,FALSE)</f>
        <v>Science</v>
      </c>
      <c r="C1587" s="751" t="s">
        <v>246</v>
      </c>
      <c r="D1587" s="751" t="s">
        <v>579</v>
      </c>
      <c r="E1587" s="751" t="s">
        <v>2000</v>
      </c>
      <c r="F1587" s="751" t="s">
        <v>292</v>
      </c>
      <c r="G1587" s="752" t="s">
        <v>1681</v>
      </c>
      <c r="H1587" s="753">
        <v>52385</v>
      </c>
      <c r="I1587" s="754">
        <v>2498.34</v>
      </c>
      <c r="J1587" s="754">
        <v>0</v>
      </c>
      <c r="K1587" s="754">
        <v>0</v>
      </c>
      <c r="L1587" s="754">
        <v>426.79</v>
      </c>
      <c r="M1587" s="754">
        <f t="shared" si="73"/>
        <v>426.79</v>
      </c>
      <c r="N1587" s="756">
        <v>2498.34</v>
      </c>
      <c r="O1587" s="720">
        <f t="shared" si="74"/>
        <v>0</v>
      </c>
    </row>
    <row r="1588" spans="1:15" outlineLevel="2" x14ac:dyDescent="0.25">
      <c r="A1588" s="207" t="str">
        <f>VLOOKUP(RIGHT(E1588,3)+0,SchLocTable!$A$2:$B$47,2,FALSE)</f>
        <v>Roosevelt</v>
      </c>
      <c r="B1588" s="207" t="str">
        <f>VLOOKUP(VALUE(D1588),$D$3:F$106,3,FALSE)</f>
        <v>Science</v>
      </c>
      <c r="C1588" s="751" t="s">
        <v>246</v>
      </c>
      <c r="D1588" s="751" t="s">
        <v>579</v>
      </c>
      <c r="E1588" s="751" t="s">
        <v>2000</v>
      </c>
      <c r="F1588" s="751" t="s">
        <v>259</v>
      </c>
      <c r="G1588" s="752" t="s">
        <v>1681</v>
      </c>
      <c r="H1588" s="753">
        <v>52917</v>
      </c>
      <c r="I1588" s="754">
        <v>30432.14</v>
      </c>
      <c r="J1588" s="754">
        <v>0</v>
      </c>
      <c r="K1588" s="754">
        <v>0</v>
      </c>
      <c r="L1588" s="754">
        <v>5508.08</v>
      </c>
      <c r="M1588" s="754">
        <f t="shared" si="73"/>
        <v>5508.08</v>
      </c>
      <c r="N1588" s="756">
        <v>30432.14</v>
      </c>
      <c r="O1588" s="720">
        <f t="shared" si="74"/>
        <v>0</v>
      </c>
    </row>
    <row r="1589" spans="1:15" outlineLevel="2" x14ac:dyDescent="0.25">
      <c r="A1589" s="207" t="str">
        <f>VLOOKUP(RIGHT(E1589,3)+0,SchLocTable!$A$2:$B$47,2,FALSE)</f>
        <v>Waltersville</v>
      </c>
      <c r="B1589" s="207" t="str">
        <f>VLOOKUP(VALUE(D1589),$D$3:F$106,3,FALSE)</f>
        <v>Science</v>
      </c>
      <c r="C1589" s="751" t="s">
        <v>246</v>
      </c>
      <c r="D1589" s="751" t="s">
        <v>579</v>
      </c>
      <c r="E1589" s="751" t="s">
        <v>593</v>
      </c>
      <c r="F1589" s="751" t="s">
        <v>248</v>
      </c>
      <c r="G1589" s="752" t="s">
        <v>1681</v>
      </c>
      <c r="H1589" s="753">
        <v>51000</v>
      </c>
      <c r="I1589" s="754">
        <v>7900.74</v>
      </c>
      <c r="J1589" s="754">
        <v>0</v>
      </c>
      <c r="K1589" s="754">
        <v>0</v>
      </c>
      <c r="L1589" s="754">
        <v>7900.74</v>
      </c>
      <c r="M1589" s="754">
        <f t="shared" si="73"/>
        <v>7900.74</v>
      </c>
      <c r="N1589" s="756">
        <v>7900.74</v>
      </c>
      <c r="O1589" s="720">
        <f t="shared" si="74"/>
        <v>0</v>
      </c>
    </row>
    <row r="1590" spans="1:15" outlineLevel="2" x14ac:dyDescent="0.25">
      <c r="A1590" s="207" t="str">
        <f>VLOOKUP(RIGHT(E1590,3)+0,SchLocTable!$A$2:$B$47,2,FALSE)</f>
        <v>Waltersville</v>
      </c>
      <c r="B1590" s="207" t="str">
        <f>VLOOKUP(VALUE(D1590),$D$3:F$106,3,FALSE)</f>
        <v>Science</v>
      </c>
      <c r="C1590" s="751" t="s">
        <v>246</v>
      </c>
      <c r="D1590" s="751" t="s">
        <v>579</v>
      </c>
      <c r="E1590" s="751" t="s">
        <v>593</v>
      </c>
      <c r="F1590" s="751" t="s">
        <v>254</v>
      </c>
      <c r="G1590" s="752" t="s">
        <v>1681</v>
      </c>
      <c r="H1590" s="753">
        <v>52360</v>
      </c>
      <c r="I1590" s="754">
        <v>114.56</v>
      </c>
      <c r="J1590" s="754">
        <v>0</v>
      </c>
      <c r="K1590" s="754">
        <v>0</v>
      </c>
      <c r="L1590" s="754">
        <v>114.56</v>
      </c>
      <c r="M1590" s="754">
        <f t="shared" si="73"/>
        <v>114.56</v>
      </c>
      <c r="N1590" s="756">
        <v>114.56</v>
      </c>
      <c r="O1590" s="720">
        <f t="shared" si="74"/>
        <v>0</v>
      </c>
    </row>
    <row r="1591" spans="1:15" outlineLevel="2" x14ac:dyDescent="0.25">
      <c r="A1591" s="207" t="str">
        <f>VLOOKUP(RIGHT(E1591,3)+0,SchLocTable!$A$2:$B$47,2,FALSE)</f>
        <v>Waltersville</v>
      </c>
      <c r="B1591" s="207" t="str">
        <f>VLOOKUP(VALUE(D1591),$D$3:F$106,3,FALSE)</f>
        <v>Science</v>
      </c>
      <c r="C1591" s="751" t="s">
        <v>246</v>
      </c>
      <c r="D1591" s="751" t="s">
        <v>579</v>
      </c>
      <c r="E1591" s="751" t="s">
        <v>593</v>
      </c>
      <c r="F1591" s="751" t="s">
        <v>292</v>
      </c>
      <c r="G1591" s="752" t="s">
        <v>1681</v>
      </c>
      <c r="H1591" s="753">
        <v>52385</v>
      </c>
      <c r="I1591" s="754">
        <v>0</v>
      </c>
      <c r="J1591" s="754">
        <v>0</v>
      </c>
      <c r="K1591" s="754">
        <v>0</v>
      </c>
      <c r="L1591" s="754">
        <v>0</v>
      </c>
      <c r="M1591" s="754">
        <f t="shared" si="73"/>
        <v>0</v>
      </c>
      <c r="N1591" s="756">
        <v>0</v>
      </c>
      <c r="O1591" s="720">
        <f t="shared" si="74"/>
        <v>0</v>
      </c>
    </row>
    <row r="1592" spans="1:15" outlineLevel="2" x14ac:dyDescent="0.25">
      <c r="A1592" s="207" t="str">
        <f>VLOOKUP(RIGHT(E1592,3)+0,SchLocTable!$A$2:$B$47,2,FALSE)</f>
        <v>Waltersville</v>
      </c>
      <c r="B1592" s="207" t="str">
        <f>VLOOKUP(VALUE(D1592),$D$3:F$106,3,FALSE)</f>
        <v>Science</v>
      </c>
      <c r="C1592" s="755" t="s">
        <v>246</v>
      </c>
      <c r="D1592" s="751" t="s">
        <v>579</v>
      </c>
      <c r="E1592" s="751" t="s">
        <v>593</v>
      </c>
      <c r="F1592" s="751" t="s">
        <v>259</v>
      </c>
      <c r="G1592" s="752" t="s">
        <v>1681</v>
      </c>
      <c r="H1592" s="753">
        <v>52917</v>
      </c>
      <c r="I1592" s="754">
        <v>0</v>
      </c>
      <c r="J1592" s="754">
        <v>0</v>
      </c>
      <c r="K1592" s="754">
        <v>0</v>
      </c>
      <c r="L1592" s="754">
        <v>0</v>
      </c>
      <c r="M1592" s="754">
        <f t="shared" si="73"/>
        <v>0</v>
      </c>
      <c r="N1592" s="756">
        <v>0</v>
      </c>
      <c r="O1592" s="720">
        <f t="shared" si="74"/>
        <v>0</v>
      </c>
    </row>
    <row r="1593" spans="1:15" outlineLevel="2" x14ac:dyDescent="0.25">
      <c r="A1593" s="207" t="str">
        <f>VLOOKUP(RIGHT(E1593,3)+0,SchLocTable!$A$2:$B$47,2,FALSE)</f>
        <v>Claytor</v>
      </c>
      <c r="B1593" s="207" t="str">
        <f>VLOOKUP(VALUE(D1593),$D$3:F$106,3,FALSE)</f>
        <v>Science</v>
      </c>
      <c r="C1593" s="751" t="s">
        <v>246</v>
      </c>
      <c r="D1593" s="751" t="s">
        <v>579</v>
      </c>
      <c r="E1593" s="751" t="s">
        <v>594</v>
      </c>
      <c r="F1593" s="751" t="s">
        <v>248</v>
      </c>
      <c r="G1593" s="752">
        <v>1</v>
      </c>
      <c r="H1593" s="753">
        <v>51000</v>
      </c>
      <c r="I1593" s="754">
        <v>49225</v>
      </c>
      <c r="J1593" s="754">
        <v>0</v>
      </c>
      <c r="K1593" s="754">
        <v>0</v>
      </c>
      <c r="L1593" s="754">
        <v>8500</v>
      </c>
      <c r="M1593" s="754">
        <f t="shared" si="73"/>
        <v>8500</v>
      </c>
      <c r="N1593" s="756">
        <v>49225</v>
      </c>
      <c r="O1593" s="720">
        <f t="shared" si="74"/>
        <v>0</v>
      </c>
    </row>
    <row r="1594" spans="1:15" outlineLevel="2" x14ac:dyDescent="0.25">
      <c r="A1594" s="207" t="str">
        <f>VLOOKUP(RIGHT(E1594,3)+0,SchLocTable!$A$2:$B$47,2,FALSE)</f>
        <v>Claytor</v>
      </c>
      <c r="B1594" s="207" t="str">
        <f>VLOOKUP(VALUE(D1594),$D$3:F$106,3,FALSE)</f>
        <v>Science</v>
      </c>
      <c r="C1594" s="751" t="s">
        <v>246</v>
      </c>
      <c r="D1594" s="751" t="s">
        <v>579</v>
      </c>
      <c r="E1594" s="751" t="s">
        <v>594</v>
      </c>
      <c r="F1594" s="751" t="s">
        <v>254</v>
      </c>
      <c r="G1594" s="752" t="s">
        <v>1681</v>
      </c>
      <c r="H1594" s="753">
        <v>52360</v>
      </c>
      <c r="I1594" s="754">
        <v>705.35</v>
      </c>
      <c r="J1594" s="754">
        <v>0</v>
      </c>
      <c r="K1594" s="754">
        <v>0</v>
      </c>
      <c r="L1594" s="754">
        <v>114.84</v>
      </c>
      <c r="M1594" s="754">
        <f t="shared" si="73"/>
        <v>114.84</v>
      </c>
      <c r="N1594" s="756">
        <v>705.35</v>
      </c>
      <c r="O1594" s="720">
        <f t="shared" si="74"/>
        <v>0</v>
      </c>
    </row>
    <row r="1595" spans="1:15" outlineLevel="2" x14ac:dyDescent="0.25">
      <c r="A1595" s="207" t="str">
        <f>VLOOKUP(RIGHT(E1595,3)+0,SchLocTable!$A$2:$B$47,2,FALSE)</f>
        <v>Claytor</v>
      </c>
      <c r="B1595" s="207" t="str">
        <f>VLOOKUP(VALUE(D1595),$D$3:F$106,3,FALSE)</f>
        <v>Science</v>
      </c>
      <c r="C1595" s="751" t="s">
        <v>246</v>
      </c>
      <c r="D1595" s="751" t="s">
        <v>579</v>
      </c>
      <c r="E1595" s="751" t="s">
        <v>594</v>
      </c>
      <c r="F1595" s="751" t="s">
        <v>292</v>
      </c>
      <c r="G1595" s="752" t="s">
        <v>1681</v>
      </c>
      <c r="H1595" s="753">
        <v>52385</v>
      </c>
      <c r="I1595" s="754">
        <v>2853.28</v>
      </c>
      <c r="J1595" s="754">
        <v>0</v>
      </c>
      <c r="K1595" s="754">
        <v>0</v>
      </c>
      <c r="L1595" s="754">
        <v>491.05</v>
      </c>
      <c r="M1595" s="754">
        <f t="shared" si="73"/>
        <v>491.05</v>
      </c>
      <c r="N1595" s="756">
        <v>2853.28</v>
      </c>
      <c r="O1595" s="720">
        <f t="shared" si="74"/>
        <v>0</v>
      </c>
    </row>
    <row r="1596" spans="1:15" outlineLevel="2" x14ac:dyDescent="0.25">
      <c r="A1596" s="207" t="str">
        <f>VLOOKUP(RIGHT(E1596,3)+0,SchLocTable!$A$2:$B$47,2,FALSE)</f>
        <v>Claytor</v>
      </c>
      <c r="B1596" s="207" t="str">
        <f>VLOOKUP(VALUE(D1596),$D$3:F$106,3,FALSE)</f>
        <v>Science</v>
      </c>
      <c r="C1596" s="751" t="s">
        <v>246</v>
      </c>
      <c r="D1596" s="751" t="s">
        <v>579</v>
      </c>
      <c r="E1596" s="751" t="s">
        <v>594</v>
      </c>
      <c r="F1596" s="751" t="s">
        <v>259</v>
      </c>
      <c r="G1596" s="752" t="s">
        <v>1681</v>
      </c>
      <c r="H1596" s="753">
        <v>52917</v>
      </c>
      <c r="I1596" s="754">
        <v>11526.26</v>
      </c>
      <c r="J1596" s="754">
        <v>0</v>
      </c>
      <c r="K1596" s="754">
        <v>0</v>
      </c>
      <c r="L1596" s="754">
        <v>2086.1999999999998</v>
      </c>
      <c r="M1596" s="754">
        <f t="shared" si="73"/>
        <v>2086.1999999999998</v>
      </c>
      <c r="N1596" s="756">
        <v>11526.26</v>
      </c>
      <c r="O1596" s="720">
        <f t="shared" si="74"/>
        <v>0</v>
      </c>
    </row>
    <row r="1597" spans="1:15" outlineLevel="2" x14ac:dyDescent="0.25">
      <c r="A1597" s="207" t="str">
        <f>VLOOKUP(RIGHT(E1597,3)+0,SchLocTable!$A$2:$B$47,2,FALSE)</f>
        <v>Johnson</v>
      </c>
      <c r="B1597" s="207" t="str">
        <f>VLOOKUP(VALUE(D1597),$D$3:F$106,3,FALSE)</f>
        <v>Science</v>
      </c>
      <c r="C1597" s="751" t="s">
        <v>246</v>
      </c>
      <c r="D1597" s="751" t="s">
        <v>579</v>
      </c>
      <c r="E1597" s="751" t="s">
        <v>595</v>
      </c>
      <c r="F1597" s="751" t="s">
        <v>248</v>
      </c>
      <c r="G1597" s="752">
        <v>2</v>
      </c>
      <c r="H1597" s="753">
        <v>51000</v>
      </c>
      <c r="I1597" s="754">
        <v>131442.23000000001</v>
      </c>
      <c r="J1597" s="754">
        <v>0</v>
      </c>
      <c r="K1597" s="754">
        <v>0</v>
      </c>
      <c r="L1597" s="754">
        <v>23356.75</v>
      </c>
      <c r="M1597" s="754">
        <f t="shared" si="73"/>
        <v>23356.75</v>
      </c>
      <c r="N1597" s="756">
        <v>131442.23000000001</v>
      </c>
      <c r="O1597" s="720">
        <f t="shared" si="74"/>
        <v>0</v>
      </c>
    </row>
    <row r="1598" spans="1:15" outlineLevel="2" x14ac:dyDescent="0.25">
      <c r="A1598" s="207" t="str">
        <f>VLOOKUP(RIGHT(E1598,3)+0,SchLocTable!$A$2:$B$47,2,FALSE)</f>
        <v>Johnson</v>
      </c>
      <c r="B1598" s="207" t="str">
        <f>VLOOKUP(VALUE(D1598),$D$3:F$106,3,FALSE)</f>
        <v>Science</v>
      </c>
      <c r="C1598" s="751" t="s">
        <v>246</v>
      </c>
      <c r="D1598" s="751" t="s">
        <v>579</v>
      </c>
      <c r="E1598" s="751" t="s">
        <v>595</v>
      </c>
      <c r="F1598" s="751" t="s">
        <v>254</v>
      </c>
      <c r="G1598" s="752" t="s">
        <v>1681</v>
      </c>
      <c r="H1598" s="753">
        <v>52360</v>
      </c>
      <c r="I1598" s="754">
        <v>1896.26</v>
      </c>
      <c r="J1598" s="754">
        <v>0</v>
      </c>
      <c r="K1598" s="754">
        <v>0</v>
      </c>
      <c r="L1598" s="754">
        <v>329.02</v>
      </c>
      <c r="M1598" s="754">
        <f t="shared" si="73"/>
        <v>329.02</v>
      </c>
      <c r="N1598" s="756">
        <v>1896.26</v>
      </c>
      <c r="O1598" s="720">
        <f t="shared" si="74"/>
        <v>0</v>
      </c>
    </row>
    <row r="1599" spans="1:15" outlineLevel="1" x14ac:dyDescent="0.25">
      <c r="A1599" s="207" t="str">
        <f>VLOOKUP(RIGHT(E1599,3)+0,SchLocTable!$A$2:$B$47,2,FALSE)</f>
        <v>Johnson</v>
      </c>
      <c r="B1599" s="207" t="str">
        <f>VLOOKUP(VALUE(D1599),$D$3:F$106,3,FALSE)</f>
        <v>Science</v>
      </c>
      <c r="C1599" s="751" t="s">
        <v>246</v>
      </c>
      <c r="D1599" s="751" t="s">
        <v>579</v>
      </c>
      <c r="E1599" s="751" t="s">
        <v>595</v>
      </c>
      <c r="F1599" s="751" t="s">
        <v>292</v>
      </c>
      <c r="G1599" s="752" t="s">
        <v>1681</v>
      </c>
      <c r="H1599" s="753">
        <v>52385</v>
      </c>
      <c r="I1599" s="754">
        <v>2289.35</v>
      </c>
      <c r="J1599" s="754">
        <v>0</v>
      </c>
      <c r="K1599" s="754">
        <v>0</v>
      </c>
      <c r="L1599" s="754">
        <v>325.5</v>
      </c>
      <c r="M1599" s="754">
        <f t="shared" ref="M1599:M1662" si="75">SUM(J1599:L1599)</f>
        <v>325.5</v>
      </c>
      <c r="N1599" s="756">
        <v>2289.35</v>
      </c>
      <c r="O1599" s="720">
        <f t="shared" ref="O1599:O1662" si="76">I1599-N1599</f>
        <v>0</v>
      </c>
    </row>
    <row r="1600" spans="1:15" outlineLevel="2" x14ac:dyDescent="0.25">
      <c r="A1600" s="207" t="str">
        <f>VLOOKUP(RIGHT(E1600,3)+0,SchLocTable!$A$2:$B$47,2,FALSE)</f>
        <v>Johnson</v>
      </c>
      <c r="B1600" s="207" t="str">
        <f>VLOOKUP(VALUE(D1600),$D$3:F$106,3,FALSE)</f>
        <v>Science</v>
      </c>
      <c r="C1600" s="751" t="s">
        <v>246</v>
      </c>
      <c r="D1600" s="751" t="s">
        <v>579</v>
      </c>
      <c r="E1600" s="751" t="s">
        <v>595</v>
      </c>
      <c r="F1600" s="751" t="s">
        <v>259</v>
      </c>
      <c r="G1600" s="752" t="s">
        <v>1681</v>
      </c>
      <c r="H1600" s="753">
        <v>52917</v>
      </c>
      <c r="I1600" s="754">
        <v>878.64</v>
      </c>
      <c r="J1600" s="754">
        <v>0</v>
      </c>
      <c r="K1600" s="754">
        <v>0</v>
      </c>
      <c r="L1600" s="754">
        <v>209.2</v>
      </c>
      <c r="M1600" s="754">
        <f t="shared" si="75"/>
        <v>209.2</v>
      </c>
      <c r="N1600" s="756">
        <v>878.64</v>
      </c>
      <c r="O1600" s="720">
        <f t="shared" si="76"/>
        <v>0</v>
      </c>
    </row>
    <row r="1601" spans="1:15" outlineLevel="2" x14ac:dyDescent="0.25">
      <c r="A1601" s="207" t="str">
        <f>VLOOKUP(RIGHT(E1601,3)+0,SchLocTable!$A$2:$B$47,2,FALSE)</f>
        <v>Winthrop</v>
      </c>
      <c r="B1601" s="207" t="str">
        <f>VLOOKUP(VALUE(D1601),$D$3:F$106,3,FALSE)</f>
        <v>Science</v>
      </c>
      <c r="C1601" s="751" t="s">
        <v>246</v>
      </c>
      <c r="D1601" s="751" t="s">
        <v>579</v>
      </c>
      <c r="E1601" s="751" t="s">
        <v>596</v>
      </c>
      <c r="F1601" s="751" t="s">
        <v>248</v>
      </c>
      <c r="G1601" s="752">
        <v>2</v>
      </c>
      <c r="H1601" s="753">
        <v>51000</v>
      </c>
      <c r="I1601" s="754">
        <v>139817.70000000001</v>
      </c>
      <c r="J1601" s="754">
        <v>0</v>
      </c>
      <c r="K1601" s="754">
        <v>0</v>
      </c>
      <c r="L1601" s="754">
        <v>26785</v>
      </c>
      <c r="M1601" s="754">
        <f t="shared" si="75"/>
        <v>26785</v>
      </c>
      <c r="N1601" s="756">
        <v>139817.70000000001</v>
      </c>
      <c r="O1601" s="720">
        <f t="shared" si="76"/>
        <v>0</v>
      </c>
    </row>
    <row r="1602" spans="1:15" outlineLevel="2" x14ac:dyDescent="0.25">
      <c r="A1602" s="207" t="str">
        <f>VLOOKUP(RIGHT(E1602,3)+0,SchLocTable!$A$2:$B$47,2,FALSE)</f>
        <v>Winthrop</v>
      </c>
      <c r="B1602" s="207" t="str">
        <f>VLOOKUP(VALUE(D1602),$D$3:F$106,3,FALSE)</f>
        <v>Science</v>
      </c>
      <c r="C1602" s="755" t="s">
        <v>246</v>
      </c>
      <c r="D1602" s="751" t="s">
        <v>579</v>
      </c>
      <c r="E1602" s="751" t="s">
        <v>596</v>
      </c>
      <c r="F1602" s="751" t="s">
        <v>257</v>
      </c>
      <c r="G1602" s="752" t="s">
        <v>1681</v>
      </c>
      <c r="H1602" s="753">
        <v>51140</v>
      </c>
      <c r="I1602" s="754">
        <v>0</v>
      </c>
      <c r="J1602" s="754">
        <v>0</v>
      </c>
      <c r="K1602" s="754">
        <v>0</v>
      </c>
      <c r="L1602" s="754">
        <v>0</v>
      </c>
      <c r="M1602" s="754">
        <f t="shared" si="75"/>
        <v>0</v>
      </c>
      <c r="N1602" s="756">
        <v>0</v>
      </c>
      <c r="O1602" s="720">
        <f t="shared" si="76"/>
        <v>0</v>
      </c>
    </row>
    <row r="1603" spans="1:15" outlineLevel="2" x14ac:dyDescent="0.25">
      <c r="A1603" s="207" t="str">
        <f>VLOOKUP(RIGHT(E1603,3)+0,SchLocTable!$A$2:$B$47,2,FALSE)</f>
        <v>Winthrop</v>
      </c>
      <c r="B1603" s="207" t="str">
        <f>VLOOKUP(VALUE(D1603),$D$3:F$106,3,FALSE)</f>
        <v>Science</v>
      </c>
      <c r="C1603" s="751" t="s">
        <v>246</v>
      </c>
      <c r="D1603" s="751" t="s">
        <v>579</v>
      </c>
      <c r="E1603" s="751" t="s">
        <v>596</v>
      </c>
      <c r="F1603" s="751" t="s">
        <v>254</v>
      </c>
      <c r="G1603" s="752" t="s">
        <v>1681</v>
      </c>
      <c r="H1603" s="753">
        <v>52360</v>
      </c>
      <c r="I1603" s="754">
        <v>1991.7</v>
      </c>
      <c r="J1603" s="754">
        <v>0</v>
      </c>
      <c r="K1603" s="754">
        <v>0</v>
      </c>
      <c r="L1603" s="754">
        <v>352.73</v>
      </c>
      <c r="M1603" s="754">
        <f t="shared" si="75"/>
        <v>352.73</v>
      </c>
      <c r="N1603" s="756">
        <v>1991.7</v>
      </c>
      <c r="O1603" s="720">
        <f t="shared" si="76"/>
        <v>0</v>
      </c>
    </row>
    <row r="1604" spans="1:15" outlineLevel="2" x14ac:dyDescent="0.25">
      <c r="A1604" s="207" t="str">
        <f>VLOOKUP(RIGHT(E1604,3)+0,SchLocTable!$A$2:$B$47,2,FALSE)</f>
        <v>Winthrop</v>
      </c>
      <c r="B1604" s="207" t="str">
        <f>VLOOKUP(VALUE(D1604),$D$3:F$106,3,FALSE)</f>
        <v>Science</v>
      </c>
      <c r="C1604" s="751" t="s">
        <v>246</v>
      </c>
      <c r="D1604" s="751" t="s">
        <v>579</v>
      </c>
      <c r="E1604" s="751" t="s">
        <v>596</v>
      </c>
      <c r="F1604" s="751" t="s">
        <v>806</v>
      </c>
      <c r="G1604" s="752" t="s">
        <v>1681</v>
      </c>
      <c r="H1604" s="753">
        <v>52397</v>
      </c>
      <c r="I1604" s="754">
        <v>0</v>
      </c>
      <c r="J1604" s="754">
        <v>0</v>
      </c>
      <c r="K1604" s="754">
        <v>0</v>
      </c>
      <c r="L1604" s="754">
        <v>0</v>
      </c>
      <c r="M1604" s="754">
        <f t="shared" si="75"/>
        <v>0</v>
      </c>
      <c r="N1604" s="756">
        <v>0</v>
      </c>
      <c r="O1604" s="720">
        <f t="shared" si="76"/>
        <v>0</v>
      </c>
    </row>
    <row r="1605" spans="1:15" outlineLevel="2" x14ac:dyDescent="0.25">
      <c r="A1605" s="207" t="str">
        <f>VLOOKUP(RIGHT(E1605,3)+0,SchLocTable!$A$2:$B$47,2,FALSE)</f>
        <v>Winthrop</v>
      </c>
      <c r="B1605" s="207" t="str">
        <f>VLOOKUP(VALUE(D1605),$D$3:F$106,3,FALSE)</f>
        <v>Science</v>
      </c>
      <c r="C1605" s="751" t="s">
        <v>246</v>
      </c>
      <c r="D1605" s="751" t="s">
        <v>579</v>
      </c>
      <c r="E1605" s="751" t="s">
        <v>596</v>
      </c>
      <c r="F1605" s="751" t="s">
        <v>259</v>
      </c>
      <c r="G1605" s="752" t="s">
        <v>1681</v>
      </c>
      <c r="H1605" s="753">
        <v>52917</v>
      </c>
      <c r="I1605" s="754">
        <v>35075.879999999997</v>
      </c>
      <c r="J1605" s="754">
        <v>0</v>
      </c>
      <c r="K1605" s="754">
        <v>0</v>
      </c>
      <c r="L1605" s="754">
        <v>8351.4</v>
      </c>
      <c r="M1605" s="754">
        <f t="shared" si="75"/>
        <v>8351.4</v>
      </c>
      <c r="N1605" s="756">
        <v>35075.879999999997</v>
      </c>
      <c r="O1605" s="720">
        <f t="shared" si="76"/>
        <v>0</v>
      </c>
    </row>
    <row r="1606" spans="1:15" outlineLevel="1" x14ac:dyDescent="0.25">
      <c r="A1606" s="207" t="str">
        <f>VLOOKUP(RIGHT(E1606,3)+0,SchLocTable!$A$2:$B$47,2,FALSE)</f>
        <v>Discovery</v>
      </c>
      <c r="B1606" s="207" t="str">
        <f>VLOOKUP(VALUE(D1606),$D$3:F$106,3,FALSE)</f>
        <v>Science</v>
      </c>
      <c r="C1606" s="751" t="s">
        <v>246</v>
      </c>
      <c r="D1606" s="751" t="s">
        <v>579</v>
      </c>
      <c r="E1606" s="751" t="s">
        <v>597</v>
      </c>
      <c r="F1606" s="751" t="s">
        <v>248</v>
      </c>
      <c r="G1606" s="752">
        <v>1</v>
      </c>
      <c r="H1606" s="753">
        <v>51000</v>
      </c>
      <c r="I1606" s="754">
        <v>78101.119999999995</v>
      </c>
      <c r="J1606" s="754">
        <v>0</v>
      </c>
      <c r="K1606" s="754">
        <v>0</v>
      </c>
      <c r="L1606" s="754">
        <v>14961.9</v>
      </c>
      <c r="M1606" s="754">
        <f t="shared" si="75"/>
        <v>14961.9</v>
      </c>
      <c r="N1606" s="756">
        <v>78101.119999999995</v>
      </c>
      <c r="O1606" s="720">
        <f t="shared" si="76"/>
        <v>0</v>
      </c>
    </row>
    <row r="1607" spans="1:15" outlineLevel="2" x14ac:dyDescent="0.25">
      <c r="A1607" s="207" t="str">
        <f>VLOOKUP(RIGHT(E1607,3)+0,SchLocTable!$A$2:$B$47,2,FALSE)</f>
        <v>Discovery</v>
      </c>
      <c r="B1607" s="207" t="str">
        <f>VLOOKUP(VALUE(D1607),$D$3:F$106,3,FALSE)</f>
        <v>Science</v>
      </c>
      <c r="C1607" s="751" t="s">
        <v>246</v>
      </c>
      <c r="D1607" s="751" t="s">
        <v>579</v>
      </c>
      <c r="E1607" s="751" t="s">
        <v>597</v>
      </c>
      <c r="F1607" s="751" t="s">
        <v>257</v>
      </c>
      <c r="G1607" s="752" t="s">
        <v>1681</v>
      </c>
      <c r="H1607" s="753">
        <v>51140</v>
      </c>
      <c r="I1607" s="754">
        <v>1100</v>
      </c>
      <c r="J1607" s="754">
        <v>0</v>
      </c>
      <c r="K1607" s="754">
        <v>0</v>
      </c>
      <c r="L1607" s="754">
        <v>0</v>
      </c>
      <c r="M1607" s="754">
        <f t="shared" si="75"/>
        <v>0</v>
      </c>
      <c r="N1607" s="756">
        <v>1100</v>
      </c>
      <c r="O1607" s="720">
        <f t="shared" si="76"/>
        <v>0</v>
      </c>
    </row>
    <row r="1608" spans="1:15" outlineLevel="1" x14ac:dyDescent="0.25">
      <c r="A1608" s="207" t="str">
        <f>VLOOKUP(RIGHT(E1608,3)+0,SchLocTable!$A$2:$B$47,2,FALSE)</f>
        <v>Discovery</v>
      </c>
      <c r="B1608" s="207" t="str">
        <f>VLOOKUP(VALUE(D1608),$D$3:F$106,3,FALSE)</f>
        <v>Science</v>
      </c>
      <c r="C1608" s="751" t="s">
        <v>246</v>
      </c>
      <c r="D1608" s="751" t="s">
        <v>579</v>
      </c>
      <c r="E1608" s="751" t="s">
        <v>597</v>
      </c>
      <c r="F1608" s="751" t="s">
        <v>254</v>
      </c>
      <c r="G1608" s="752" t="s">
        <v>1681</v>
      </c>
      <c r="H1608" s="753">
        <v>52360</v>
      </c>
      <c r="I1608" s="754">
        <v>1096.82</v>
      </c>
      <c r="J1608" s="754">
        <v>0</v>
      </c>
      <c r="K1608" s="754">
        <v>0</v>
      </c>
      <c r="L1608" s="754">
        <v>181.3</v>
      </c>
      <c r="M1608" s="754">
        <f t="shared" si="75"/>
        <v>181.3</v>
      </c>
      <c r="N1608" s="756">
        <v>1096.82</v>
      </c>
      <c r="O1608" s="720">
        <f t="shared" si="76"/>
        <v>0</v>
      </c>
    </row>
    <row r="1609" spans="1:15" outlineLevel="2" x14ac:dyDescent="0.25">
      <c r="A1609" s="207" t="str">
        <f>VLOOKUP(RIGHT(E1609,3)+0,SchLocTable!$A$2:$B$47,2,FALSE)</f>
        <v>Discovery</v>
      </c>
      <c r="B1609" s="207" t="str">
        <f>VLOOKUP(VALUE(D1609),$D$3:F$106,3,FALSE)</f>
        <v>Science</v>
      </c>
      <c r="C1609" s="751" t="s">
        <v>246</v>
      </c>
      <c r="D1609" s="751" t="s">
        <v>579</v>
      </c>
      <c r="E1609" s="751" t="s">
        <v>597</v>
      </c>
      <c r="F1609" s="751" t="s">
        <v>259</v>
      </c>
      <c r="G1609" s="752" t="s">
        <v>1681</v>
      </c>
      <c r="H1609" s="753">
        <v>52917</v>
      </c>
      <c r="I1609" s="754">
        <v>35075.879999999997</v>
      </c>
      <c r="J1609" s="754">
        <v>0</v>
      </c>
      <c r="K1609" s="754">
        <v>0</v>
      </c>
      <c r="L1609" s="754">
        <v>8351.4</v>
      </c>
      <c r="M1609" s="754">
        <f t="shared" si="75"/>
        <v>8351.4</v>
      </c>
      <c r="N1609" s="756">
        <v>35075.879999999997</v>
      </c>
      <c r="O1609" s="720">
        <f t="shared" si="76"/>
        <v>0</v>
      </c>
    </row>
    <row r="1610" spans="1:15" outlineLevel="2" x14ac:dyDescent="0.25">
      <c r="A1610" s="207" t="str">
        <f>VLOOKUP(RIGHT(E1610,3)+0,SchLocTable!$A$2:$B$47,2,FALSE)</f>
        <v>Cross</v>
      </c>
      <c r="B1610" s="207" t="str">
        <f>VLOOKUP(VALUE(D1610),$D$3:F$106,3,FALSE)</f>
        <v>Science</v>
      </c>
      <c r="C1610" s="755" t="s">
        <v>246</v>
      </c>
      <c r="D1610" s="751" t="s">
        <v>579</v>
      </c>
      <c r="E1610" s="751" t="s">
        <v>2001</v>
      </c>
      <c r="F1610" s="751" t="s">
        <v>248</v>
      </c>
      <c r="G1610" s="752" t="s">
        <v>1681</v>
      </c>
      <c r="H1610" s="753">
        <v>51000</v>
      </c>
      <c r="I1610" s="754">
        <v>0</v>
      </c>
      <c r="J1610" s="754">
        <v>0</v>
      </c>
      <c r="K1610" s="754">
        <v>0</v>
      </c>
      <c r="L1610" s="754">
        <v>0</v>
      </c>
      <c r="M1610" s="754">
        <f t="shared" si="75"/>
        <v>0</v>
      </c>
      <c r="N1610" s="756">
        <v>0</v>
      </c>
      <c r="O1610" s="720">
        <f t="shared" si="76"/>
        <v>0</v>
      </c>
    </row>
    <row r="1611" spans="1:15" outlineLevel="1" x14ac:dyDescent="0.25">
      <c r="A1611" s="207" t="str">
        <f>VLOOKUP(RIGHT(E1611,3)+0,SchLocTable!$A$2:$B$47,2,FALSE)</f>
        <v>Cross</v>
      </c>
      <c r="B1611" s="207" t="str">
        <f>VLOOKUP(VALUE(D1611),$D$3:F$106,3,FALSE)</f>
        <v>Science</v>
      </c>
      <c r="C1611" s="751" t="s">
        <v>246</v>
      </c>
      <c r="D1611" s="751" t="s">
        <v>579</v>
      </c>
      <c r="E1611" s="751" t="s">
        <v>2001</v>
      </c>
      <c r="F1611" s="751" t="s">
        <v>254</v>
      </c>
      <c r="G1611" s="752" t="s">
        <v>1681</v>
      </c>
      <c r="H1611" s="753">
        <v>52360</v>
      </c>
      <c r="I1611" s="754">
        <v>0</v>
      </c>
      <c r="J1611" s="754">
        <v>0</v>
      </c>
      <c r="K1611" s="754">
        <v>0</v>
      </c>
      <c r="L1611" s="754">
        <v>0</v>
      </c>
      <c r="M1611" s="754">
        <f t="shared" si="75"/>
        <v>0</v>
      </c>
      <c r="N1611" s="756">
        <v>0</v>
      </c>
      <c r="O1611" s="720">
        <f t="shared" si="76"/>
        <v>0</v>
      </c>
    </row>
    <row r="1612" spans="1:15" outlineLevel="1" x14ac:dyDescent="0.25">
      <c r="A1612" s="207" t="str">
        <f>VLOOKUP(RIGHT(E1612,3)+0,SchLocTable!$A$2:$B$47,2,FALSE)</f>
        <v>Cross</v>
      </c>
      <c r="B1612" s="207" t="str">
        <f>VLOOKUP(VALUE(D1612),$D$3:F$106,3,FALSE)</f>
        <v>Science</v>
      </c>
      <c r="C1612" s="751" t="s">
        <v>246</v>
      </c>
      <c r="D1612" s="751" t="s">
        <v>579</v>
      </c>
      <c r="E1612" s="751" t="s">
        <v>2001</v>
      </c>
      <c r="F1612" s="751" t="s">
        <v>292</v>
      </c>
      <c r="G1612" s="752" t="s">
        <v>1681</v>
      </c>
      <c r="H1612" s="753">
        <v>52385</v>
      </c>
      <c r="I1612" s="754">
        <v>0</v>
      </c>
      <c r="J1612" s="754">
        <v>0</v>
      </c>
      <c r="K1612" s="754">
        <v>0</v>
      </c>
      <c r="L1612" s="754">
        <v>0</v>
      </c>
      <c r="M1612" s="754">
        <f t="shared" si="75"/>
        <v>0</v>
      </c>
      <c r="N1612" s="756">
        <v>0</v>
      </c>
      <c r="O1612" s="720">
        <f t="shared" si="76"/>
        <v>0</v>
      </c>
    </row>
    <row r="1613" spans="1:15" outlineLevel="1" x14ac:dyDescent="0.25">
      <c r="A1613" s="207" t="str">
        <f>VLOOKUP(RIGHT(E1613,3)+0,SchLocTable!$A$2:$B$47,2,FALSE)</f>
        <v>Blackham</v>
      </c>
      <c r="B1613" s="207" t="str">
        <f>VLOOKUP(VALUE(D1613),$D$3:F$106,3,FALSE)</f>
        <v>Science</v>
      </c>
      <c r="C1613" s="751" t="s">
        <v>246</v>
      </c>
      <c r="D1613" s="751" t="s">
        <v>579</v>
      </c>
      <c r="E1613" s="751" t="s">
        <v>598</v>
      </c>
      <c r="F1613" s="751" t="s">
        <v>248</v>
      </c>
      <c r="G1613" s="752">
        <v>1</v>
      </c>
      <c r="H1613" s="753">
        <v>51000</v>
      </c>
      <c r="I1613" s="754">
        <v>81676.03</v>
      </c>
      <c r="J1613" s="754">
        <v>0</v>
      </c>
      <c r="K1613" s="754">
        <v>0</v>
      </c>
      <c r="L1613" s="754">
        <v>15646.75</v>
      </c>
      <c r="M1613" s="754">
        <f t="shared" si="75"/>
        <v>15646.75</v>
      </c>
      <c r="N1613" s="756">
        <v>81676.03</v>
      </c>
      <c r="O1613" s="720">
        <f t="shared" si="76"/>
        <v>0</v>
      </c>
    </row>
    <row r="1614" spans="1:15" outlineLevel="2" x14ac:dyDescent="0.25">
      <c r="A1614" s="207" t="str">
        <f>VLOOKUP(RIGHT(E1614,3)+0,SchLocTable!$A$2:$B$47,2,FALSE)</f>
        <v>Blackham</v>
      </c>
      <c r="B1614" s="207" t="str">
        <f>VLOOKUP(VALUE(D1614),$D$3:F$106,3,FALSE)</f>
        <v>Science</v>
      </c>
      <c r="C1614" s="751" t="s">
        <v>246</v>
      </c>
      <c r="D1614" s="751" t="s">
        <v>579</v>
      </c>
      <c r="E1614" s="751" t="s">
        <v>598</v>
      </c>
      <c r="F1614" s="751" t="s">
        <v>254</v>
      </c>
      <c r="G1614" s="752" t="s">
        <v>1681</v>
      </c>
      <c r="H1614" s="753">
        <v>52360</v>
      </c>
      <c r="I1614" s="754">
        <v>1184.3</v>
      </c>
      <c r="J1614" s="754">
        <v>0</v>
      </c>
      <c r="K1614" s="754">
        <v>0</v>
      </c>
      <c r="L1614" s="754">
        <v>226.88</v>
      </c>
      <c r="M1614" s="754">
        <f t="shared" si="75"/>
        <v>226.88</v>
      </c>
      <c r="N1614" s="756">
        <v>1184.3</v>
      </c>
      <c r="O1614" s="720">
        <f t="shared" si="76"/>
        <v>0</v>
      </c>
    </row>
    <row r="1615" spans="1:15" outlineLevel="1" x14ac:dyDescent="0.25">
      <c r="A1615" s="207" t="str">
        <f>VLOOKUP(RIGHT(E1615,3)+0,SchLocTable!$A$2:$B$47,2,FALSE)</f>
        <v>Blackham</v>
      </c>
      <c r="B1615" s="207" t="str">
        <f>VLOOKUP(VALUE(D1615),$D$3:F$106,3,FALSE)</f>
        <v>Science</v>
      </c>
      <c r="C1615" s="751" t="s">
        <v>246</v>
      </c>
      <c r="D1615" s="751" t="s">
        <v>579</v>
      </c>
      <c r="E1615" s="751" t="s">
        <v>598</v>
      </c>
      <c r="F1615" s="751" t="s">
        <v>292</v>
      </c>
      <c r="G1615" s="752" t="s">
        <v>1681</v>
      </c>
      <c r="H1615" s="753">
        <v>52385</v>
      </c>
      <c r="I1615" s="754">
        <v>0</v>
      </c>
      <c r="J1615" s="754">
        <v>0</v>
      </c>
      <c r="K1615" s="754">
        <v>0</v>
      </c>
      <c r="L1615" s="754">
        <v>0</v>
      </c>
      <c r="M1615" s="754">
        <f t="shared" si="75"/>
        <v>0</v>
      </c>
      <c r="N1615" s="756">
        <v>0</v>
      </c>
      <c r="O1615" s="720">
        <f t="shared" si="76"/>
        <v>0</v>
      </c>
    </row>
    <row r="1616" spans="1:15" outlineLevel="2" x14ac:dyDescent="0.25">
      <c r="A1616" s="207" t="str">
        <f>VLOOKUP(RIGHT(E1616,3)+0,SchLocTable!$A$2:$B$47,2,FALSE)</f>
        <v>Blackham</v>
      </c>
      <c r="B1616" s="207" t="str">
        <f>VLOOKUP(VALUE(D1616),$D$3:F$106,3,FALSE)</f>
        <v>Science</v>
      </c>
      <c r="C1616" s="755" t="s">
        <v>246</v>
      </c>
      <c r="D1616" s="751" t="s">
        <v>579</v>
      </c>
      <c r="E1616" s="751" t="s">
        <v>598</v>
      </c>
      <c r="F1616" s="751" t="s">
        <v>259</v>
      </c>
      <c r="G1616" s="752" t="s">
        <v>1681</v>
      </c>
      <c r="H1616" s="753">
        <v>52917</v>
      </c>
      <c r="I1616" s="754">
        <v>0</v>
      </c>
      <c r="J1616" s="754">
        <v>0</v>
      </c>
      <c r="K1616" s="754">
        <v>0</v>
      </c>
      <c r="L1616" s="754">
        <v>0</v>
      </c>
      <c r="M1616" s="754">
        <f t="shared" si="75"/>
        <v>0</v>
      </c>
      <c r="N1616" s="756">
        <v>0</v>
      </c>
      <c r="O1616" s="720">
        <f t="shared" si="76"/>
        <v>0</v>
      </c>
    </row>
    <row r="1617" spans="1:15" outlineLevel="2" x14ac:dyDescent="0.25">
      <c r="A1617" s="207" t="str">
        <f>VLOOKUP(RIGHT(E1617,3)+0,SchLocTable!$A$2:$B$47,2,FALSE)</f>
        <v>Dunbar</v>
      </c>
      <c r="B1617" s="207" t="str">
        <f>VLOOKUP(VALUE(D1617),$D$3:F$106,3,FALSE)</f>
        <v>Science</v>
      </c>
      <c r="C1617" s="755" t="s">
        <v>246</v>
      </c>
      <c r="D1617" s="751" t="s">
        <v>579</v>
      </c>
      <c r="E1617" s="751" t="s">
        <v>599</v>
      </c>
      <c r="F1617" s="751" t="s">
        <v>248</v>
      </c>
      <c r="G1617" s="752" t="s">
        <v>1681</v>
      </c>
      <c r="H1617" s="753">
        <v>51000</v>
      </c>
      <c r="I1617" s="754">
        <v>0</v>
      </c>
      <c r="J1617" s="754">
        <v>0</v>
      </c>
      <c r="K1617" s="754">
        <v>0</v>
      </c>
      <c r="L1617" s="754">
        <v>0</v>
      </c>
      <c r="M1617" s="754">
        <f t="shared" si="75"/>
        <v>0</v>
      </c>
      <c r="N1617" s="756">
        <v>0</v>
      </c>
      <c r="O1617" s="720">
        <f t="shared" si="76"/>
        <v>0</v>
      </c>
    </row>
    <row r="1618" spans="1:15" outlineLevel="2" x14ac:dyDescent="0.25">
      <c r="A1618" s="207" t="str">
        <f>VLOOKUP(RIGHT(E1618,3)+0,SchLocTable!$A$2:$B$47,2,FALSE)</f>
        <v>Dunbar</v>
      </c>
      <c r="B1618" s="207" t="str">
        <f>VLOOKUP(VALUE(D1618),$D$3:F$106,3,FALSE)</f>
        <v>Science</v>
      </c>
      <c r="C1618" s="751" t="s">
        <v>246</v>
      </c>
      <c r="D1618" s="751" t="s">
        <v>579</v>
      </c>
      <c r="E1618" s="751" t="s">
        <v>599</v>
      </c>
      <c r="F1618" s="751" t="s">
        <v>254</v>
      </c>
      <c r="G1618" s="752" t="s">
        <v>1681</v>
      </c>
      <c r="H1618" s="753">
        <v>52360</v>
      </c>
      <c r="I1618" s="754">
        <v>0</v>
      </c>
      <c r="J1618" s="754">
        <v>0</v>
      </c>
      <c r="K1618" s="754">
        <v>0</v>
      </c>
      <c r="L1618" s="754">
        <v>0</v>
      </c>
      <c r="M1618" s="754">
        <f t="shared" si="75"/>
        <v>0</v>
      </c>
      <c r="N1618" s="756">
        <v>0</v>
      </c>
      <c r="O1618" s="720">
        <f t="shared" si="76"/>
        <v>0</v>
      </c>
    </row>
    <row r="1619" spans="1:15" outlineLevel="2" x14ac:dyDescent="0.25">
      <c r="A1619" s="207" t="str">
        <f>VLOOKUP(RIGHT(E1619,3)+0,SchLocTable!$A$2:$B$47,2,FALSE)</f>
        <v>Dunbar</v>
      </c>
      <c r="B1619" s="207" t="str">
        <f>VLOOKUP(VALUE(D1619),$D$3:F$106,3,FALSE)</f>
        <v>Science</v>
      </c>
      <c r="C1619" s="751" t="s">
        <v>246</v>
      </c>
      <c r="D1619" s="751" t="s">
        <v>579</v>
      </c>
      <c r="E1619" s="751" t="s">
        <v>599</v>
      </c>
      <c r="F1619" s="751" t="s">
        <v>292</v>
      </c>
      <c r="G1619" s="752" t="s">
        <v>1681</v>
      </c>
      <c r="H1619" s="753">
        <v>52385</v>
      </c>
      <c r="I1619" s="754">
        <v>0</v>
      </c>
      <c r="J1619" s="754">
        <v>0</v>
      </c>
      <c r="K1619" s="754">
        <v>0</v>
      </c>
      <c r="L1619" s="754">
        <v>0</v>
      </c>
      <c r="M1619" s="754">
        <f t="shared" si="75"/>
        <v>0</v>
      </c>
      <c r="N1619" s="756">
        <v>0</v>
      </c>
      <c r="O1619" s="720">
        <f t="shared" si="76"/>
        <v>0</v>
      </c>
    </row>
    <row r="1620" spans="1:15" outlineLevel="2" x14ac:dyDescent="0.25">
      <c r="A1620" s="207" t="str">
        <f>VLOOKUP(RIGHT(E1620,3)+0,SchLocTable!$A$2:$B$47,2,FALSE)</f>
        <v>Dunbar</v>
      </c>
      <c r="B1620" s="207" t="str">
        <f>VLOOKUP(VALUE(D1620),$D$3:F$106,3,FALSE)</f>
        <v>Science</v>
      </c>
      <c r="C1620" s="751" t="s">
        <v>246</v>
      </c>
      <c r="D1620" s="751" t="s">
        <v>579</v>
      </c>
      <c r="E1620" s="751" t="s">
        <v>599</v>
      </c>
      <c r="F1620" s="751" t="s">
        <v>259</v>
      </c>
      <c r="G1620" s="752" t="s">
        <v>1681</v>
      </c>
      <c r="H1620" s="753">
        <v>52917</v>
      </c>
      <c r="I1620" s="754">
        <v>0</v>
      </c>
      <c r="J1620" s="754">
        <v>0</v>
      </c>
      <c r="K1620" s="754">
        <v>0</v>
      </c>
      <c r="L1620" s="754">
        <v>0</v>
      </c>
      <c r="M1620" s="754">
        <f t="shared" si="75"/>
        <v>0</v>
      </c>
      <c r="N1620" s="756">
        <v>0</v>
      </c>
      <c r="O1620" s="720">
        <f t="shared" si="76"/>
        <v>0</v>
      </c>
    </row>
    <row r="1621" spans="1:15" outlineLevel="2" x14ac:dyDescent="0.25">
      <c r="A1621" s="207" t="str">
        <f>VLOOKUP(RIGHT(E1621,3)+0,SchLocTable!$A$2:$B$47,2,FALSE)</f>
        <v>Curiale</v>
      </c>
      <c r="B1621" s="207" t="str">
        <f>VLOOKUP(VALUE(D1621),$D$3:F$106,3,FALSE)</f>
        <v>Science</v>
      </c>
      <c r="C1621" s="751" t="s">
        <v>246</v>
      </c>
      <c r="D1621" s="751" t="s">
        <v>579</v>
      </c>
      <c r="E1621" s="751" t="s">
        <v>1841</v>
      </c>
      <c r="F1621" s="751" t="s">
        <v>257</v>
      </c>
      <c r="G1621" s="752" t="s">
        <v>1681</v>
      </c>
      <c r="H1621" s="753">
        <v>51140</v>
      </c>
      <c r="I1621" s="754">
        <v>900</v>
      </c>
      <c r="J1621" s="754">
        <v>0</v>
      </c>
      <c r="K1621" s="754">
        <v>0</v>
      </c>
      <c r="L1621" s="754">
        <v>0</v>
      </c>
      <c r="M1621" s="754">
        <f t="shared" si="75"/>
        <v>0</v>
      </c>
      <c r="N1621" s="756">
        <v>900</v>
      </c>
      <c r="O1621" s="720">
        <f t="shared" si="76"/>
        <v>0</v>
      </c>
    </row>
    <row r="1622" spans="1:15" outlineLevel="2" x14ac:dyDescent="0.25">
      <c r="A1622" s="207" t="str">
        <f>VLOOKUP(RIGHT(E1622,3)+0,SchLocTable!$A$2:$B$47,2,FALSE)</f>
        <v>Curiale</v>
      </c>
      <c r="B1622" s="207" t="str">
        <f>VLOOKUP(VALUE(D1622),$D$3:F$106,3,FALSE)</f>
        <v>Science</v>
      </c>
      <c r="C1622" s="755" t="s">
        <v>246</v>
      </c>
      <c r="D1622" s="751" t="s">
        <v>579</v>
      </c>
      <c r="E1622" s="751" t="s">
        <v>1841</v>
      </c>
      <c r="F1622" s="751" t="s">
        <v>254</v>
      </c>
      <c r="G1622" s="752" t="s">
        <v>1681</v>
      </c>
      <c r="H1622" s="753">
        <v>52360</v>
      </c>
      <c r="I1622" s="754">
        <v>0</v>
      </c>
      <c r="J1622" s="754">
        <v>0</v>
      </c>
      <c r="K1622" s="754">
        <v>0</v>
      </c>
      <c r="L1622" s="754">
        <v>0</v>
      </c>
      <c r="M1622" s="754">
        <f t="shared" si="75"/>
        <v>0</v>
      </c>
      <c r="N1622" s="756">
        <v>0</v>
      </c>
      <c r="O1622" s="720">
        <f t="shared" si="76"/>
        <v>0</v>
      </c>
    </row>
    <row r="1623" spans="1:15" outlineLevel="2" x14ac:dyDescent="0.25">
      <c r="A1623" s="207" t="str">
        <f>VLOOKUP(RIGHT(E1623,3)+0,SchLocTable!$A$2:$B$47,2,FALSE)</f>
        <v>High Horizons Magnet</v>
      </c>
      <c r="B1623" s="207" t="str">
        <f>VLOOKUP(VALUE(D1623),$D$3:F$106,3,FALSE)</f>
        <v>Science</v>
      </c>
      <c r="C1623" s="751" t="s">
        <v>246</v>
      </c>
      <c r="D1623" s="751" t="s">
        <v>579</v>
      </c>
      <c r="E1623" s="751" t="s">
        <v>600</v>
      </c>
      <c r="F1623" s="751" t="s">
        <v>248</v>
      </c>
      <c r="G1623" s="752">
        <v>1</v>
      </c>
      <c r="H1623" s="753">
        <v>51000</v>
      </c>
      <c r="I1623" s="754">
        <v>65085.31</v>
      </c>
      <c r="J1623" s="754">
        <v>0</v>
      </c>
      <c r="K1623" s="754">
        <v>0</v>
      </c>
      <c r="L1623" s="754">
        <v>12468.45</v>
      </c>
      <c r="M1623" s="754">
        <f t="shared" si="75"/>
        <v>12468.45</v>
      </c>
      <c r="N1623" s="756">
        <v>65085.31</v>
      </c>
      <c r="O1623" s="720">
        <f t="shared" si="76"/>
        <v>0</v>
      </c>
    </row>
    <row r="1624" spans="1:15" outlineLevel="2" x14ac:dyDescent="0.25">
      <c r="A1624" s="207" t="str">
        <f>VLOOKUP(RIGHT(E1624,3)+0,SchLocTable!$A$2:$B$47,2,FALSE)</f>
        <v>High Horizons Magnet</v>
      </c>
      <c r="B1624" s="207" t="str">
        <f>VLOOKUP(VALUE(D1624),$D$3:F$106,3,FALSE)</f>
        <v>Science</v>
      </c>
      <c r="C1624" s="751" t="s">
        <v>246</v>
      </c>
      <c r="D1624" s="751" t="s">
        <v>579</v>
      </c>
      <c r="E1624" s="751" t="s">
        <v>600</v>
      </c>
      <c r="F1624" s="751" t="s">
        <v>254</v>
      </c>
      <c r="G1624" s="752" t="s">
        <v>1681</v>
      </c>
      <c r="H1624" s="753">
        <v>52360</v>
      </c>
      <c r="I1624" s="754">
        <v>931.7</v>
      </c>
      <c r="J1624" s="754">
        <v>0</v>
      </c>
      <c r="K1624" s="754">
        <v>0</v>
      </c>
      <c r="L1624" s="754">
        <v>168.76</v>
      </c>
      <c r="M1624" s="754">
        <f t="shared" si="75"/>
        <v>168.76</v>
      </c>
      <c r="N1624" s="756">
        <v>931.7</v>
      </c>
      <c r="O1624" s="720">
        <f t="shared" si="76"/>
        <v>0</v>
      </c>
    </row>
    <row r="1625" spans="1:15" outlineLevel="2" x14ac:dyDescent="0.25">
      <c r="A1625" s="207" t="str">
        <f>VLOOKUP(RIGHT(E1625,3)+0,SchLocTable!$A$2:$B$47,2,FALSE)</f>
        <v>High Horizons Magnet</v>
      </c>
      <c r="B1625" s="207" t="str">
        <f>VLOOKUP(VALUE(D1625),$D$3:F$106,3,FALSE)</f>
        <v>Science</v>
      </c>
      <c r="C1625" s="751" t="s">
        <v>246</v>
      </c>
      <c r="D1625" s="751" t="s">
        <v>579</v>
      </c>
      <c r="E1625" s="751" t="s">
        <v>600</v>
      </c>
      <c r="F1625" s="751" t="s">
        <v>259</v>
      </c>
      <c r="G1625" s="752" t="s">
        <v>1681</v>
      </c>
      <c r="H1625" s="753">
        <v>52917</v>
      </c>
      <c r="I1625" s="754">
        <v>11844</v>
      </c>
      <c r="J1625" s="754">
        <v>0</v>
      </c>
      <c r="K1625" s="754">
        <v>0</v>
      </c>
      <c r="L1625" s="754">
        <v>2820</v>
      </c>
      <c r="M1625" s="754">
        <f t="shared" si="75"/>
        <v>2820</v>
      </c>
      <c r="N1625" s="756">
        <v>11844</v>
      </c>
      <c r="O1625" s="720">
        <f t="shared" si="76"/>
        <v>0</v>
      </c>
    </row>
    <row r="1626" spans="1:15" outlineLevel="2" x14ac:dyDescent="0.25">
      <c r="A1626" s="207" t="str">
        <f>VLOOKUP(RIGHT(E1626,3)+0,SchLocTable!$A$2:$B$47,2,FALSE)</f>
        <v>Multicultural Magnet</v>
      </c>
      <c r="B1626" s="207" t="str">
        <f>VLOOKUP(VALUE(D1626),$D$3:F$106,3,FALSE)</f>
        <v>Science</v>
      </c>
      <c r="C1626" s="751" t="s">
        <v>246</v>
      </c>
      <c r="D1626" s="751" t="s">
        <v>579</v>
      </c>
      <c r="E1626" s="751" t="s">
        <v>601</v>
      </c>
      <c r="F1626" s="751" t="s">
        <v>248</v>
      </c>
      <c r="G1626" s="752">
        <v>1</v>
      </c>
      <c r="H1626" s="753">
        <v>51000</v>
      </c>
      <c r="I1626" s="754">
        <v>73763.56</v>
      </c>
      <c r="J1626" s="754">
        <v>0</v>
      </c>
      <c r="K1626" s="754">
        <v>0</v>
      </c>
      <c r="L1626" s="754">
        <v>14130.95</v>
      </c>
      <c r="M1626" s="754">
        <f t="shared" si="75"/>
        <v>14130.95</v>
      </c>
      <c r="N1626" s="756">
        <v>73763.56</v>
      </c>
      <c r="O1626" s="720">
        <f t="shared" si="76"/>
        <v>0</v>
      </c>
    </row>
    <row r="1627" spans="1:15" outlineLevel="2" x14ac:dyDescent="0.25">
      <c r="A1627" s="207" t="str">
        <f>VLOOKUP(RIGHT(E1627,3)+0,SchLocTable!$A$2:$B$47,2,FALSE)</f>
        <v>Multicultural Magnet</v>
      </c>
      <c r="B1627" s="207" t="str">
        <f>VLOOKUP(VALUE(D1627),$D$3:F$106,3,FALSE)</f>
        <v>Science</v>
      </c>
      <c r="C1627" s="751" t="s">
        <v>246</v>
      </c>
      <c r="D1627" s="751" t="s">
        <v>579</v>
      </c>
      <c r="E1627" s="751" t="s">
        <v>601</v>
      </c>
      <c r="F1627" s="751" t="s">
        <v>254</v>
      </c>
      <c r="G1627" s="752" t="s">
        <v>1681</v>
      </c>
      <c r="H1627" s="753">
        <v>52360</v>
      </c>
      <c r="I1627" s="754">
        <v>1033.92</v>
      </c>
      <c r="J1627" s="754">
        <v>0</v>
      </c>
      <c r="K1627" s="754">
        <v>0</v>
      </c>
      <c r="L1627" s="754">
        <v>169.25</v>
      </c>
      <c r="M1627" s="754">
        <f t="shared" si="75"/>
        <v>169.25</v>
      </c>
      <c r="N1627" s="756">
        <v>1033.92</v>
      </c>
      <c r="O1627" s="720">
        <f t="shared" si="76"/>
        <v>0</v>
      </c>
    </row>
    <row r="1628" spans="1:15" outlineLevel="2" x14ac:dyDescent="0.25">
      <c r="A1628" s="207" t="str">
        <f>VLOOKUP(RIGHT(E1628,3)+0,SchLocTable!$A$2:$B$47,2,FALSE)</f>
        <v>Multicultural Magnet</v>
      </c>
      <c r="B1628" s="207" t="str">
        <f>VLOOKUP(VALUE(D1628),$D$3:F$106,3,FALSE)</f>
        <v>Science</v>
      </c>
      <c r="C1628" s="751" t="s">
        <v>246</v>
      </c>
      <c r="D1628" s="751" t="s">
        <v>579</v>
      </c>
      <c r="E1628" s="751" t="s">
        <v>601</v>
      </c>
      <c r="F1628" s="751" t="s">
        <v>259</v>
      </c>
      <c r="G1628" s="752" t="s">
        <v>1681</v>
      </c>
      <c r="H1628" s="753">
        <v>52917</v>
      </c>
      <c r="I1628" s="754">
        <v>35075.879999999997</v>
      </c>
      <c r="J1628" s="754">
        <v>0</v>
      </c>
      <c r="K1628" s="754">
        <v>0</v>
      </c>
      <c r="L1628" s="754">
        <v>8351.4</v>
      </c>
      <c r="M1628" s="754">
        <f t="shared" si="75"/>
        <v>8351.4</v>
      </c>
      <c r="N1628" s="756">
        <v>35075.879999999997</v>
      </c>
      <c r="O1628" s="720">
        <f t="shared" si="76"/>
        <v>0</v>
      </c>
    </row>
    <row r="1629" spans="1:15" outlineLevel="2" x14ac:dyDescent="0.25">
      <c r="A1629" s="207" t="str">
        <f>VLOOKUP(RIGHT(E1629,3)+0,SchLocTable!$A$2:$B$47,2,FALSE)</f>
        <v>Bassick HS</v>
      </c>
      <c r="B1629" s="207" t="str">
        <f>VLOOKUP(VALUE(D1629),$D$3:F$106,3,FALSE)</f>
        <v>Science</v>
      </c>
      <c r="C1629" s="751" t="s">
        <v>246</v>
      </c>
      <c r="D1629" s="751" t="s">
        <v>579</v>
      </c>
      <c r="E1629" s="751" t="s">
        <v>602</v>
      </c>
      <c r="F1629" s="751" t="s">
        <v>248</v>
      </c>
      <c r="G1629" s="752">
        <v>2</v>
      </c>
      <c r="H1629" s="753">
        <v>51000</v>
      </c>
      <c r="I1629" s="754">
        <v>129054.04</v>
      </c>
      <c r="J1629" s="754">
        <v>0</v>
      </c>
      <c r="K1629" s="754">
        <v>0</v>
      </c>
      <c r="L1629" s="754">
        <v>27739.45</v>
      </c>
      <c r="M1629" s="754">
        <f t="shared" si="75"/>
        <v>27739.45</v>
      </c>
      <c r="N1629" s="756">
        <v>129054.04</v>
      </c>
      <c r="O1629" s="720">
        <f t="shared" si="76"/>
        <v>0</v>
      </c>
    </row>
    <row r="1630" spans="1:15" outlineLevel="1" x14ac:dyDescent="0.25">
      <c r="A1630" s="207" t="str">
        <f>VLOOKUP(RIGHT(E1630,3)+0,SchLocTable!$A$2:$B$47,2,FALSE)</f>
        <v>Bassick HS</v>
      </c>
      <c r="B1630" s="207" t="str">
        <f>VLOOKUP(VALUE(D1630),$D$3:F$106,3,FALSE)</f>
        <v>Science</v>
      </c>
      <c r="C1630" s="751" t="s">
        <v>246</v>
      </c>
      <c r="D1630" s="751" t="s">
        <v>579</v>
      </c>
      <c r="E1630" s="751" t="s">
        <v>602</v>
      </c>
      <c r="F1630" s="751" t="s">
        <v>254</v>
      </c>
      <c r="G1630" s="752" t="s">
        <v>1681</v>
      </c>
      <c r="H1630" s="753">
        <v>52360</v>
      </c>
      <c r="I1630" s="754">
        <v>1870.17</v>
      </c>
      <c r="J1630" s="754">
        <v>0</v>
      </c>
      <c r="K1630" s="754">
        <v>0</v>
      </c>
      <c r="L1630" s="754">
        <v>401.11</v>
      </c>
      <c r="M1630" s="754">
        <f t="shared" si="75"/>
        <v>401.11</v>
      </c>
      <c r="N1630" s="756">
        <v>1870.17</v>
      </c>
      <c r="O1630" s="720">
        <f t="shared" si="76"/>
        <v>0</v>
      </c>
    </row>
    <row r="1631" spans="1:15" outlineLevel="2" x14ac:dyDescent="0.25">
      <c r="A1631" s="207" t="str">
        <f>VLOOKUP(RIGHT(E1631,3)+0,SchLocTable!$A$2:$B$47,2,FALSE)</f>
        <v>Bassick HS</v>
      </c>
      <c r="B1631" s="207" t="str">
        <f>VLOOKUP(VALUE(D1631),$D$3:F$106,3,FALSE)</f>
        <v>Science</v>
      </c>
      <c r="C1631" s="751" t="s">
        <v>246</v>
      </c>
      <c r="D1631" s="751" t="s">
        <v>579</v>
      </c>
      <c r="E1631" s="751" t="s">
        <v>602</v>
      </c>
      <c r="F1631" s="751" t="s">
        <v>806</v>
      </c>
      <c r="G1631" s="752" t="s">
        <v>1681</v>
      </c>
      <c r="H1631" s="753">
        <v>52397</v>
      </c>
      <c r="I1631" s="754">
        <v>0</v>
      </c>
      <c r="J1631" s="754">
        <v>0</v>
      </c>
      <c r="K1631" s="754">
        <v>0</v>
      </c>
      <c r="L1631" s="754">
        <v>0</v>
      </c>
      <c r="M1631" s="754">
        <f t="shared" si="75"/>
        <v>0</v>
      </c>
      <c r="N1631" s="756">
        <v>0</v>
      </c>
      <c r="O1631" s="720">
        <f t="shared" si="76"/>
        <v>0</v>
      </c>
    </row>
    <row r="1632" spans="1:15" outlineLevel="2" x14ac:dyDescent="0.25">
      <c r="A1632" s="207" t="str">
        <f>VLOOKUP(RIGHT(E1632,3)+0,SchLocTable!$A$2:$B$47,2,FALSE)</f>
        <v>Bassick HS</v>
      </c>
      <c r="B1632" s="207" t="str">
        <f>VLOOKUP(VALUE(D1632),$D$3:F$106,3,FALSE)</f>
        <v>Science</v>
      </c>
      <c r="C1632" s="751" t="s">
        <v>246</v>
      </c>
      <c r="D1632" s="751" t="s">
        <v>579</v>
      </c>
      <c r="E1632" s="751" t="s">
        <v>602</v>
      </c>
      <c r="F1632" s="751" t="s">
        <v>259</v>
      </c>
      <c r="G1632" s="752" t="s">
        <v>1681</v>
      </c>
      <c r="H1632" s="753">
        <v>52917</v>
      </c>
      <c r="I1632" s="754">
        <v>1757.28</v>
      </c>
      <c r="J1632" s="754">
        <v>0</v>
      </c>
      <c r="K1632" s="754">
        <v>0</v>
      </c>
      <c r="L1632" s="754">
        <v>418.4</v>
      </c>
      <c r="M1632" s="754">
        <f t="shared" si="75"/>
        <v>418.4</v>
      </c>
      <c r="N1632" s="756">
        <v>1757.28</v>
      </c>
      <c r="O1632" s="720">
        <f t="shared" si="76"/>
        <v>0</v>
      </c>
    </row>
    <row r="1633" spans="1:15" outlineLevel="2" x14ac:dyDescent="0.25">
      <c r="A1633" s="207" t="str">
        <f>VLOOKUP(RIGHT(E1633,3)+0,SchLocTable!$A$2:$B$47,2,FALSE)</f>
        <v>Central HS</v>
      </c>
      <c r="B1633" s="207" t="str">
        <f>VLOOKUP(VALUE(D1633),$D$3:F$106,3,FALSE)</f>
        <v>Science</v>
      </c>
      <c r="C1633" s="751" t="s">
        <v>246</v>
      </c>
      <c r="D1633" s="751" t="s">
        <v>579</v>
      </c>
      <c r="E1633" s="751" t="s">
        <v>603</v>
      </c>
      <c r="F1633" s="751" t="s">
        <v>248</v>
      </c>
      <c r="G1633" s="752">
        <v>11</v>
      </c>
      <c r="H1633" s="753">
        <v>51000</v>
      </c>
      <c r="I1633" s="754">
        <v>812793.99</v>
      </c>
      <c r="J1633" s="754">
        <v>0</v>
      </c>
      <c r="K1633" s="754">
        <v>0</v>
      </c>
      <c r="L1633" s="754">
        <v>173098.7</v>
      </c>
      <c r="M1633" s="754">
        <f t="shared" si="75"/>
        <v>173098.7</v>
      </c>
      <c r="N1633" s="756">
        <v>812793.99</v>
      </c>
      <c r="O1633" s="720">
        <f t="shared" si="76"/>
        <v>0</v>
      </c>
    </row>
    <row r="1634" spans="1:15" outlineLevel="1" x14ac:dyDescent="0.25">
      <c r="A1634" s="207" t="str">
        <f>VLOOKUP(RIGHT(E1634,3)+0,SchLocTable!$A$2:$B$47,2,FALSE)</f>
        <v>Central HS</v>
      </c>
      <c r="B1634" s="207" t="str">
        <f>VLOOKUP(VALUE(D1634),$D$3:F$106,3,FALSE)</f>
        <v>Science</v>
      </c>
      <c r="C1634" s="751" t="s">
        <v>246</v>
      </c>
      <c r="D1634" s="751" t="s">
        <v>579</v>
      </c>
      <c r="E1634" s="751" t="s">
        <v>603</v>
      </c>
      <c r="F1634" s="751" t="s">
        <v>257</v>
      </c>
      <c r="G1634" s="752" t="s">
        <v>1681</v>
      </c>
      <c r="H1634" s="753">
        <v>51140</v>
      </c>
      <c r="I1634" s="754">
        <v>6600</v>
      </c>
      <c r="J1634" s="754">
        <v>0</v>
      </c>
      <c r="K1634" s="754">
        <v>0</v>
      </c>
      <c r="L1634" s="754">
        <v>0</v>
      </c>
      <c r="M1634" s="754">
        <f t="shared" si="75"/>
        <v>0</v>
      </c>
      <c r="N1634" s="756">
        <v>6600</v>
      </c>
      <c r="O1634" s="720">
        <f t="shared" si="76"/>
        <v>0</v>
      </c>
    </row>
    <row r="1635" spans="1:15" outlineLevel="2" x14ac:dyDescent="0.25">
      <c r="A1635" s="207" t="str">
        <f>VLOOKUP(RIGHT(E1635,3)+0,SchLocTable!$A$2:$B$47,2,FALSE)</f>
        <v>Central HS</v>
      </c>
      <c r="B1635" s="207" t="str">
        <f>VLOOKUP(VALUE(D1635),$D$3:F$106,3,FALSE)</f>
        <v>Science</v>
      </c>
      <c r="C1635" s="751" t="s">
        <v>246</v>
      </c>
      <c r="D1635" s="751" t="s">
        <v>579</v>
      </c>
      <c r="E1635" s="751" t="s">
        <v>603</v>
      </c>
      <c r="F1635" s="751" t="s">
        <v>252</v>
      </c>
      <c r="G1635" s="752" t="s">
        <v>1681</v>
      </c>
      <c r="H1635" s="753">
        <v>51154</v>
      </c>
      <c r="I1635" s="754">
        <v>0</v>
      </c>
      <c r="J1635" s="754">
        <v>0</v>
      </c>
      <c r="K1635" s="754">
        <v>0</v>
      </c>
      <c r="L1635" s="754">
        <v>0</v>
      </c>
      <c r="M1635" s="754">
        <f t="shared" si="75"/>
        <v>0</v>
      </c>
      <c r="N1635" s="756">
        <v>0</v>
      </c>
      <c r="O1635" s="720">
        <f t="shared" si="76"/>
        <v>0</v>
      </c>
    </row>
    <row r="1636" spans="1:15" outlineLevel="1" x14ac:dyDescent="0.25">
      <c r="A1636" s="207" t="str">
        <f>VLOOKUP(RIGHT(E1636,3)+0,SchLocTable!$A$2:$B$47,2,FALSE)</f>
        <v>Central HS</v>
      </c>
      <c r="B1636" s="207" t="str">
        <f>VLOOKUP(VALUE(D1636),$D$3:F$106,3,FALSE)</f>
        <v>Science</v>
      </c>
      <c r="C1636" s="751" t="s">
        <v>246</v>
      </c>
      <c r="D1636" s="751" t="s">
        <v>579</v>
      </c>
      <c r="E1636" s="751" t="s">
        <v>603</v>
      </c>
      <c r="F1636" s="751" t="s">
        <v>254</v>
      </c>
      <c r="G1636" s="752" t="s">
        <v>1681</v>
      </c>
      <c r="H1636" s="753">
        <v>52360</v>
      </c>
      <c r="I1636" s="754">
        <v>11313.22</v>
      </c>
      <c r="J1636" s="754">
        <v>0</v>
      </c>
      <c r="K1636" s="754">
        <v>0</v>
      </c>
      <c r="L1636" s="754">
        <v>2037.64</v>
      </c>
      <c r="M1636" s="754">
        <f t="shared" si="75"/>
        <v>2037.64</v>
      </c>
      <c r="N1636" s="756">
        <v>11313.22</v>
      </c>
      <c r="O1636" s="720">
        <f t="shared" si="76"/>
        <v>0</v>
      </c>
    </row>
    <row r="1637" spans="1:15" outlineLevel="2" x14ac:dyDescent="0.25">
      <c r="A1637" s="207" t="str">
        <f>VLOOKUP(RIGHT(E1637,3)+0,SchLocTable!$A$2:$B$47,2,FALSE)</f>
        <v>Central HS</v>
      </c>
      <c r="B1637" s="207" t="str">
        <f>VLOOKUP(VALUE(D1637),$D$3:F$106,3,FALSE)</f>
        <v>Science</v>
      </c>
      <c r="C1637" s="755" t="s">
        <v>246</v>
      </c>
      <c r="D1637" s="751" t="s">
        <v>579</v>
      </c>
      <c r="E1637" s="751" t="s">
        <v>603</v>
      </c>
      <c r="F1637" s="751" t="s">
        <v>292</v>
      </c>
      <c r="G1637" s="752" t="s">
        <v>1681</v>
      </c>
      <c r="H1637" s="753">
        <v>52385</v>
      </c>
      <c r="I1637" s="754">
        <v>0</v>
      </c>
      <c r="J1637" s="754">
        <v>0</v>
      </c>
      <c r="K1637" s="754">
        <v>0</v>
      </c>
      <c r="L1637" s="754">
        <v>0</v>
      </c>
      <c r="M1637" s="754">
        <f t="shared" si="75"/>
        <v>0</v>
      </c>
      <c r="N1637" s="756">
        <v>0</v>
      </c>
      <c r="O1637" s="720">
        <f t="shared" si="76"/>
        <v>0</v>
      </c>
    </row>
    <row r="1638" spans="1:15" outlineLevel="2" x14ac:dyDescent="0.25">
      <c r="A1638" s="207" t="str">
        <f>VLOOKUP(RIGHT(E1638,3)+0,SchLocTable!$A$2:$B$47,2,FALSE)</f>
        <v>Central HS</v>
      </c>
      <c r="B1638" s="207" t="str">
        <f>VLOOKUP(VALUE(D1638),$D$3:F$106,3,FALSE)</f>
        <v>Science</v>
      </c>
      <c r="C1638" s="751" t="s">
        <v>246</v>
      </c>
      <c r="D1638" s="751" t="s">
        <v>579</v>
      </c>
      <c r="E1638" s="751" t="s">
        <v>603</v>
      </c>
      <c r="F1638" s="751" t="s">
        <v>259</v>
      </c>
      <c r="G1638" s="752" t="s">
        <v>1681</v>
      </c>
      <c r="H1638" s="753">
        <v>52917</v>
      </c>
      <c r="I1638" s="754">
        <v>157849.85999999999</v>
      </c>
      <c r="J1638" s="754">
        <v>0</v>
      </c>
      <c r="K1638" s="754">
        <v>0</v>
      </c>
      <c r="L1638" s="754">
        <v>37583.300000000003</v>
      </c>
      <c r="M1638" s="754">
        <f t="shared" si="75"/>
        <v>37583.300000000003</v>
      </c>
      <c r="N1638" s="756">
        <v>157849.85999999999</v>
      </c>
      <c r="O1638" s="720">
        <f t="shared" si="76"/>
        <v>0</v>
      </c>
    </row>
    <row r="1639" spans="1:15" outlineLevel="2" x14ac:dyDescent="0.25">
      <c r="A1639" s="207" t="str">
        <f>VLOOKUP(RIGHT(E1639,3)+0,SchLocTable!$A$2:$B$47,2,FALSE)</f>
        <v>Harding HS</v>
      </c>
      <c r="B1639" s="207" t="str">
        <f>VLOOKUP(VALUE(D1639),$D$3:F$106,3,FALSE)</f>
        <v>Science</v>
      </c>
      <c r="C1639" s="751" t="s">
        <v>246</v>
      </c>
      <c r="D1639" s="751" t="s">
        <v>579</v>
      </c>
      <c r="E1639" s="751" t="s">
        <v>604</v>
      </c>
      <c r="F1639" s="751" t="s">
        <v>248</v>
      </c>
      <c r="G1639" s="752">
        <v>6</v>
      </c>
      <c r="H1639" s="753">
        <v>51000</v>
      </c>
      <c r="I1639" s="754">
        <v>509188.47</v>
      </c>
      <c r="J1639" s="754">
        <v>0</v>
      </c>
      <c r="K1639" s="754">
        <v>0</v>
      </c>
      <c r="L1639" s="754">
        <v>97201.59</v>
      </c>
      <c r="M1639" s="754">
        <f t="shared" si="75"/>
        <v>97201.59</v>
      </c>
      <c r="N1639" s="756">
        <v>509188.47</v>
      </c>
      <c r="O1639" s="720">
        <f t="shared" si="76"/>
        <v>0</v>
      </c>
    </row>
    <row r="1640" spans="1:15" outlineLevel="2" x14ac:dyDescent="0.25">
      <c r="A1640" s="207" t="str">
        <f>VLOOKUP(RIGHT(E1640,3)+0,SchLocTable!$A$2:$B$47,2,FALSE)</f>
        <v>Harding HS</v>
      </c>
      <c r="B1640" s="207" t="str">
        <f>VLOOKUP(VALUE(D1640),$D$3:F$106,3,FALSE)</f>
        <v>Science</v>
      </c>
      <c r="C1640" s="751" t="s">
        <v>246</v>
      </c>
      <c r="D1640" s="751" t="s">
        <v>579</v>
      </c>
      <c r="E1640" s="751" t="s">
        <v>604</v>
      </c>
      <c r="F1640" s="751" t="s">
        <v>257</v>
      </c>
      <c r="G1640" s="752" t="s">
        <v>1681</v>
      </c>
      <c r="H1640" s="753">
        <v>51140</v>
      </c>
      <c r="I1640" s="754">
        <v>2900</v>
      </c>
      <c r="J1640" s="754">
        <v>0</v>
      </c>
      <c r="K1640" s="754">
        <v>0</v>
      </c>
      <c r="L1640" s="754">
        <v>0</v>
      </c>
      <c r="M1640" s="754">
        <f t="shared" si="75"/>
        <v>0</v>
      </c>
      <c r="N1640" s="756">
        <v>2900</v>
      </c>
      <c r="O1640" s="720">
        <f t="shared" si="76"/>
        <v>0</v>
      </c>
    </row>
    <row r="1641" spans="1:15" outlineLevel="2" x14ac:dyDescent="0.25">
      <c r="A1641" s="207" t="str">
        <f>VLOOKUP(RIGHT(E1641,3)+0,SchLocTable!$A$2:$B$47,2,FALSE)</f>
        <v>Harding HS</v>
      </c>
      <c r="B1641" s="207" t="str">
        <f>VLOOKUP(VALUE(D1641),$D$3:F$106,3,FALSE)</f>
        <v>Science</v>
      </c>
      <c r="C1641" s="751" t="s">
        <v>246</v>
      </c>
      <c r="D1641" s="751" t="s">
        <v>579</v>
      </c>
      <c r="E1641" s="751" t="s">
        <v>604</v>
      </c>
      <c r="F1641" s="751" t="s">
        <v>254</v>
      </c>
      <c r="G1641" s="752" t="s">
        <v>1681</v>
      </c>
      <c r="H1641" s="753">
        <v>52360</v>
      </c>
      <c r="I1641" s="754">
        <v>7281.96</v>
      </c>
      <c r="J1641" s="754">
        <v>0</v>
      </c>
      <c r="K1641" s="754">
        <v>0</v>
      </c>
      <c r="L1641" s="754">
        <v>1308.1500000000001</v>
      </c>
      <c r="M1641" s="754">
        <f t="shared" si="75"/>
        <v>1308.1500000000001</v>
      </c>
      <c r="N1641" s="756">
        <v>7281.96</v>
      </c>
      <c r="O1641" s="720">
        <f t="shared" si="76"/>
        <v>0</v>
      </c>
    </row>
    <row r="1642" spans="1:15" outlineLevel="2" x14ac:dyDescent="0.25">
      <c r="A1642" s="207" t="str">
        <f>VLOOKUP(RIGHT(E1642,3)+0,SchLocTable!$A$2:$B$47,2,FALSE)</f>
        <v>Harding HS</v>
      </c>
      <c r="B1642" s="207" t="str">
        <f>VLOOKUP(VALUE(D1642),$D$3:F$106,3,FALSE)</f>
        <v>Science</v>
      </c>
      <c r="C1642" s="751" t="s">
        <v>246</v>
      </c>
      <c r="D1642" s="751" t="s">
        <v>579</v>
      </c>
      <c r="E1642" s="751" t="s">
        <v>604</v>
      </c>
      <c r="F1642" s="751" t="s">
        <v>292</v>
      </c>
      <c r="G1642" s="752" t="s">
        <v>1681</v>
      </c>
      <c r="H1642" s="753">
        <v>52385</v>
      </c>
      <c r="I1642" s="754">
        <v>2803.95</v>
      </c>
      <c r="J1642" s="754">
        <v>0</v>
      </c>
      <c r="K1642" s="754">
        <v>0</v>
      </c>
      <c r="L1642" s="754">
        <v>279</v>
      </c>
      <c r="M1642" s="754">
        <f t="shared" si="75"/>
        <v>279</v>
      </c>
      <c r="N1642" s="756">
        <v>2803.95</v>
      </c>
      <c r="O1642" s="720">
        <f t="shared" si="76"/>
        <v>0</v>
      </c>
    </row>
    <row r="1643" spans="1:15" outlineLevel="2" x14ac:dyDescent="0.25">
      <c r="A1643" s="207" t="str">
        <f>VLOOKUP(RIGHT(E1643,3)+0,SchLocTable!$A$2:$B$47,2,FALSE)</f>
        <v>Harding HS</v>
      </c>
      <c r="B1643" s="207" t="str">
        <f>VLOOKUP(VALUE(D1643),$D$3:F$106,3,FALSE)</f>
        <v>Science</v>
      </c>
      <c r="C1643" s="751" t="s">
        <v>246</v>
      </c>
      <c r="D1643" s="751" t="s">
        <v>579</v>
      </c>
      <c r="E1643" s="751" t="s">
        <v>604</v>
      </c>
      <c r="F1643" s="751" t="s">
        <v>259</v>
      </c>
      <c r="G1643" s="752" t="s">
        <v>1681</v>
      </c>
      <c r="H1643" s="753">
        <v>52917</v>
      </c>
      <c r="I1643" s="754">
        <v>103876.08</v>
      </c>
      <c r="J1643" s="754">
        <v>0</v>
      </c>
      <c r="K1643" s="754">
        <v>0</v>
      </c>
      <c r="L1643" s="754">
        <v>24732.400000000001</v>
      </c>
      <c r="M1643" s="754">
        <f t="shared" si="75"/>
        <v>24732.400000000001</v>
      </c>
      <c r="N1643" s="756">
        <v>103876.08</v>
      </c>
      <c r="O1643" s="720">
        <f t="shared" si="76"/>
        <v>0</v>
      </c>
    </row>
    <row r="1644" spans="1:15" outlineLevel="1" x14ac:dyDescent="0.25">
      <c r="A1644" s="207" t="e">
        <f>VLOOKUP(RIGHT(E1644,3)+0,SchLocTable!$A$2:$B$47,2,FALSE)</f>
        <v>#N/A</v>
      </c>
      <c r="B1644" s="207" t="str">
        <f>VLOOKUP(VALUE(D1644),$D$3:F$106,3,FALSE)</f>
        <v>Social Studies</v>
      </c>
      <c r="C1644" s="755" t="s">
        <v>246</v>
      </c>
      <c r="D1644" s="751" t="s">
        <v>605</v>
      </c>
      <c r="E1644" s="751" t="s">
        <v>1868</v>
      </c>
      <c r="F1644" s="751" t="s">
        <v>257</v>
      </c>
      <c r="G1644" s="752" t="s">
        <v>1681</v>
      </c>
      <c r="H1644" s="753">
        <v>51140</v>
      </c>
      <c r="I1644" s="754">
        <v>1200</v>
      </c>
      <c r="J1644" s="754">
        <v>0</v>
      </c>
      <c r="K1644" s="754">
        <v>0</v>
      </c>
      <c r="L1644" s="754">
        <v>0</v>
      </c>
      <c r="M1644" s="754">
        <f t="shared" si="75"/>
        <v>0</v>
      </c>
      <c r="N1644" s="756">
        <v>1200</v>
      </c>
      <c r="O1644" s="720">
        <f t="shared" si="76"/>
        <v>0</v>
      </c>
    </row>
    <row r="1645" spans="1:15" outlineLevel="2" x14ac:dyDescent="0.25">
      <c r="A1645" s="207" t="e">
        <f>VLOOKUP(RIGHT(E1645,3)+0,SchLocTable!$A$2:$B$47,2,FALSE)</f>
        <v>#N/A</v>
      </c>
      <c r="B1645" s="207" t="str">
        <f>VLOOKUP(VALUE(D1645),$D$3:F$106,3,FALSE)</f>
        <v>Social Studies</v>
      </c>
      <c r="C1645" s="751" t="s">
        <v>246</v>
      </c>
      <c r="D1645" s="751" t="s">
        <v>605</v>
      </c>
      <c r="E1645" s="751" t="s">
        <v>1868</v>
      </c>
      <c r="F1645" s="751" t="s">
        <v>254</v>
      </c>
      <c r="G1645" s="752" t="s">
        <v>1681</v>
      </c>
      <c r="H1645" s="753">
        <v>52360</v>
      </c>
      <c r="I1645" s="754">
        <v>0</v>
      </c>
      <c r="J1645" s="754">
        <v>0</v>
      </c>
      <c r="K1645" s="754">
        <v>0</v>
      </c>
      <c r="L1645" s="754">
        <v>0</v>
      </c>
      <c r="M1645" s="754">
        <f t="shared" si="75"/>
        <v>0</v>
      </c>
      <c r="N1645" s="756">
        <v>0</v>
      </c>
      <c r="O1645" s="720">
        <f t="shared" si="76"/>
        <v>0</v>
      </c>
    </row>
    <row r="1646" spans="1:15" outlineLevel="2" x14ac:dyDescent="0.25">
      <c r="A1646" s="207" t="str">
        <f>VLOOKUP(RIGHT(E1646,3)+0,SchLocTable!$A$2:$B$47,2,FALSE)</f>
        <v>Barnum</v>
      </c>
      <c r="B1646" s="207" t="str">
        <f>VLOOKUP(VALUE(D1646),$D$3:F$106,3,FALSE)</f>
        <v>Social Studies</v>
      </c>
      <c r="C1646" s="751" t="s">
        <v>246</v>
      </c>
      <c r="D1646" s="751" t="s">
        <v>605</v>
      </c>
      <c r="E1646" s="751" t="s">
        <v>606</v>
      </c>
      <c r="F1646" s="751" t="s">
        <v>248</v>
      </c>
      <c r="G1646" s="752">
        <v>1</v>
      </c>
      <c r="H1646" s="753">
        <v>51000</v>
      </c>
      <c r="I1646" s="754">
        <v>70291.22</v>
      </c>
      <c r="J1646" s="754">
        <v>0</v>
      </c>
      <c r="K1646" s="754">
        <v>0</v>
      </c>
      <c r="L1646" s="754">
        <v>13465.75</v>
      </c>
      <c r="M1646" s="754">
        <f t="shared" si="75"/>
        <v>13465.75</v>
      </c>
      <c r="N1646" s="756">
        <v>70291.22</v>
      </c>
      <c r="O1646" s="720">
        <f t="shared" si="76"/>
        <v>0</v>
      </c>
    </row>
    <row r="1647" spans="1:15" outlineLevel="2" x14ac:dyDescent="0.25">
      <c r="A1647" s="207" t="str">
        <f>VLOOKUP(RIGHT(E1647,3)+0,SchLocTable!$A$2:$B$47,2,FALSE)</f>
        <v>Barnum</v>
      </c>
      <c r="B1647" s="207" t="str">
        <f>VLOOKUP(VALUE(D1647),$D$3:F$106,3,FALSE)</f>
        <v>Social Studies</v>
      </c>
      <c r="C1647" s="751" t="s">
        <v>246</v>
      </c>
      <c r="D1647" s="751" t="s">
        <v>605</v>
      </c>
      <c r="E1647" s="751" t="s">
        <v>606</v>
      </c>
      <c r="F1647" s="751" t="s">
        <v>254</v>
      </c>
      <c r="G1647" s="752" t="s">
        <v>1681</v>
      </c>
      <c r="H1647" s="753">
        <v>52360</v>
      </c>
      <c r="I1647" s="754">
        <v>1007.18</v>
      </c>
      <c r="J1647" s="754">
        <v>0</v>
      </c>
      <c r="K1647" s="754">
        <v>0</v>
      </c>
      <c r="L1647" s="754">
        <v>183.21</v>
      </c>
      <c r="M1647" s="754">
        <f t="shared" si="75"/>
        <v>183.21</v>
      </c>
      <c r="N1647" s="756">
        <v>1007.18</v>
      </c>
      <c r="O1647" s="720">
        <f t="shared" si="76"/>
        <v>0</v>
      </c>
    </row>
    <row r="1648" spans="1:15" outlineLevel="2" x14ac:dyDescent="0.25">
      <c r="A1648" s="207" t="str">
        <f>VLOOKUP(RIGHT(E1648,3)+0,SchLocTable!$A$2:$B$47,2,FALSE)</f>
        <v>Barnum</v>
      </c>
      <c r="B1648" s="207" t="str">
        <f>VLOOKUP(VALUE(D1648),$D$3:F$106,3,FALSE)</f>
        <v>Social Studies</v>
      </c>
      <c r="C1648" s="751" t="s">
        <v>246</v>
      </c>
      <c r="D1648" s="751" t="s">
        <v>605</v>
      </c>
      <c r="E1648" s="751" t="s">
        <v>606</v>
      </c>
      <c r="F1648" s="751" t="s">
        <v>259</v>
      </c>
      <c r="G1648" s="752" t="s">
        <v>1681</v>
      </c>
      <c r="H1648" s="753">
        <v>52917</v>
      </c>
      <c r="I1648" s="754">
        <v>11844</v>
      </c>
      <c r="J1648" s="754">
        <v>0</v>
      </c>
      <c r="K1648" s="754">
        <v>0</v>
      </c>
      <c r="L1648" s="754">
        <v>2820</v>
      </c>
      <c r="M1648" s="754">
        <f t="shared" si="75"/>
        <v>2820</v>
      </c>
      <c r="N1648" s="756">
        <v>11844</v>
      </c>
      <c r="O1648" s="720">
        <f t="shared" si="76"/>
        <v>0</v>
      </c>
    </row>
    <row r="1649" spans="1:15" outlineLevel="2" x14ac:dyDescent="0.25">
      <c r="A1649" s="207" t="str">
        <f>VLOOKUP(RIGHT(E1649,3)+0,SchLocTable!$A$2:$B$47,2,FALSE)</f>
        <v>Columbus</v>
      </c>
      <c r="B1649" s="207" t="str">
        <f>VLOOKUP(VALUE(D1649),$D$3:F$106,3,FALSE)</f>
        <v>Social Studies</v>
      </c>
      <c r="C1649" s="751" t="s">
        <v>246</v>
      </c>
      <c r="D1649" s="751" t="s">
        <v>605</v>
      </c>
      <c r="E1649" s="751" t="s">
        <v>607</v>
      </c>
      <c r="F1649" s="751" t="s">
        <v>248</v>
      </c>
      <c r="G1649" s="752">
        <v>1</v>
      </c>
      <c r="H1649" s="753">
        <v>51000</v>
      </c>
      <c r="I1649" s="754">
        <v>103153.2</v>
      </c>
      <c r="J1649" s="754">
        <v>0</v>
      </c>
      <c r="K1649" s="754">
        <v>0</v>
      </c>
      <c r="L1649" s="754">
        <v>19761.150000000001</v>
      </c>
      <c r="M1649" s="754">
        <f t="shared" si="75"/>
        <v>19761.150000000001</v>
      </c>
      <c r="N1649" s="756">
        <v>103153.2</v>
      </c>
      <c r="O1649" s="720">
        <f t="shared" si="76"/>
        <v>0</v>
      </c>
    </row>
    <row r="1650" spans="1:15" outlineLevel="1" x14ac:dyDescent="0.25">
      <c r="A1650" s="207" t="str">
        <f>VLOOKUP(RIGHT(E1650,3)+0,SchLocTable!$A$2:$B$47,2,FALSE)</f>
        <v>Columbus</v>
      </c>
      <c r="B1650" s="207" t="str">
        <f>VLOOKUP(VALUE(D1650),$D$3:F$106,3,FALSE)</f>
        <v>Social Studies</v>
      </c>
      <c r="C1650" s="751" t="s">
        <v>246</v>
      </c>
      <c r="D1650" s="751" t="s">
        <v>605</v>
      </c>
      <c r="E1650" s="751" t="s">
        <v>607</v>
      </c>
      <c r="F1650" s="751" t="s">
        <v>257</v>
      </c>
      <c r="G1650" s="752" t="s">
        <v>1681</v>
      </c>
      <c r="H1650" s="753">
        <v>51140</v>
      </c>
      <c r="I1650" s="754">
        <v>1100</v>
      </c>
      <c r="J1650" s="754">
        <v>0</v>
      </c>
      <c r="K1650" s="754">
        <v>0</v>
      </c>
      <c r="L1650" s="754">
        <v>0</v>
      </c>
      <c r="M1650" s="754">
        <f t="shared" si="75"/>
        <v>0</v>
      </c>
      <c r="N1650" s="756">
        <v>1100</v>
      </c>
      <c r="O1650" s="720">
        <f t="shared" si="76"/>
        <v>0</v>
      </c>
    </row>
    <row r="1651" spans="1:15" outlineLevel="2" x14ac:dyDescent="0.25">
      <c r="A1651" s="207" t="str">
        <f>VLOOKUP(RIGHT(E1651,3)+0,SchLocTable!$A$2:$B$47,2,FALSE)</f>
        <v>Columbus</v>
      </c>
      <c r="B1651" s="207" t="str">
        <f>VLOOKUP(VALUE(D1651),$D$3:F$106,3,FALSE)</f>
        <v>Social Studies</v>
      </c>
      <c r="C1651" s="751" t="s">
        <v>246</v>
      </c>
      <c r="D1651" s="751" t="s">
        <v>605</v>
      </c>
      <c r="E1651" s="751" t="s">
        <v>607</v>
      </c>
      <c r="F1651" s="751" t="s">
        <v>254</v>
      </c>
      <c r="G1651" s="752" t="s">
        <v>1681</v>
      </c>
      <c r="H1651" s="753">
        <v>52360</v>
      </c>
      <c r="I1651" s="754">
        <v>1466.69</v>
      </c>
      <c r="J1651" s="754">
        <v>0</v>
      </c>
      <c r="K1651" s="754">
        <v>0</v>
      </c>
      <c r="L1651" s="754">
        <v>257.51</v>
      </c>
      <c r="M1651" s="754">
        <f t="shared" si="75"/>
        <v>257.51</v>
      </c>
      <c r="N1651" s="756">
        <v>1466.69</v>
      </c>
      <c r="O1651" s="720">
        <f t="shared" si="76"/>
        <v>0</v>
      </c>
    </row>
    <row r="1652" spans="1:15" outlineLevel="2" x14ac:dyDescent="0.25">
      <c r="A1652" s="207" t="str">
        <f>VLOOKUP(RIGHT(E1652,3)+0,SchLocTable!$A$2:$B$47,2,FALSE)</f>
        <v>Columbus</v>
      </c>
      <c r="B1652" s="207" t="str">
        <f>VLOOKUP(VALUE(D1652),$D$3:F$106,3,FALSE)</f>
        <v>Social Studies</v>
      </c>
      <c r="C1652" s="755" t="s">
        <v>246</v>
      </c>
      <c r="D1652" s="751" t="s">
        <v>605</v>
      </c>
      <c r="E1652" s="751" t="s">
        <v>607</v>
      </c>
      <c r="F1652" s="751" t="s">
        <v>259</v>
      </c>
      <c r="G1652" s="752" t="s">
        <v>1681</v>
      </c>
      <c r="H1652" s="753">
        <v>52917</v>
      </c>
      <c r="I1652" s="754">
        <v>28478.1</v>
      </c>
      <c r="J1652" s="754">
        <v>0</v>
      </c>
      <c r="K1652" s="754">
        <v>0</v>
      </c>
      <c r="L1652" s="754">
        <v>6780.5</v>
      </c>
      <c r="M1652" s="754">
        <f t="shared" si="75"/>
        <v>6780.5</v>
      </c>
      <c r="N1652" s="756">
        <v>28478.1</v>
      </c>
      <c r="O1652" s="720">
        <f t="shared" si="76"/>
        <v>0</v>
      </c>
    </row>
    <row r="1653" spans="1:15" outlineLevel="2" x14ac:dyDescent="0.25">
      <c r="A1653" s="207" t="str">
        <f>VLOOKUP(RIGHT(E1653,3)+0,SchLocTable!$A$2:$B$47,2,FALSE)</f>
        <v>Physical Science HS</v>
      </c>
      <c r="B1653" s="207" t="str">
        <f>VLOOKUP(VALUE(D1653),$D$3:F$106,3,FALSE)</f>
        <v>Social Studies</v>
      </c>
      <c r="C1653" s="751" t="s">
        <v>246</v>
      </c>
      <c r="D1653" s="751" t="s">
        <v>605</v>
      </c>
      <c r="E1653" s="751" t="s">
        <v>608</v>
      </c>
      <c r="F1653" s="751" t="s">
        <v>248</v>
      </c>
      <c r="G1653" s="752">
        <v>2</v>
      </c>
      <c r="H1653" s="753">
        <v>51000</v>
      </c>
      <c r="I1653" s="754">
        <v>168280.79</v>
      </c>
      <c r="J1653" s="754">
        <v>0</v>
      </c>
      <c r="K1653" s="754">
        <v>0</v>
      </c>
      <c r="L1653" s="754">
        <v>32237.7</v>
      </c>
      <c r="M1653" s="754">
        <f t="shared" si="75"/>
        <v>32237.7</v>
      </c>
      <c r="N1653" s="756">
        <v>168280.79</v>
      </c>
      <c r="O1653" s="720">
        <f t="shared" si="76"/>
        <v>0</v>
      </c>
    </row>
    <row r="1654" spans="1:15" outlineLevel="1" x14ac:dyDescent="0.25">
      <c r="A1654" s="207" t="str">
        <f>VLOOKUP(RIGHT(E1654,3)+0,SchLocTable!$A$2:$B$47,2,FALSE)</f>
        <v>Physical Science HS</v>
      </c>
      <c r="B1654" s="207" t="str">
        <f>VLOOKUP(VALUE(D1654),$D$3:F$106,3,FALSE)</f>
        <v>Social Studies</v>
      </c>
      <c r="C1654" s="751" t="s">
        <v>246</v>
      </c>
      <c r="D1654" s="751" t="s">
        <v>605</v>
      </c>
      <c r="E1654" s="751" t="s">
        <v>608</v>
      </c>
      <c r="F1654" s="751" t="s">
        <v>254</v>
      </c>
      <c r="G1654" s="752" t="s">
        <v>1681</v>
      </c>
      <c r="H1654" s="753">
        <v>52360</v>
      </c>
      <c r="I1654" s="754">
        <v>2383.52</v>
      </c>
      <c r="J1654" s="754">
        <v>0</v>
      </c>
      <c r="K1654" s="754">
        <v>0</v>
      </c>
      <c r="L1654" s="754">
        <v>410.9</v>
      </c>
      <c r="M1654" s="754">
        <f t="shared" si="75"/>
        <v>410.9</v>
      </c>
      <c r="N1654" s="756">
        <v>2383.52</v>
      </c>
      <c r="O1654" s="720">
        <f t="shared" si="76"/>
        <v>0</v>
      </c>
    </row>
    <row r="1655" spans="1:15" outlineLevel="2" x14ac:dyDescent="0.25">
      <c r="A1655" s="207" t="str">
        <f>VLOOKUP(RIGHT(E1655,3)+0,SchLocTable!$A$2:$B$47,2,FALSE)</f>
        <v>Physical Science HS</v>
      </c>
      <c r="B1655" s="207" t="str">
        <f>VLOOKUP(VALUE(D1655),$D$3:F$106,3,FALSE)</f>
        <v>Social Studies</v>
      </c>
      <c r="C1655" s="751" t="s">
        <v>246</v>
      </c>
      <c r="D1655" s="751" t="s">
        <v>605</v>
      </c>
      <c r="E1655" s="751" t="s">
        <v>608</v>
      </c>
      <c r="F1655" s="751" t="s">
        <v>259</v>
      </c>
      <c r="G1655" s="752" t="s">
        <v>1681</v>
      </c>
      <c r="H1655" s="753">
        <v>52917</v>
      </c>
      <c r="I1655" s="754">
        <v>46919.88</v>
      </c>
      <c r="J1655" s="754">
        <v>0</v>
      </c>
      <c r="K1655" s="754">
        <v>0</v>
      </c>
      <c r="L1655" s="754">
        <v>11171.4</v>
      </c>
      <c r="M1655" s="754">
        <f t="shared" si="75"/>
        <v>11171.4</v>
      </c>
      <c r="N1655" s="756">
        <v>46919.88</v>
      </c>
      <c r="O1655" s="720">
        <f t="shared" si="76"/>
        <v>0</v>
      </c>
    </row>
    <row r="1656" spans="1:15" outlineLevel="2" x14ac:dyDescent="0.25">
      <c r="A1656" s="207" t="str">
        <f>VLOOKUP(RIGHT(E1656,3)+0,SchLocTable!$A$2:$B$47,2,FALSE)</f>
        <v>Marin</v>
      </c>
      <c r="B1656" s="207" t="str">
        <f>VLOOKUP(VALUE(D1656),$D$3:F$106,3,FALSE)</f>
        <v>Social Studies</v>
      </c>
      <c r="C1656" s="751" t="s">
        <v>246</v>
      </c>
      <c r="D1656" s="751" t="s">
        <v>605</v>
      </c>
      <c r="E1656" s="751" t="s">
        <v>609</v>
      </c>
      <c r="F1656" s="751" t="s">
        <v>248</v>
      </c>
      <c r="G1656" s="752">
        <v>2</v>
      </c>
      <c r="H1656" s="753">
        <v>51000</v>
      </c>
      <c r="I1656" s="754">
        <v>122360.98</v>
      </c>
      <c r="J1656" s="754">
        <v>0</v>
      </c>
      <c r="K1656" s="754">
        <v>0</v>
      </c>
      <c r="L1656" s="754">
        <v>23440.799999999999</v>
      </c>
      <c r="M1656" s="754">
        <f t="shared" si="75"/>
        <v>23440.799999999999</v>
      </c>
      <c r="N1656" s="756">
        <v>122360.98</v>
      </c>
      <c r="O1656" s="720">
        <f t="shared" si="76"/>
        <v>0</v>
      </c>
    </row>
    <row r="1657" spans="1:15" outlineLevel="1" x14ac:dyDescent="0.25">
      <c r="A1657" s="207" t="str">
        <f>VLOOKUP(RIGHT(E1657,3)+0,SchLocTable!$A$2:$B$47,2,FALSE)</f>
        <v>Marin</v>
      </c>
      <c r="B1657" s="207" t="str">
        <f>VLOOKUP(VALUE(D1657),$D$3:F$106,3,FALSE)</f>
        <v>Social Studies</v>
      </c>
      <c r="C1657" s="751" t="s">
        <v>246</v>
      </c>
      <c r="D1657" s="751" t="s">
        <v>605</v>
      </c>
      <c r="E1657" s="751" t="s">
        <v>609</v>
      </c>
      <c r="F1657" s="751" t="s">
        <v>254</v>
      </c>
      <c r="G1657" s="752" t="s">
        <v>1681</v>
      </c>
      <c r="H1657" s="753">
        <v>52360</v>
      </c>
      <c r="I1657" s="754">
        <v>1745.21</v>
      </c>
      <c r="J1657" s="754">
        <v>0</v>
      </c>
      <c r="K1657" s="754">
        <v>0</v>
      </c>
      <c r="L1657" s="754">
        <v>310.87</v>
      </c>
      <c r="M1657" s="754">
        <f t="shared" si="75"/>
        <v>310.87</v>
      </c>
      <c r="N1657" s="756">
        <v>1745.21</v>
      </c>
      <c r="O1657" s="720">
        <f t="shared" si="76"/>
        <v>0</v>
      </c>
    </row>
    <row r="1658" spans="1:15" outlineLevel="2" x14ac:dyDescent="0.25">
      <c r="A1658" s="207" t="str">
        <f>VLOOKUP(RIGHT(E1658,3)+0,SchLocTable!$A$2:$B$47,2,FALSE)</f>
        <v>Marin</v>
      </c>
      <c r="B1658" s="207" t="str">
        <f>VLOOKUP(VALUE(D1658),$D$3:F$106,3,FALSE)</f>
        <v>Social Studies</v>
      </c>
      <c r="C1658" s="751" t="s">
        <v>246</v>
      </c>
      <c r="D1658" s="751" t="s">
        <v>605</v>
      </c>
      <c r="E1658" s="751" t="s">
        <v>609</v>
      </c>
      <c r="F1658" s="751" t="s">
        <v>292</v>
      </c>
      <c r="G1658" s="752" t="s">
        <v>1681</v>
      </c>
      <c r="H1658" s="753">
        <v>52385</v>
      </c>
      <c r="I1658" s="754">
        <v>0</v>
      </c>
      <c r="J1658" s="754">
        <v>0</v>
      </c>
      <c r="K1658" s="754">
        <v>0</v>
      </c>
      <c r="L1658" s="754">
        <v>0</v>
      </c>
      <c r="M1658" s="754">
        <f t="shared" si="75"/>
        <v>0</v>
      </c>
      <c r="N1658" s="756">
        <v>0</v>
      </c>
      <c r="O1658" s="720">
        <f t="shared" si="76"/>
        <v>0</v>
      </c>
    </row>
    <row r="1659" spans="1:15" outlineLevel="2" x14ac:dyDescent="0.25">
      <c r="A1659" s="207" t="str">
        <f>VLOOKUP(RIGHT(E1659,3)+0,SchLocTable!$A$2:$B$47,2,FALSE)</f>
        <v>Marin</v>
      </c>
      <c r="B1659" s="207" t="str">
        <f>VLOOKUP(VALUE(D1659),$D$3:F$106,3,FALSE)</f>
        <v>Social Studies</v>
      </c>
      <c r="C1659" s="751" t="s">
        <v>246</v>
      </c>
      <c r="D1659" s="751" t="s">
        <v>605</v>
      </c>
      <c r="E1659" s="751" t="s">
        <v>609</v>
      </c>
      <c r="F1659" s="751" t="s">
        <v>259</v>
      </c>
      <c r="G1659" s="752" t="s">
        <v>1681</v>
      </c>
      <c r="H1659" s="753">
        <v>52917</v>
      </c>
      <c r="I1659" s="754">
        <v>29821.24</v>
      </c>
      <c r="J1659" s="754">
        <v>0</v>
      </c>
      <c r="K1659" s="754">
        <v>0</v>
      </c>
      <c r="L1659" s="754">
        <v>8123.64</v>
      </c>
      <c r="M1659" s="754">
        <f t="shared" si="75"/>
        <v>8123.64</v>
      </c>
      <c r="N1659" s="756">
        <v>29821.24</v>
      </c>
      <c r="O1659" s="720">
        <f t="shared" si="76"/>
        <v>0</v>
      </c>
    </row>
    <row r="1660" spans="1:15" outlineLevel="2" x14ac:dyDescent="0.25">
      <c r="A1660" s="207" t="str">
        <f>VLOOKUP(RIGHT(E1660,3)+0,SchLocTable!$A$2:$B$47,2,FALSE)</f>
        <v>Hooker</v>
      </c>
      <c r="B1660" s="207" t="str">
        <f>VLOOKUP(VALUE(D1660),$D$3:F$106,3,FALSE)</f>
        <v>Social Studies</v>
      </c>
      <c r="C1660" s="751" t="s">
        <v>246</v>
      </c>
      <c r="D1660" s="751" t="s">
        <v>605</v>
      </c>
      <c r="E1660" s="751" t="s">
        <v>610</v>
      </c>
      <c r="F1660" s="751" t="s">
        <v>248</v>
      </c>
      <c r="G1660" s="752">
        <v>1</v>
      </c>
      <c r="H1660" s="753">
        <v>51000</v>
      </c>
      <c r="I1660" s="754">
        <v>58141.67</v>
      </c>
      <c r="J1660" s="754">
        <v>0</v>
      </c>
      <c r="K1660" s="754">
        <v>0</v>
      </c>
      <c r="L1660" s="754">
        <v>11138.25</v>
      </c>
      <c r="M1660" s="754">
        <f t="shared" si="75"/>
        <v>11138.25</v>
      </c>
      <c r="N1660" s="756">
        <v>58141.67</v>
      </c>
      <c r="O1660" s="720">
        <f t="shared" si="76"/>
        <v>0</v>
      </c>
    </row>
    <row r="1661" spans="1:15" outlineLevel="2" x14ac:dyDescent="0.25">
      <c r="A1661" s="207" t="str">
        <f>VLOOKUP(RIGHT(E1661,3)+0,SchLocTable!$A$2:$B$47,2,FALSE)</f>
        <v>Hooker</v>
      </c>
      <c r="B1661" s="207" t="str">
        <f>VLOOKUP(VALUE(D1661),$D$3:F$106,3,FALSE)</f>
        <v>Social Studies</v>
      </c>
      <c r="C1661" s="751" t="s">
        <v>246</v>
      </c>
      <c r="D1661" s="751" t="s">
        <v>605</v>
      </c>
      <c r="E1661" s="751" t="s">
        <v>610</v>
      </c>
      <c r="F1661" s="751" t="s">
        <v>254</v>
      </c>
      <c r="G1661" s="752" t="s">
        <v>1681</v>
      </c>
      <c r="H1661" s="753">
        <v>52360</v>
      </c>
      <c r="I1661" s="754">
        <v>831.07</v>
      </c>
      <c r="J1661" s="754">
        <v>0</v>
      </c>
      <c r="K1661" s="754">
        <v>0</v>
      </c>
      <c r="L1661" s="754">
        <v>149.52000000000001</v>
      </c>
      <c r="M1661" s="754">
        <f t="shared" si="75"/>
        <v>149.52000000000001</v>
      </c>
      <c r="N1661" s="756">
        <v>831.07</v>
      </c>
      <c r="O1661" s="720">
        <f t="shared" si="76"/>
        <v>0</v>
      </c>
    </row>
    <row r="1662" spans="1:15" outlineLevel="2" x14ac:dyDescent="0.25">
      <c r="A1662" s="207" t="str">
        <f>VLOOKUP(RIGHT(E1662,3)+0,SchLocTable!$A$2:$B$47,2,FALSE)</f>
        <v>Hooker</v>
      </c>
      <c r="B1662" s="207" t="str">
        <f>VLOOKUP(VALUE(D1662),$D$3:F$106,3,FALSE)</f>
        <v>Social Studies</v>
      </c>
      <c r="C1662" s="751" t="s">
        <v>246</v>
      </c>
      <c r="D1662" s="751" t="s">
        <v>605</v>
      </c>
      <c r="E1662" s="751" t="s">
        <v>610</v>
      </c>
      <c r="F1662" s="751" t="s">
        <v>259</v>
      </c>
      <c r="G1662" s="752" t="s">
        <v>1681</v>
      </c>
      <c r="H1662" s="753">
        <v>52917</v>
      </c>
      <c r="I1662" s="754">
        <v>11747.4</v>
      </c>
      <c r="J1662" s="754">
        <v>0</v>
      </c>
      <c r="K1662" s="754">
        <v>0</v>
      </c>
      <c r="L1662" s="754">
        <v>2797</v>
      </c>
      <c r="M1662" s="754">
        <f t="shared" si="75"/>
        <v>2797</v>
      </c>
      <c r="N1662" s="756">
        <v>11747.4</v>
      </c>
      <c r="O1662" s="720">
        <f t="shared" si="76"/>
        <v>0</v>
      </c>
    </row>
    <row r="1663" spans="1:15" outlineLevel="2" x14ac:dyDescent="0.25">
      <c r="A1663" s="207" t="str">
        <f>VLOOKUP(RIGHT(E1663,3)+0,SchLocTable!$A$2:$B$47,2,FALSE)</f>
        <v>Batalla</v>
      </c>
      <c r="B1663" s="207" t="str">
        <f>VLOOKUP(VALUE(D1663),$D$3:F$106,3,FALSE)</f>
        <v>Social Studies</v>
      </c>
      <c r="C1663" s="751" t="s">
        <v>246</v>
      </c>
      <c r="D1663" s="751" t="s">
        <v>605</v>
      </c>
      <c r="E1663" s="751" t="s">
        <v>611</v>
      </c>
      <c r="F1663" s="751" t="s">
        <v>248</v>
      </c>
      <c r="G1663" s="752">
        <v>2</v>
      </c>
      <c r="H1663" s="753">
        <v>51000</v>
      </c>
      <c r="I1663" s="754">
        <v>161294.87</v>
      </c>
      <c r="J1663" s="754">
        <v>0</v>
      </c>
      <c r="K1663" s="754">
        <v>0</v>
      </c>
      <c r="L1663" s="754">
        <v>30899.4</v>
      </c>
      <c r="M1663" s="754">
        <f t="shared" ref="M1663:M1726" si="77">SUM(J1663:L1663)</f>
        <v>30899.4</v>
      </c>
      <c r="N1663" s="756">
        <v>161294.87</v>
      </c>
      <c r="O1663" s="720">
        <f t="shared" ref="O1663:O1726" si="78">I1663-N1663</f>
        <v>0</v>
      </c>
    </row>
    <row r="1664" spans="1:15" outlineLevel="2" x14ac:dyDescent="0.25">
      <c r="A1664" s="207" t="str">
        <f>VLOOKUP(RIGHT(E1664,3)+0,SchLocTable!$A$2:$B$47,2,FALSE)</f>
        <v>Batalla</v>
      </c>
      <c r="B1664" s="207" t="str">
        <f>VLOOKUP(VALUE(D1664),$D$3:F$106,3,FALSE)</f>
        <v>Social Studies</v>
      </c>
      <c r="C1664" s="751" t="s">
        <v>246</v>
      </c>
      <c r="D1664" s="751" t="s">
        <v>605</v>
      </c>
      <c r="E1664" s="751" t="s">
        <v>611</v>
      </c>
      <c r="F1664" s="751" t="s">
        <v>257</v>
      </c>
      <c r="G1664" s="752" t="s">
        <v>1681</v>
      </c>
      <c r="H1664" s="753">
        <v>51140</v>
      </c>
      <c r="I1664" s="754">
        <v>1100</v>
      </c>
      <c r="J1664" s="754">
        <v>0</v>
      </c>
      <c r="K1664" s="754">
        <v>0</v>
      </c>
      <c r="L1664" s="754">
        <v>0</v>
      </c>
      <c r="M1664" s="754">
        <f t="shared" si="77"/>
        <v>0</v>
      </c>
      <c r="N1664" s="756">
        <v>1100</v>
      </c>
      <c r="O1664" s="720">
        <f t="shared" si="78"/>
        <v>0</v>
      </c>
    </row>
    <row r="1665" spans="1:15" outlineLevel="2" x14ac:dyDescent="0.25">
      <c r="A1665" s="207" t="str">
        <f>VLOOKUP(RIGHT(E1665,3)+0,SchLocTable!$A$2:$B$47,2,FALSE)</f>
        <v>Batalla</v>
      </c>
      <c r="B1665" s="207" t="str">
        <f>VLOOKUP(VALUE(D1665),$D$3:F$106,3,FALSE)</f>
        <v>Social Studies</v>
      </c>
      <c r="C1665" s="751" t="s">
        <v>246</v>
      </c>
      <c r="D1665" s="751" t="s">
        <v>605</v>
      </c>
      <c r="E1665" s="751" t="s">
        <v>611</v>
      </c>
      <c r="F1665" s="751" t="s">
        <v>254</v>
      </c>
      <c r="G1665" s="752" t="s">
        <v>1681</v>
      </c>
      <c r="H1665" s="753">
        <v>52360</v>
      </c>
      <c r="I1665" s="754">
        <v>2314.7600000000002</v>
      </c>
      <c r="J1665" s="754">
        <v>0</v>
      </c>
      <c r="K1665" s="754">
        <v>0</v>
      </c>
      <c r="L1665" s="754">
        <v>424.03</v>
      </c>
      <c r="M1665" s="754">
        <f t="shared" si="77"/>
        <v>424.03</v>
      </c>
      <c r="N1665" s="756">
        <v>2314.7600000000002</v>
      </c>
      <c r="O1665" s="720">
        <f t="shared" si="78"/>
        <v>0</v>
      </c>
    </row>
    <row r="1666" spans="1:15" outlineLevel="2" x14ac:dyDescent="0.25">
      <c r="A1666" s="207" t="str">
        <f>VLOOKUP(RIGHT(E1666,3)+0,SchLocTable!$A$2:$B$47,2,FALSE)</f>
        <v>Batalla</v>
      </c>
      <c r="B1666" s="207" t="str">
        <f>VLOOKUP(VALUE(D1666),$D$3:F$106,3,FALSE)</f>
        <v>Social Studies</v>
      </c>
      <c r="C1666" s="751" t="s">
        <v>246</v>
      </c>
      <c r="D1666" s="751" t="s">
        <v>605</v>
      </c>
      <c r="E1666" s="751" t="s">
        <v>611</v>
      </c>
      <c r="F1666" s="751" t="s">
        <v>292</v>
      </c>
      <c r="G1666" s="752" t="s">
        <v>1681</v>
      </c>
      <c r="H1666" s="753">
        <v>52385</v>
      </c>
      <c r="I1666" s="754">
        <v>0</v>
      </c>
      <c r="J1666" s="754">
        <v>0</v>
      </c>
      <c r="K1666" s="754">
        <v>0</v>
      </c>
      <c r="L1666" s="754">
        <v>0</v>
      </c>
      <c r="M1666" s="754">
        <f t="shared" si="77"/>
        <v>0</v>
      </c>
      <c r="N1666" s="756">
        <v>0</v>
      </c>
      <c r="O1666" s="720">
        <f t="shared" si="78"/>
        <v>0</v>
      </c>
    </row>
    <row r="1667" spans="1:15" outlineLevel="2" x14ac:dyDescent="0.25">
      <c r="A1667" s="207" t="str">
        <f>VLOOKUP(RIGHT(E1667,3)+0,SchLocTable!$A$2:$B$47,2,FALSE)</f>
        <v>Batalla</v>
      </c>
      <c r="B1667" s="207" t="str">
        <f>VLOOKUP(VALUE(D1667),$D$3:F$106,3,FALSE)</f>
        <v>Social Studies</v>
      </c>
      <c r="C1667" s="751" t="s">
        <v>246</v>
      </c>
      <c r="D1667" s="751" t="s">
        <v>605</v>
      </c>
      <c r="E1667" s="751" t="s">
        <v>611</v>
      </c>
      <c r="F1667" s="751" t="s">
        <v>259</v>
      </c>
      <c r="G1667" s="752" t="s">
        <v>1681</v>
      </c>
      <c r="H1667" s="753">
        <v>52917</v>
      </c>
      <c r="I1667" s="754">
        <v>23591.4</v>
      </c>
      <c r="J1667" s="754">
        <v>0</v>
      </c>
      <c r="K1667" s="754">
        <v>0</v>
      </c>
      <c r="L1667" s="754">
        <v>5617</v>
      </c>
      <c r="M1667" s="754">
        <f t="shared" si="77"/>
        <v>5617</v>
      </c>
      <c r="N1667" s="756">
        <v>23591.4</v>
      </c>
      <c r="O1667" s="720">
        <f t="shared" si="78"/>
        <v>0</v>
      </c>
    </row>
    <row r="1668" spans="1:15" outlineLevel="2" x14ac:dyDescent="0.25">
      <c r="A1668" s="207" t="str">
        <f>VLOOKUP(RIGHT(E1668,3)+0,SchLocTable!$A$2:$B$47,2,FALSE)</f>
        <v>Info Tech HS</v>
      </c>
      <c r="B1668" s="207" t="str">
        <f>VLOOKUP(VALUE(D1668),$D$3:F$106,3,FALSE)</f>
        <v>Social Studies</v>
      </c>
      <c r="C1668" s="751" t="s">
        <v>246</v>
      </c>
      <c r="D1668" s="751" t="s">
        <v>605</v>
      </c>
      <c r="E1668" s="751" t="s">
        <v>612</v>
      </c>
      <c r="F1668" s="751" t="s">
        <v>248</v>
      </c>
      <c r="G1668" s="752">
        <v>2</v>
      </c>
      <c r="H1668" s="753">
        <v>51000</v>
      </c>
      <c r="I1668" s="754">
        <v>107144.05</v>
      </c>
      <c r="J1668" s="754">
        <v>0</v>
      </c>
      <c r="K1668" s="754">
        <v>0</v>
      </c>
      <c r="L1668" s="754">
        <v>22290.25</v>
      </c>
      <c r="M1668" s="754">
        <f t="shared" si="77"/>
        <v>22290.25</v>
      </c>
      <c r="N1668" s="756">
        <v>107144.05</v>
      </c>
      <c r="O1668" s="720">
        <f t="shared" si="78"/>
        <v>0</v>
      </c>
    </row>
    <row r="1669" spans="1:15" outlineLevel="2" x14ac:dyDescent="0.25">
      <c r="A1669" s="207" t="str">
        <f>VLOOKUP(RIGHT(E1669,3)+0,SchLocTable!$A$2:$B$47,2,FALSE)</f>
        <v>Info Tech HS</v>
      </c>
      <c r="B1669" s="207" t="str">
        <f>VLOOKUP(VALUE(D1669),$D$3:F$106,3,FALSE)</f>
        <v>Social Studies</v>
      </c>
      <c r="C1669" s="751" t="s">
        <v>246</v>
      </c>
      <c r="D1669" s="751" t="s">
        <v>605</v>
      </c>
      <c r="E1669" s="751" t="s">
        <v>612</v>
      </c>
      <c r="F1669" s="751" t="s">
        <v>257</v>
      </c>
      <c r="G1669" s="752" t="s">
        <v>1681</v>
      </c>
      <c r="H1669" s="753">
        <v>51140</v>
      </c>
      <c r="I1669" s="754">
        <v>1200</v>
      </c>
      <c r="J1669" s="754">
        <v>0</v>
      </c>
      <c r="K1669" s="754">
        <v>0</v>
      </c>
      <c r="L1669" s="754">
        <v>0</v>
      </c>
      <c r="M1669" s="754">
        <f t="shared" si="77"/>
        <v>0</v>
      </c>
      <c r="N1669" s="756">
        <v>1200</v>
      </c>
      <c r="O1669" s="720">
        <f t="shared" si="78"/>
        <v>0</v>
      </c>
    </row>
    <row r="1670" spans="1:15" outlineLevel="2" x14ac:dyDescent="0.25">
      <c r="A1670" s="207" t="str">
        <f>VLOOKUP(RIGHT(E1670,3)+0,SchLocTable!$A$2:$B$47,2,FALSE)</f>
        <v>Info Tech HS</v>
      </c>
      <c r="B1670" s="207" t="str">
        <f>VLOOKUP(VALUE(D1670),$D$3:F$106,3,FALSE)</f>
        <v>Social Studies</v>
      </c>
      <c r="C1670" s="751" t="s">
        <v>246</v>
      </c>
      <c r="D1670" s="751" t="s">
        <v>605</v>
      </c>
      <c r="E1670" s="751" t="s">
        <v>612</v>
      </c>
      <c r="F1670" s="751" t="s">
        <v>254</v>
      </c>
      <c r="G1670" s="752" t="s">
        <v>1681</v>
      </c>
      <c r="H1670" s="753">
        <v>52360</v>
      </c>
      <c r="I1670" s="754">
        <v>1541.55</v>
      </c>
      <c r="J1670" s="754">
        <v>0</v>
      </c>
      <c r="K1670" s="754">
        <v>0</v>
      </c>
      <c r="L1670" s="754">
        <v>311.17</v>
      </c>
      <c r="M1670" s="754">
        <f t="shared" si="77"/>
        <v>311.17</v>
      </c>
      <c r="N1670" s="756">
        <v>1541.55</v>
      </c>
      <c r="O1670" s="720">
        <f t="shared" si="78"/>
        <v>0</v>
      </c>
    </row>
    <row r="1671" spans="1:15" outlineLevel="2" x14ac:dyDescent="0.25">
      <c r="A1671" s="207" t="str">
        <f>VLOOKUP(RIGHT(E1671,3)+0,SchLocTable!$A$2:$B$47,2,FALSE)</f>
        <v>Info Tech HS</v>
      </c>
      <c r="B1671" s="207" t="str">
        <f>VLOOKUP(VALUE(D1671),$D$3:F$106,3,FALSE)</f>
        <v>Social Studies</v>
      </c>
      <c r="C1671" s="751" t="s">
        <v>246</v>
      </c>
      <c r="D1671" s="751" t="s">
        <v>605</v>
      </c>
      <c r="E1671" s="751" t="s">
        <v>612</v>
      </c>
      <c r="F1671" s="751" t="s">
        <v>292</v>
      </c>
      <c r="G1671" s="752" t="s">
        <v>1681</v>
      </c>
      <c r="H1671" s="753">
        <v>52385</v>
      </c>
      <c r="I1671" s="754">
        <v>3051.95</v>
      </c>
      <c r="J1671" s="754">
        <v>0</v>
      </c>
      <c r="K1671" s="754">
        <v>0</v>
      </c>
      <c r="L1671" s="754">
        <v>527</v>
      </c>
      <c r="M1671" s="754">
        <f t="shared" si="77"/>
        <v>527</v>
      </c>
      <c r="N1671" s="756">
        <v>3051.95</v>
      </c>
      <c r="O1671" s="720">
        <f t="shared" si="78"/>
        <v>0</v>
      </c>
    </row>
    <row r="1672" spans="1:15" outlineLevel="2" x14ac:dyDescent="0.25">
      <c r="A1672" s="207" t="str">
        <f>VLOOKUP(RIGHT(E1672,3)+0,SchLocTable!$A$2:$B$47,2,FALSE)</f>
        <v>Info Tech HS</v>
      </c>
      <c r="B1672" s="207" t="str">
        <f>VLOOKUP(VALUE(D1672),$D$3:F$106,3,FALSE)</f>
        <v>Social Studies</v>
      </c>
      <c r="C1672" s="755" t="s">
        <v>246</v>
      </c>
      <c r="D1672" s="751" t="s">
        <v>605</v>
      </c>
      <c r="E1672" s="751" t="s">
        <v>612</v>
      </c>
      <c r="F1672" s="751" t="s">
        <v>259</v>
      </c>
      <c r="G1672" s="752" t="s">
        <v>1681</v>
      </c>
      <c r="H1672" s="753">
        <v>52917</v>
      </c>
      <c r="I1672" s="754">
        <v>11844</v>
      </c>
      <c r="J1672" s="754">
        <v>0</v>
      </c>
      <c r="K1672" s="754">
        <v>0</v>
      </c>
      <c r="L1672" s="754">
        <v>2820</v>
      </c>
      <c r="M1672" s="754">
        <f t="shared" si="77"/>
        <v>2820</v>
      </c>
      <c r="N1672" s="756">
        <v>11844</v>
      </c>
      <c r="O1672" s="720">
        <f t="shared" si="78"/>
        <v>0</v>
      </c>
    </row>
    <row r="1673" spans="1:15" outlineLevel="1" x14ac:dyDescent="0.25">
      <c r="A1673" s="207" t="str">
        <f>VLOOKUP(RIGHT(E1673,3)+0,SchLocTable!$A$2:$B$47,2,FALSE)</f>
        <v>BMA HS</v>
      </c>
      <c r="B1673" s="207" t="str">
        <f>VLOOKUP(VALUE(D1673),$D$3:F$106,3,FALSE)</f>
        <v>Social Studies</v>
      </c>
      <c r="C1673" s="751" t="s">
        <v>246</v>
      </c>
      <c r="D1673" s="751" t="s">
        <v>605</v>
      </c>
      <c r="E1673" s="751" t="s">
        <v>613</v>
      </c>
      <c r="F1673" s="751" t="s">
        <v>248</v>
      </c>
      <c r="G1673" s="752">
        <v>3</v>
      </c>
      <c r="H1673" s="753">
        <v>51000</v>
      </c>
      <c r="I1673" s="754">
        <v>299803.21000000002</v>
      </c>
      <c r="J1673" s="754">
        <v>0</v>
      </c>
      <c r="K1673" s="754">
        <v>0</v>
      </c>
      <c r="L1673" s="754">
        <v>46868.23</v>
      </c>
      <c r="M1673" s="754">
        <f t="shared" si="77"/>
        <v>46868.23</v>
      </c>
      <c r="N1673" s="756">
        <v>299803.21000000002</v>
      </c>
      <c r="O1673" s="720">
        <f t="shared" si="78"/>
        <v>0</v>
      </c>
    </row>
    <row r="1674" spans="1:15" outlineLevel="2" x14ac:dyDescent="0.25">
      <c r="A1674" s="207" t="str">
        <f>VLOOKUP(RIGHT(E1674,3)+0,SchLocTable!$A$2:$B$47,2,FALSE)</f>
        <v>BMA HS</v>
      </c>
      <c r="B1674" s="207" t="str">
        <f>VLOOKUP(VALUE(D1674),$D$3:F$106,3,FALSE)</f>
        <v>Social Studies</v>
      </c>
      <c r="C1674" s="751" t="s">
        <v>246</v>
      </c>
      <c r="D1674" s="751" t="s">
        <v>605</v>
      </c>
      <c r="E1674" s="751" t="s">
        <v>613</v>
      </c>
      <c r="F1674" s="751" t="s">
        <v>257</v>
      </c>
      <c r="G1674" s="752" t="s">
        <v>1681</v>
      </c>
      <c r="H1674" s="753">
        <v>51140</v>
      </c>
      <c r="I1674" s="754">
        <v>900</v>
      </c>
      <c r="J1674" s="754">
        <v>0</v>
      </c>
      <c r="K1674" s="754">
        <v>0</v>
      </c>
      <c r="L1674" s="754">
        <v>0</v>
      </c>
      <c r="M1674" s="754">
        <f t="shared" si="77"/>
        <v>0</v>
      </c>
      <c r="N1674" s="756">
        <v>900</v>
      </c>
      <c r="O1674" s="720">
        <f t="shared" si="78"/>
        <v>0</v>
      </c>
    </row>
    <row r="1675" spans="1:15" outlineLevel="2" x14ac:dyDescent="0.25">
      <c r="A1675" s="207" t="str">
        <f>VLOOKUP(RIGHT(E1675,3)+0,SchLocTable!$A$2:$B$47,2,FALSE)</f>
        <v>BMA HS</v>
      </c>
      <c r="B1675" s="207" t="str">
        <f>VLOOKUP(VALUE(D1675),$D$3:F$106,3,FALSE)</f>
        <v>Social Studies</v>
      </c>
      <c r="C1675" s="751" t="s">
        <v>246</v>
      </c>
      <c r="D1675" s="751" t="s">
        <v>605</v>
      </c>
      <c r="E1675" s="751" t="s">
        <v>613</v>
      </c>
      <c r="F1675" s="751" t="s">
        <v>254</v>
      </c>
      <c r="G1675" s="752" t="s">
        <v>1681</v>
      </c>
      <c r="H1675" s="753">
        <v>52360</v>
      </c>
      <c r="I1675" s="754">
        <v>4287.42</v>
      </c>
      <c r="J1675" s="754">
        <v>0</v>
      </c>
      <c r="K1675" s="754">
        <v>0</v>
      </c>
      <c r="L1675" s="754">
        <v>619.86</v>
      </c>
      <c r="M1675" s="754">
        <f t="shared" si="77"/>
        <v>619.86</v>
      </c>
      <c r="N1675" s="756">
        <v>4287.42</v>
      </c>
      <c r="O1675" s="720">
        <f t="shared" si="78"/>
        <v>0</v>
      </c>
    </row>
    <row r="1676" spans="1:15" outlineLevel="2" x14ac:dyDescent="0.25">
      <c r="A1676" s="207" t="str">
        <f>VLOOKUP(RIGHT(E1676,3)+0,SchLocTable!$A$2:$B$47,2,FALSE)</f>
        <v>BMA HS</v>
      </c>
      <c r="B1676" s="207" t="str">
        <f>VLOOKUP(VALUE(D1676),$D$3:F$106,3,FALSE)</f>
        <v>Social Studies</v>
      </c>
      <c r="C1676" s="751" t="s">
        <v>246</v>
      </c>
      <c r="D1676" s="751" t="s">
        <v>605</v>
      </c>
      <c r="E1676" s="751" t="s">
        <v>613</v>
      </c>
      <c r="F1676" s="751" t="s">
        <v>292</v>
      </c>
      <c r="G1676" s="752" t="s">
        <v>1681</v>
      </c>
      <c r="H1676" s="753">
        <v>52385</v>
      </c>
      <c r="I1676" s="754">
        <v>0</v>
      </c>
      <c r="J1676" s="754">
        <v>0</v>
      </c>
      <c r="K1676" s="754">
        <v>0</v>
      </c>
      <c r="L1676" s="754">
        <v>0</v>
      </c>
      <c r="M1676" s="754">
        <f t="shared" si="77"/>
        <v>0</v>
      </c>
      <c r="N1676" s="756">
        <v>0</v>
      </c>
      <c r="O1676" s="720">
        <f t="shared" si="78"/>
        <v>0</v>
      </c>
    </row>
    <row r="1677" spans="1:15" outlineLevel="2" x14ac:dyDescent="0.25">
      <c r="A1677" s="207" t="str">
        <f>VLOOKUP(RIGHT(E1677,3)+0,SchLocTable!$A$2:$B$47,2,FALSE)</f>
        <v>BMA HS</v>
      </c>
      <c r="B1677" s="207" t="str">
        <f>VLOOKUP(VALUE(D1677),$D$3:F$106,3,FALSE)</f>
        <v>Social Studies</v>
      </c>
      <c r="C1677" s="751" t="s">
        <v>246</v>
      </c>
      <c r="D1677" s="751" t="s">
        <v>605</v>
      </c>
      <c r="E1677" s="751" t="s">
        <v>613</v>
      </c>
      <c r="F1677" s="751" t="s">
        <v>259</v>
      </c>
      <c r="G1677" s="752" t="s">
        <v>1681</v>
      </c>
      <c r="H1677" s="753">
        <v>52917</v>
      </c>
      <c r="I1677" s="754">
        <v>58763.88</v>
      </c>
      <c r="J1677" s="754">
        <v>0</v>
      </c>
      <c r="K1677" s="754">
        <v>0</v>
      </c>
      <c r="L1677" s="754">
        <v>13991.4</v>
      </c>
      <c r="M1677" s="754">
        <f t="shared" si="77"/>
        <v>13991.4</v>
      </c>
      <c r="N1677" s="756">
        <v>58763.88</v>
      </c>
      <c r="O1677" s="720">
        <f t="shared" si="78"/>
        <v>0</v>
      </c>
    </row>
    <row r="1678" spans="1:15" outlineLevel="2" x14ac:dyDescent="0.25">
      <c r="A1678" s="207" t="str">
        <f>VLOOKUP(RIGHT(E1678,3)+0,SchLocTable!$A$2:$B$47,2,FALSE)</f>
        <v>Park City Magnet</v>
      </c>
      <c r="B1678" s="207" t="str">
        <f>VLOOKUP(VALUE(D1678),$D$3:F$106,3,FALSE)</f>
        <v>Social Studies</v>
      </c>
      <c r="C1678" s="751" t="s">
        <v>246</v>
      </c>
      <c r="D1678" s="751" t="s">
        <v>605</v>
      </c>
      <c r="E1678" s="751" t="s">
        <v>614</v>
      </c>
      <c r="F1678" s="751" t="s">
        <v>248</v>
      </c>
      <c r="G1678" s="752">
        <v>1</v>
      </c>
      <c r="H1678" s="753">
        <v>51000</v>
      </c>
      <c r="I1678" s="754">
        <v>103153.2</v>
      </c>
      <c r="J1678" s="754">
        <v>0</v>
      </c>
      <c r="K1678" s="754">
        <v>0</v>
      </c>
      <c r="L1678" s="754">
        <v>19761.150000000001</v>
      </c>
      <c r="M1678" s="754">
        <f t="shared" si="77"/>
        <v>19761.150000000001</v>
      </c>
      <c r="N1678" s="756">
        <v>103153.2</v>
      </c>
      <c r="O1678" s="720">
        <f t="shared" si="78"/>
        <v>0</v>
      </c>
    </row>
    <row r="1679" spans="1:15" outlineLevel="1" x14ac:dyDescent="0.25">
      <c r="A1679" s="207" t="str">
        <f>VLOOKUP(RIGHT(E1679,3)+0,SchLocTable!$A$2:$B$47,2,FALSE)</f>
        <v>Park City Magnet</v>
      </c>
      <c r="B1679" s="207" t="str">
        <f>VLOOKUP(VALUE(D1679),$D$3:F$106,3,FALSE)</f>
        <v>Social Studies</v>
      </c>
      <c r="C1679" s="751" t="s">
        <v>246</v>
      </c>
      <c r="D1679" s="751" t="s">
        <v>605</v>
      </c>
      <c r="E1679" s="751" t="s">
        <v>614</v>
      </c>
      <c r="F1679" s="751" t="s">
        <v>257</v>
      </c>
      <c r="G1679" s="752" t="s">
        <v>1681</v>
      </c>
      <c r="H1679" s="753">
        <v>51140</v>
      </c>
      <c r="I1679" s="754">
        <v>900</v>
      </c>
      <c r="J1679" s="754">
        <v>0</v>
      </c>
      <c r="K1679" s="754">
        <v>0</v>
      </c>
      <c r="L1679" s="754">
        <v>0</v>
      </c>
      <c r="M1679" s="754">
        <f t="shared" si="77"/>
        <v>0</v>
      </c>
      <c r="N1679" s="756">
        <v>900</v>
      </c>
      <c r="O1679" s="720">
        <f t="shared" si="78"/>
        <v>0</v>
      </c>
    </row>
    <row r="1680" spans="1:15" outlineLevel="2" x14ac:dyDescent="0.25">
      <c r="A1680" s="207" t="str">
        <f>VLOOKUP(RIGHT(E1680,3)+0,SchLocTable!$A$2:$B$47,2,FALSE)</f>
        <v>Park City Magnet</v>
      </c>
      <c r="B1680" s="207" t="str">
        <f>VLOOKUP(VALUE(D1680),$D$3:F$106,3,FALSE)</f>
        <v>Social Studies</v>
      </c>
      <c r="C1680" s="751" t="s">
        <v>246</v>
      </c>
      <c r="D1680" s="751" t="s">
        <v>605</v>
      </c>
      <c r="E1680" s="751" t="s">
        <v>614</v>
      </c>
      <c r="F1680" s="751" t="s">
        <v>254</v>
      </c>
      <c r="G1680" s="752" t="s">
        <v>1681</v>
      </c>
      <c r="H1680" s="753">
        <v>52360</v>
      </c>
      <c r="I1680" s="754">
        <v>1483.68</v>
      </c>
      <c r="J1680" s="754">
        <v>0</v>
      </c>
      <c r="K1680" s="754">
        <v>0</v>
      </c>
      <c r="L1680" s="754">
        <v>274.5</v>
      </c>
      <c r="M1680" s="754">
        <f t="shared" si="77"/>
        <v>274.5</v>
      </c>
      <c r="N1680" s="756">
        <v>1483.68</v>
      </c>
      <c r="O1680" s="720">
        <f t="shared" si="78"/>
        <v>0</v>
      </c>
    </row>
    <row r="1681" spans="1:15" outlineLevel="2" x14ac:dyDescent="0.25">
      <c r="A1681" s="207" t="str">
        <f>VLOOKUP(RIGHT(E1681,3)+0,SchLocTable!$A$2:$B$47,2,FALSE)</f>
        <v>Park City Magnet</v>
      </c>
      <c r="B1681" s="207" t="str">
        <f>VLOOKUP(VALUE(D1681),$D$3:F$106,3,FALSE)</f>
        <v>Social Studies</v>
      </c>
      <c r="C1681" s="751" t="s">
        <v>246</v>
      </c>
      <c r="D1681" s="751" t="s">
        <v>605</v>
      </c>
      <c r="E1681" s="751" t="s">
        <v>614</v>
      </c>
      <c r="F1681" s="751" t="s">
        <v>259</v>
      </c>
      <c r="G1681" s="752" t="s">
        <v>1681</v>
      </c>
      <c r="H1681" s="753">
        <v>52917</v>
      </c>
      <c r="I1681" s="754">
        <v>11844</v>
      </c>
      <c r="J1681" s="754">
        <v>0</v>
      </c>
      <c r="K1681" s="754">
        <v>0</v>
      </c>
      <c r="L1681" s="754">
        <v>2820</v>
      </c>
      <c r="M1681" s="754">
        <f t="shared" si="77"/>
        <v>2820</v>
      </c>
      <c r="N1681" s="756">
        <v>11844</v>
      </c>
      <c r="O1681" s="720">
        <f t="shared" si="78"/>
        <v>0</v>
      </c>
    </row>
    <row r="1682" spans="1:15" outlineLevel="2" x14ac:dyDescent="0.25">
      <c r="A1682" s="207" t="str">
        <f>VLOOKUP(RIGHT(E1682,3)+0,SchLocTable!$A$2:$B$47,2,FALSE)</f>
        <v>Zoo Science HS</v>
      </c>
      <c r="B1682" s="207" t="str">
        <f>VLOOKUP(VALUE(D1682),$D$3:F$106,3,FALSE)</f>
        <v>Social Studies</v>
      </c>
      <c r="C1682" s="751" t="s">
        <v>246</v>
      </c>
      <c r="D1682" s="751" t="s">
        <v>605</v>
      </c>
      <c r="E1682" s="751" t="s">
        <v>615</v>
      </c>
      <c r="F1682" s="751" t="s">
        <v>248</v>
      </c>
      <c r="G1682" s="752">
        <v>1</v>
      </c>
      <c r="H1682" s="753">
        <v>51000</v>
      </c>
      <c r="I1682" s="754">
        <v>64218.01</v>
      </c>
      <c r="J1682" s="754">
        <v>0</v>
      </c>
      <c r="K1682" s="754">
        <v>0</v>
      </c>
      <c r="L1682" s="754">
        <v>12302.3</v>
      </c>
      <c r="M1682" s="754">
        <f t="shared" si="77"/>
        <v>12302.3</v>
      </c>
      <c r="N1682" s="756">
        <v>64218.01</v>
      </c>
      <c r="O1682" s="720">
        <f t="shared" si="78"/>
        <v>0</v>
      </c>
    </row>
    <row r="1683" spans="1:15" outlineLevel="2" x14ac:dyDescent="0.25">
      <c r="A1683" s="207" t="str">
        <f>VLOOKUP(RIGHT(E1683,3)+0,SchLocTable!$A$2:$B$47,2,FALSE)</f>
        <v>Zoo Science HS</v>
      </c>
      <c r="B1683" s="207" t="str">
        <f>VLOOKUP(VALUE(D1683),$D$3:F$106,3,FALSE)</f>
        <v>Social Studies</v>
      </c>
      <c r="C1683" s="751" t="s">
        <v>246</v>
      </c>
      <c r="D1683" s="751" t="s">
        <v>605</v>
      </c>
      <c r="E1683" s="751" t="s">
        <v>615</v>
      </c>
      <c r="F1683" s="751" t="s">
        <v>254</v>
      </c>
      <c r="G1683" s="752" t="s">
        <v>1681</v>
      </c>
      <c r="H1683" s="753">
        <v>52360</v>
      </c>
      <c r="I1683" s="754">
        <v>895.51</v>
      </c>
      <c r="J1683" s="754">
        <v>0</v>
      </c>
      <c r="K1683" s="754">
        <v>0</v>
      </c>
      <c r="L1683" s="754">
        <v>142.72999999999999</v>
      </c>
      <c r="M1683" s="754">
        <f t="shared" si="77"/>
        <v>142.72999999999999</v>
      </c>
      <c r="N1683" s="756">
        <v>895.51</v>
      </c>
      <c r="O1683" s="720">
        <f t="shared" si="78"/>
        <v>0</v>
      </c>
    </row>
    <row r="1684" spans="1:15" outlineLevel="2" x14ac:dyDescent="0.25">
      <c r="A1684" s="207" t="str">
        <f>VLOOKUP(RIGHT(E1684,3)+0,SchLocTable!$A$2:$B$47,2,FALSE)</f>
        <v>Zoo Science HS</v>
      </c>
      <c r="B1684" s="207" t="str">
        <f>VLOOKUP(VALUE(D1684),$D$3:F$106,3,FALSE)</f>
        <v>Social Studies</v>
      </c>
      <c r="C1684" s="751" t="s">
        <v>246</v>
      </c>
      <c r="D1684" s="751" t="s">
        <v>605</v>
      </c>
      <c r="E1684" s="751" t="s">
        <v>615</v>
      </c>
      <c r="F1684" s="751" t="s">
        <v>259</v>
      </c>
      <c r="G1684" s="752" t="s">
        <v>1681</v>
      </c>
      <c r="H1684" s="753">
        <v>52917</v>
      </c>
      <c r="I1684" s="754">
        <v>35075.879999999997</v>
      </c>
      <c r="J1684" s="754">
        <v>0</v>
      </c>
      <c r="K1684" s="754">
        <v>0</v>
      </c>
      <c r="L1684" s="754">
        <v>8351.4</v>
      </c>
      <c r="M1684" s="754">
        <f t="shared" si="77"/>
        <v>8351.4</v>
      </c>
      <c r="N1684" s="756">
        <v>35075.879999999997</v>
      </c>
      <c r="O1684" s="720">
        <f t="shared" si="78"/>
        <v>0</v>
      </c>
    </row>
    <row r="1685" spans="1:15" outlineLevel="2" x14ac:dyDescent="0.25">
      <c r="A1685" s="207" t="str">
        <f>VLOOKUP(RIGHT(E1685,3)+0,SchLocTable!$A$2:$B$47,2,FALSE)</f>
        <v>Classical Studies Academy</v>
      </c>
      <c r="B1685" s="207" t="str">
        <f>VLOOKUP(VALUE(D1685),$D$3:F$106,3,FALSE)</f>
        <v>Social Studies</v>
      </c>
      <c r="C1685" s="751" t="s">
        <v>246</v>
      </c>
      <c r="D1685" s="751" t="s">
        <v>605</v>
      </c>
      <c r="E1685" s="751" t="s">
        <v>616</v>
      </c>
      <c r="F1685" s="751" t="s">
        <v>248</v>
      </c>
      <c r="G1685" s="752">
        <v>1</v>
      </c>
      <c r="H1685" s="753">
        <v>51000</v>
      </c>
      <c r="I1685" s="754">
        <v>53062.69</v>
      </c>
      <c r="J1685" s="754">
        <v>0</v>
      </c>
      <c r="K1685" s="754">
        <v>0</v>
      </c>
      <c r="L1685" s="754">
        <v>12352.61</v>
      </c>
      <c r="M1685" s="754">
        <f t="shared" si="77"/>
        <v>12352.61</v>
      </c>
      <c r="N1685" s="756">
        <v>53062.69</v>
      </c>
      <c r="O1685" s="720">
        <f t="shared" si="78"/>
        <v>0</v>
      </c>
    </row>
    <row r="1686" spans="1:15" outlineLevel="1" x14ac:dyDescent="0.25">
      <c r="A1686" s="207" t="str">
        <f>VLOOKUP(RIGHT(E1686,3)+0,SchLocTable!$A$2:$B$47,2,FALSE)</f>
        <v>Classical Studies Academy</v>
      </c>
      <c r="B1686" s="207" t="str">
        <f>VLOOKUP(VALUE(D1686),$D$3:F$106,3,FALSE)</f>
        <v>Social Studies</v>
      </c>
      <c r="C1686" s="751" t="s">
        <v>246</v>
      </c>
      <c r="D1686" s="751" t="s">
        <v>605</v>
      </c>
      <c r="E1686" s="751" t="s">
        <v>616</v>
      </c>
      <c r="F1686" s="751" t="s">
        <v>254</v>
      </c>
      <c r="G1686" s="752" t="s">
        <v>1681</v>
      </c>
      <c r="H1686" s="753">
        <v>52360</v>
      </c>
      <c r="I1686" s="754">
        <v>769.41</v>
      </c>
      <c r="J1686" s="754">
        <v>0</v>
      </c>
      <c r="K1686" s="754">
        <v>0</v>
      </c>
      <c r="L1686" s="754">
        <v>179.11</v>
      </c>
      <c r="M1686" s="754">
        <f t="shared" si="77"/>
        <v>179.11</v>
      </c>
      <c r="N1686" s="756">
        <v>769.41</v>
      </c>
      <c r="O1686" s="720">
        <f t="shared" si="78"/>
        <v>0</v>
      </c>
    </row>
    <row r="1687" spans="1:15" outlineLevel="2" x14ac:dyDescent="0.25">
      <c r="A1687" s="207" t="str">
        <f>VLOOKUP(RIGHT(E1687,3)+0,SchLocTable!$A$2:$B$47,2,FALSE)</f>
        <v>Classical Studies Academy</v>
      </c>
      <c r="B1687" s="207" t="str">
        <f>VLOOKUP(VALUE(D1687),$D$3:F$106,3,FALSE)</f>
        <v>Social Studies</v>
      </c>
      <c r="C1687" s="751" t="s">
        <v>246</v>
      </c>
      <c r="D1687" s="751" t="s">
        <v>605</v>
      </c>
      <c r="E1687" s="751" t="s">
        <v>616</v>
      </c>
      <c r="F1687" s="751" t="s">
        <v>259</v>
      </c>
      <c r="G1687" s="752" t="s">
        <v>1681</v>
      </c>
      <c r="H1687" s="753">
        <v>52917</v>
      </c>
      <c r="I1687" s="754">
        <v>0</v>
      </c>
      <c r="J1687" s="754">
        <v>0</v>
      </c>
      <c r="K1687" s="754">
        <v>0</v>
      </c>
      <c r="L1687" s="754">
        <v>0</v>
      </c>
      <c r="M1687" s="754">
        <f t="shared" si="77"/>
        <v>0</v>
      </c>
      <c r="N1687" s="756">
        <v>0</v>
      </c>
      <c r="O1687" s="720">
        <f t="shared" si="78"/>
        <v>0</v>
      </c>
    </row>
    <row r="1688" spans="1:15" outlineLevel="2" x14ac:dyDescent="0.25">
      <c r="A1688" s="207" t="str">
        <f>VLOOKUP(RIGHT(E1688,3)+0,SchLocTable!$A$2:$B$47,2,FALSE)</f>
        <v>Tisdale</v>
      </c>
      <c r="B1688" s="207" t="str">
        <f>VLOOKUP(VALUE(D1688),$D$3:F$106,3,FALSE)</f>
        <v>Social Studies</v>
      </c>
      <c r="C1688" s="755" t="s">
        <v>246</v>
      </c>
      <c r="D1688" s="751" t="s">
        <v>605</v>
      </c>
      <c r="E1688" s="751" t="s">
        <v>617</v>
      </c>
      <c r="F1688" s="751" t="s">
        <v>248</v>
      </c>
      <c r="G1688" s="752">
        <v>2</v>
      </c>
      <c r="H1688" s="753">
        <v>51000</v>
      </c>
      <c r="I1688" s="754">
        <v>197670.44</v>
      </c>
      <c r="J1688" s="754">
        <v>0</v>
      </c>
      <c r="K1688" s="754">
        <v>0</v>
      </c>
      <c r="L1688" s="754">
        <v>37867.9</v>
      </c>
      <c r="M1688" s="754">
        <f t="shared" si="77"/>
        <v>37867.9</v>
      </c>
      <c r="N1688" s="756">
        <v>197670.44</v>
      </c>
      <c r="O1688" s="720">
        <f t="shared" si="78"/>
        <v>0</v>
      </c>
    </row>
    <row r="1689" spans="1:15" outlineLevel="2" x14ac:dyDescent="0.25">
      <c r="A1689" s="207" t="str">
        <f>VLOOKUP(RIGHT(E1689,3)+0,SchLocTable!$A$2:$B$47,2,FALSE)</f>
        <v>Tisdale</v>
      </c>
      <c r="B1689" s="207" t="str">
        <f>VLOOKUP(VALUE(D1689),$D$3:F$106,3,FALSE)</f>
        <v>Social Studies</v>
      </c>
      <c r="C1689" s="751" t="s">
        <v>246</v>
      </c>
      <c r="D1689" s="751" t="s">
        <v>605</v>
      </c>
      <c r="E1689" s="751" t="s">
        <v>617</v>
      </c>
      <c r="F1689" s="751" t="s">
        <v>257</v>
      </c>
      <c r="G1689" s="752" t="s">
        <v>1681</v>
      </c>
      <c r="H1689" s="753">
        <v>51140</v>
      </c>
      <c r="I1689" s="754">
        <v>900</v>
      </c>
      <c r="J1689" s="754">
        <v>0</v>
      </c>
      <c r="K1689" s="754">
        <v>0</v>
      </c>
      <c r="L1689" s="754">
        <v>0</v>
      </c>
      <c r="M1689" s="754">
        <f t="shared" si="77"/>
        <v>0</v>
      </c>
      <c r="N1689" s="756">
        <v>900</v>
      </c>
      <c r="O1689" s="720">
        <f t="shared" si="78"/>
        <v>0</v>
      </c>
    </row>
    <row r="1690" spans="1:15" outlineLevel="2" x14ac:dyDescent="0.25">
      <c r="A1690" s="207" t="str">
        <f>VLOOKUP(RIGHT(E1690,3)+0,SchLocTable!$A$2:$B$47,2,FALSE)</f>
        <v>Tisdale</v>
      </c>
      <c r="B1690" s="207" t="str">
        <f>VLOOKUP(VALUE(D1690),$D$3:F$106,3,FALSE)</f>
        <v>Social Studies</v>
      </c>
      <c r="C1690" s="751" t="s">
        <v>246</v>
      </c>
      <c r="D1690" s="751" t="s">
        <v>605</v>
      </c>
      <c r="E1690" s="751" t="s">
        <v>617</v>
      </c>
      <c r="F1690" s="751" t="s">
        <v>254</v>
      </c>
      <c r="G1690" s="752" t="s">
        <v>1681</v>
      </c>
      <c r="H1690" s="753">
        <v>52360</v>
      </c>
      <c r="I1690" s="754">
        <v>2801.56</v>
      </c>
      <c r="J1690" s="754">
        <v>0</v>
      </c>
      <c r="K1690" s="754">
        <v>0</v>
      </c>
      <c r="L1690" s="754">
        <v>484.42</v>
      </c>
      <c r="M1690" s="754">
        <f t="shared" si="77"/>
        <v>484.42</v>
      </c>
      <c r="N1690" s="756">
        <v>2801.56</v>
      </c>
      <c r="O1690" s="720">
        <f t="shared" si="78"/>
        <v>0</v>
      </c>
    </row>
    <row r="1691" spans="1:15" outlineLevel="2" x14ac:dyDescent="0.25">
      <c r="A1691" s="207" t="str">
        <f>VLOOKUP(RIGHT(E1691,3)+0,SchLocTable!$A$2:$B$47,2,FALSE)</f>
        <v>Tisdale</v>
      </c>
      <c r="B1691" s="207" t="str">
        <f>VLOOKUP(VALUE(D1691),$D$3:F$106,3,FALSE)</f>
        <v>Social Studies</v>
      </c>
      <c r="C1691" s="751" t="s">
        <v>246</v>
      </c>
      <c r="D1691" s="751" t="s">
        <v>605</v>
      </c>
      <c r="E1691" s="751" t="s">
        <v>617</v>
      </c>
      <c r="F1691" s="751" t="s">
        <v>259</v>
      </c>
      <c r="G1691" s="752" t="s">
        <v>1681</v>
      </c>
      <c r="H1691" s="753">
        <v>52917</v>
      </c>
      <c r="I1691" s="754">
        <v>63553.98</v>
      </c>
      <c r="J1691" s="754">
        <v>0</v>
      </c>
      <c r="K1691" s="754">
        <v>0</v>
      </c>
      <c r="L1691" s="754">
        <v>15131.9</v>
      </c>
      <c r="M1691" s="754">
        <f t="shared" si="77"/>
        <v>15131.9</v>
      </c>
      <c r="N1691" s="756">
        <v>63553.98</v>
      </c>
      <c r="O1691" s="720">
        <f t="shared" si="78"/>
        <v>0</v>
      </c>
    </row>
    <row r="1692" spans="1:15" outlineLevel="2" x14ac:dyDescent="0.25">
      <c r="A1692" s="207" t="str">
        <f>VLOOKUP(RIGHT(E1692,3)+0,SchLocTable!$A$2:$B$47,2,FALSE)</f>
        <v>Read</v>
      </c>
      <c r="B1692" s="207" t="str">
        <f>VLOOKUP(VALUE(D1692),$D$3:F$106,3,FALSE)</f>
        <v>Social Studies</v>
      </c>
      <c r="C1692" s="751" t="s">
        <v>246</v>
      </c>
      <c r="D1692" s="751" t="s">
        <v>605</v>
      </c>
      <c r="E1692" s="751" t="s">
        <v>618</v>
      </c>
      <c r="F1692" s="751" t="s">
        <v>248</v>
      </c>
      <c r="G1692" s="752">
        <v>2</v>
      </c>
      <c r="H1692" s="753">
        <v>51000</v>
      </c>
      <c r="I1692" s="754">
        <v>119322.15</v>
      </c>
      <c r="J1692" s="754">
        <v>0</v>
      </c>
      <c r="K1692" s="754">
        <v>0</v>
      </c>
      <c r="L1692" s="754">
        <v>22858.65</v>
      </c>
      <c r="M1692" s="754">
        <f t="shared" si="77"/>
        <v>22858.65</v>
      </c>
      <c r="N1692" s="756">
        <v>119322.15</v>
      </c>
      <c r="O1692" s="720">
        <f t="shared" si="78"/>
        <v>0</v>
      </c>
    </row>
    <row r="1693" spans="1:15" outlineLevel="2" x14ac:dyDescent="0.25">
      <c r="A1693" s="207" t="str">
        <f>VLOOKUP(RIGHT(E1693,3)+0,SchLocTable!$A$2:$B$47,2,FALSE)</f>
        <v>Read</v>
      </c>
      <c r="B1693" s="207" t="str">
        <f>VLOOKUP(VALUE(D1693),$D$3:F$106,3,FALSE)</f>
        <v>Social Studies</v>
      </c>
      <c r="C1693" s="751" t="s">
        <v>246</v>
      </c>
      <c r="D1693" s="751" t="s">
        <v>605</v>
      </c>
      <c r="E1693" s="751" t="s">
        <v>618</v>
      </c>
      <c r="F1693" s="751" t="s">
        <v>254</v>
      </c>
      <c r="G1693" s="752" t="s">
        <v>1681</v>
      </c>
      <c r="H1693" s="753">
        <v>52360</v>
      </c>
      <c r="I1693" s="754">
        <v>1706.1</v>
      </c>
      <c r="J1693" s="754">
        <v>0</v>
      </c>
      <c r="K1693" s="754">
        <v>0</v>
      </c>
      <c r="L1693" s="754">
        <v>307.38</v>
      </c>
      <c r="M1693" s="754">
        <f t="shared" si="77"/>
        <v>307.38</v>
      </c>
      <c r="N1693" s="756">
        <v>1706.1</v>
      </c>
      <c r="O1693" s="720">
        <f t="shared" si="78"/>
        <v>0</v>
      </c>
    </row>
    <row r="1694" spans="1:15" outlineLevel="2" x14ac:dyDescent="0.25">
      <c r="A1694" s="207" t="str">
        <f>VLOOKUP(RIGHT(E1694,3)+0,SchLocTable!$A$2:$B$47,2,FALSE)</f>
        <v>Read</v>
      </c>
      <c r="B1694" s="207" t="str">
        <f>VLOOKUP(VALUE(D1694),$D$3:F$106,3,FALSE)</f>
        <v>Social Studies</v>
      </c>
      <c r="C1694" s="751" t="s">
        <v>246</v>
      </c>
      <c r="D1694" s="751" t="s">
        <v>605</v>
      </c>
      <c r="E1694" s="751" t="s">
        <v>618</v>
      </c>
      <c r="F1694" s="751" t="s">
        <v>259</v>
      </c>
      <c r="G1694" s="752" t="s">
        <v>1681</v>
      </c>
      <c r="H1694" s="753">
        <v>52917</v>
      </c>
      <c r="I1694" s="754">
        <v>23688</v>
      </c>
      <c r="J1694" s="754">
        <v>0</v>
      </c>
      <c r="K1694" s="754">
        <v>0</v>
      </c>
      <c r="L1694" s="754">
        <v>5640</v>
      </c>
      <c r="M1694" s="754">
        <f t="shared" si="77"/>
        <v>5640</v>
      </c>
      <c r="N1694" s="756">
        <v>23688</v>
      </c>
      <c r="O1694" s="720">
        <f t="shared" si="78"/>
        <v>0</v>
      </c>
    </row>
    <row r="1695" spans="1:15" outlineLevel="2" x14ac:dyDescent="0.25">
      <c r="A1695" s="207" t="str">
        <f>VLOOKUP(RIGHT(E1695,3)+0,SchLocTable!$A$2:$B$47,2,FALSE)</f>
        <v>Roosevelt</v>
      </c>
      <c r="B1695" s="207" t="str">
        <f>VLOOKUP(VALUE(D1695),$D$3:F$106,3,FALSE)</f>
        <v>Social Studies</v>
      </c>
      <c r="C1695" s="751" t="s">
        <v>246</v>
      </c>
      <c r="D1695" s="751" t="s">
        <v>605</v>
      </c>
      <c r="E1695" s="751" t="s">
        <v>619</v>
      </c>
      <c r="F1695" s="751" t="s">
        <v>248</v>
      </c>
      <c r="G1695" s="752">
        <v>1</v>
      </c>
      <c r="H1695" s="753">
        <v>51000</v>
      </c>
      <c r="I1695" s="754">
        <v>64803.839999999997</v>
      </c>
      <c r="J1695" s="754">
        <v>0</v>
      </c>
      <c r="K1695" s="754">
        <v>0</v>
      </c>
      <c r="L1695" s="754">
        <v>12888.13</v>
      </c>
      <c r="M1695" s="754">
        <f t="shared" si="77"/>
        <v>12888.13</v>
      </c>
      <c r="N1695" s="756">
        <v>64803.839999999997</v>
      </c>
      <c r="O1695" s="720">
        <f t="shared" si="78"/>
        <v>0</v>
      </c>
    </row>
    <row r="1696" spans="1:15" outlineLevel="2" x14ac:dyDescent="0.25">
      <c r="A1696" s="207" t="str">
        <f>VLOOKUP(RIGHT(E1696,3)+0,SchLocTable!$A$2:$B$47,2,FALSE)</f>
        <v>Roosevelt</v>
      </c>
      <c r="B1696" s="207" t="str">
        <f>VLOOKUP(VALUE(D1696),$D$3:F$106,3,FALSE)</f>
        <v>Social Studies</v>
      </c>
      <c r="C1696" s="751" t="s">
        <v>246</v>
      </c>
      <c r="D1696" s="751" t="s">
        <v>605</v>
      </c>
      <c r="E1696" s="751" t="s">
        <v>619</v>
      </c>
      <c r="F1696" s="751" t="s">
        <v>254</v>
      </c>
      <c r="G1696" s="752" t="s">
        <v>1681</v>
      </c>
      <c r="H1696" s="753">
        <v>52360</v>
      </c>
      <c r="I1696" s="754">
        <v>939.65</v>
      </c>
      <c r="J1696" s="754">
        <v>0</v>
      </c>
      <c r="K1696" s="754">
        <v>0</v>
      </c>
      <c r="L1696" s="754">
        <v>186.87</v>
      </c>
      <c r="M1696" s="754">
        <f t="shared" si="77"/>
        <v>186.87</v>
      </c>
      <c r="N1696" s="756">
        <v>939.65</v>
      </c>
      <c r="O1696" s="720">
        <f t="shared" si="78"/>
        <v>0</v>
      </c>
    </row>
    <row r="1697" spans="1:15" outlineLevel="2" x14ac:dyDescent="0.25">
      <c r="A1697" s="207" t="str">
        <f>VLOOKUP(RIGHT(E1697,3)+0,SchLocTable!$A$2:$B$47,2,FALSE)</f>
        <v>Waltersville</v>
      </c>
      <c r="B1697" s="207" t="str">
        <f>VLOOKUP(VALUE(D1697),$D$3:F$106,3,FALSE)</f>
        <v>Social Studies</v>
      </c>
      <c r="C1697" s="755" t="s">
        <v>246</v>
      </c>
      <c r="D1697" s="751" t="s">
        <v>605</v>
      </c>
      <c r="E1697" s="751" t="s">
        <v>620</v>
      </c>
      <c r="F1697" s="751" t="s">
        <v>248</v>
      </c>
      <c r="G1697" s="752">
        <v>1</v>
      </c>
      <c r="H1697" s="753">
        <v>51000</v>
      </c>
      <c r="I1697" s="754">
        <v>93652.800000000003</v>
      </c>
      <c r="J1697" s="754">
        <v>0</v>
      </c>
      <c r="K1697" s="754">
        <v>0</v>
      </c>
      <c r="L1697" s="754">
        <v>17941.150000000001</v>
      </c>
      <c r="M1697" s="754">
        <f t="shared" si="77"/>
        <v>17941.150000000001</v>
      </c>
      <c r="N1697" s="756">
        <v>93652.800000000003</v>
      </c>
      <c r="O1697" s="720">
        <f t="shared" si="78"/>
        <v>0</v>
      </c>
    </row>
    <row r="1698" spans="1:15" outlineLevel="2" x14ac:dyDescent="0.25">
      <c r="A1698" s="207" t="str">
        <f>VLOOKUP(RIGHT(E1698,3)+0,SchLocTable!$A$2:$B$47,2,FALSE)</f>
        <v>Waltersville</v>
      </c>
      <c r="B1698" s="207" t="str">
        <f>VLOOKUP(VALUE(D1698),$D$3:F$106,3,FALSE)</f>
        <v>Social Studies</v>
      </c>
      <c r="C1698" s="751" t="s">
        <v>246</v>
      </c>
      <c r="D1698" s="751" t="s">
        <v>605</v>
      </c>
      <c r="E1698" s="751" t="s">
        <v>620</v>
      </c>
      <c r="F1698" s="751" t="s">
        <v>257</v>
      </c>
      <c r="G1698" s="752" t="s">
        <v>1681</v>
      </c>
      <c r="H1698" s="753">
        <v>51140</v>
      </c>
      <c r="I1698" s="754">
        <v>1200</v>
      </c>
      <c r="J1698" s="754">
        <v>0</v>
      </c>
      <c r="K1698" s="754">
        <v>0</v>
      </c>
      <c r="L1698" s="754">
        <v>0</v>
      </c>
      <c r="M1698" s="754">
        <f t="shared" si="77"/>
        <v>0</v>
      </c>
      <c r="N1698" s="756">
        <v>1200</v>
      </c>
      <c r="O1698" s="720">
        <f t="shared" si="78"/>
        <v>0</v>
      </c>
    </row>
    <row r="1699" spans="1:15" outlineLevel="2" x14ac:dyDescent="0.25">
      <c r="A1699" s="207" t="str">
        <f>VLOOKUP(RIGHT(E1699,3)+0,SchLocTable!$A$2:$B$47,2,FALSE)</f>
        <v>Waltersville</v>
      </c>
      <c r="B1699" s="207" t="str">
        <f>VLOOKUP(VALUE(D1699),$D$3:F$106,3,FALSE)</f>
        <v>Social Studies</v>
      </c>
      <c r="C1699" s="755" t="s">
        <v>246</v>
      </c>
      <c r="D1699" s="751" t="s">
        <v>605</v>
      </c>
      <c r="E1699" s="751" t="s">
        <v>620</v>
      </c>
      <c r="F1699" s="751" t="s">
        <v>254</v>
      </c>
      <c r="G1699" s="752" t="s">
        <v>1681</v>
      </c>
      <c r="H1699" s="753">
        <v>52360</v>
      </c>
      <c r="I1699" s="754">
        <v>1345.93</v>
      </c>
      <c r="J1699" s="754">
        <v>0</v>
      </c>
      <c r="K1699" s="754">
        <v>0</v>
      </c>
      <c r="L1699" s="754">
        <v>248.11</v>
      </c>
      <c r="M1699" s="754">
        <f t="shared" si="77"/>
        <v>248.11</v>
      </c>
      <c r="N1699" s="756">
        <v>1345.93</v>
      </c>
      <c r="O1699" s="720">
        <f t="shared" si="78"/>
        <v>0</v>
      </c>
    </row>
    <row r="1700" spans="1:15" outlineLevel="2" x14ac:dyDescent="0.25">
      <c r="A1700" s="207" t="str">
        <f>VLOOKUP(RIGHT(E1700,3)+0,SchLocTable!$A$2:$B$47,2,FALSE)</f>
        <v>Waltersville</v>
      </c>
      <c r="B1700" s="207" t="str">
        <f>VLOOKUP(VALUE(D1700),$D$3:F$106,3,FALSE)</f>
        <v>Social Studies</v>
      </c>
      <c r="C1700" s="751" t="s">
        <v>246</v>
      </c>
      <c r="D1700" s="751" t="s">
        <v>605</v>
      </c>
      <c r="E1700" s="751" t="s">
        <v>620</v>
      </c>
      <c r="F1700" s="751" t="s">
        <v>259</v>
      </c>
      <c r="G1700" s="752" t="s">
        <v>1681</v>
      </c>
      <c r="H1700" s="753">
        <v>52917</v>
      </c>
      <c r="I1700" s="754">
        <v>11844</v>
      </c>
      <c r="J1700" s="754">
        <v>0</v>
      </c>
      <c r="K1700" s="754">
        <v>0</v>
      </c>
      <c r="L1700" s="754">
        <v>2820</v>
      </c>
      <c r="M1700" s="754">
        <f t="shared" si="77"/>
        <v>2820</v>
      </c>
      <c r="N1700" s="756">
        <v>11844</v>
      </c>
      <c r="O1700" s="720">
        <f t="shared" si="78"/>
        <v>0</v>
      </c>
    </row>
    <row r="1701" spans="1:15" outlineLevel="2" x14ac:dyDescent="0.25">
      <c r="A1701" s="207" t="str">
        <f>VLOOKUP(RIGHT(E1701,3)+0,SchLocTable!$A$2:$B$47,2,FALSE)</f>
        <v>Claytor</v>
      </c>
      <c r="B1701" s="207" t="str">
        <f>VLOOKUP(VALUE(D1701),$D$3:F$106,3,FALSE)</f>
        <v>Social Studies</v>
      </c>
      <c r="C1701" s="751" t="s">
        <v>246</v>
      </c>
      <c r="D1701" s="751" t="s">
        <v>605</v>
      </c>
      <c r="E1701" s="751" t="s">
        <v>621</v>
      </c>
      <c r="F1701" s="751" t="s">
        <v>248</v>
      </c>
      <c r="G1701" s="752">
        <v>1</v>
      </c>
      <c r="H1701" s="753">
        <v>51000</v>
      </c>
      <c r="I1701" s="754">
        <v>59903.839999999997</v>
      </c>
      <c r="J1701" s="754">
        <v>0</v>
      </c>
      <c r="K1701" s="754">
        <v>0</v>
      </c>
      <c r="L1701" s="754">
        <v>15775.04</v>
      </c>
      <c r="M1701" s="754">
        <f t="shared" si="77"/>
        <v>15775.04</v>
      </c>
      <c r="N1701" s="756">
        <v>59903.839999999997</v>
      </c>
      <c r="O1701" s="720">
        <f t="shared" si="78"/>
        <v>0</v>
      </c>
    </row>
    <row r="1702" spans="1:15" outlineLevel="2" x14ac:dyDescent="0.25">
      <c r="A1702" s="207" t="str">
        <f>VLOOKUP(RIGHT(E1702,3)+0,SchLocTable!$A$2:$B$47,2,FALSE)</f>
        <v>Claytor</v>
      </c>
      <c r="B1702" s="207" t="str">
        <f>VLOOKUP(VALUE(D1702),$D$3:F$106,3,FALSE)</f>
        <v>Social Studies</v>
      </c>
      <c r="C1702" s="751" t="s">
        <v>246</v>
      </c>
      <c r="D1702" s="751" t="s">
        <v>605</v>
      </c>
      <c r="E1702" s="751" t="s">
        <v>621</v>
      </c>
      <c r="F1702" s="751" t="s">
        <v>254</v>
      </c>
      <c r="G1702" s="752" t="s">
        <v>1681</v>
      </c>
      <c r="H1702" s="753">
        <v>52360</v>
      </c>
      <c r="I1702" s="754">
        <v>858.98</v>
      </c>
      <c r="J1702" s="754">
        <v>0</v>
      </c>
      <c r="K1702" s="754">
        <v>0</v>
      </c>
      <c r="L1702" s="754">
        <v>219.11</v>
      </c>
      <c r="M1702" s="754">
        <f t="shared" si="77"/>
        <v>219.11</v>
      </c>
      <c r="N1702" s="756">
        <v>858.98</v>
      </c>
      <c r="O1702" s="720">
        <f t="shared" si="78"/>
        <v>0</v>
      </c>
    </row>
    <row r="1703" spans="1:15" outlineLevel="2" x14ac:dyDescent="0.25">
      <c r="A1703" s="207" t="str">
        <f>VLOOKUP(RIGHT(E1703,3)+0,SchLocTable!$A$2:$B$47,2,FALSE)</f>
        <v>Claytor</v>
      </c>
      <c r="B1703" s="207" t="str">
        <f>VLOOKUP(VALUE(D1703),$D$3:F$106,3,FALSE)</f>
        <v>Social Studies</v>
      </c>
      <c r="C1703" s="751" t="s">
        <v>246</v>
      </c>
      <c r="D1703" s="751" t="s">
        <v>605</v>
      </c>
      <c r="E1703" s="751" t="s">
        <v>621</v>
      </c>
      <c r="F1703" s="751" t="s">
        <v>292</v>
      </c>
      <c r="G1703" s="752" t="s">
        <v>1681</v>
      </c>
      <c r="H1703" s="753">
        <v>52385</v>
      </c>
      <c r="I1703" s="754">
        <v>98.2</v>
      </c>
      <c r="J1703" s="754">
        <v>0</v>
      </c>
      <c r="K1703" s="754">
        <v>0</v>
      </c>
      <c r="L1703" s="754">
        <v>98.2</v>
      </c>
      <c r="M1703" s="754">
        <f t="shared" si="77"/>
        <v>98.2</v>
      </c>
      <c r="N1703" s="756">
        <v>98.2</v>
      </c>
      <c r="O1703" s="720">
        <f t="shared" si="78"/>
        <v>0</v>
      </c>
    </row>
    <row r="1704" spans="1:15" outlineLevel="2" x14ac:dyDescent="0.25">
      <c r="A1704" s="207" t="str">
        <f>VLOOKUP(RIGHT(E1704,3)+0,SchLocTable!$A$2:$B$47,2,FALSE)</f>
        <v>Claytor</v>
      </c>
      <c r="B1704" s="207" t="str">
        <f>VLOOKUP(VALUE(D1704),$D$3:F$106,3,FALSE)</f>
        <v>Social Studies</v>
      </c>
      <c r="C1704" s="751" t="s">
        <v>246</v>
      </c>
      <c r="D1704" s="751" t="s">
        <v>605</v>
      </c>
      <c r="E1704" s="751" t="s">
        <v>621</v>
      </c>
      <c r="F1704" s="751" t="s">
        <v>259</v>
      </c>
      <c r="G1704" s="752" t="s">
        <v>1681</v>
      </c>
      <c r="H1704" s="753">
        <v>52917</v>
      </c>
      <c r="I1704" s="754">
        <v>11280</v>
      </c>
      <c r="J1704" s="754">
        <v>0</v>
      </c>
      <c r="K1704" s="754">
        <v>0</v>
      </c>
      <c r="L1704" s="754">
        <v>2256</v>
      </c>
      <c r="M1704" s="754">
        <f t="shared" si="77"/>
        <v>2256</v>
      </c>
      <c r="N1704" s="756">
        <v>11280</v>
      </c>
      <c r="O1704" s="720">
        <f t="shared" si="78"/>
        <v>0</v>
      </c>
    </row>
    <row r="1705" spans="1:15" outlineLevel="2" x14ac:dyDescent="0.25">
      <c r="A1705" s="207" t="str">
        <f>VLOOKUP(RIGHT(E1705,3)+0,SchLocTable!$A$2:$B$47,2,FALSE)</f>
        <v>Johnson</v>
      </c>
      <c r="B1705" s="207" t="str">
        <f>VLOOKUP(VALUE(D1705),$D$3:F$106,3,FALSE)</f>
        <v>Social Studies</v>
      </c>
      <c r="C1705" s="751" t="s">
        <v>246</v>
      </c>
      <c r="D1705" s="751" t="s">
        <v>605</v>
      </c>
      <c r="E1705" s="751" t="s">
        <v>622</v>
      </c>
      <c r="F1705" s="751" t="s">
        <v>248</v>
      </c>
      <c r="G1705" s="752">
        <v>2</v>
      </c>
      <c r="H1705" s="753">
        <v>51000</v>
      </c>
      <c r="I1705" s="754">
        <v>196806.01</v>
      </c>
      <c r="J1705" s="754">
        <v>0</v>
      </c>
      <c r="K1705" s="754">
        <v>0</v>
      </c>
      <c r="L1705" s="754">
        <v>37702.300000000003</v>
      </c>
      <c r="M1705" s="754">
        <f t="shared" si="77"/>
        <v>37702.300000000003</v>
      </c>
      <c r="N1705" s="756">
        <v>196806.01</v>
      </c>
      <c r="O1705" s="720">
        <f t="shared" si="78"/>
        <v>0</v>
      </c>
    </row>
    <row r="1706" spans="1:15" outlineLevel="2" x14ac:dyDescent="0.25">
      <c r="A1706" s="207" t="str">
        <f>VLOOKUP(RIGHT(E1706,3)+0,SchLocTable!$A$2:$B$47,2,FALSE)</f>
        <v>Johnson</v>
      </c>
      <c r="B1706" s="207" t="str">
        <f>VLOOKUP(VALUE(D1706),$D$3:F$106,3,FALSE)</f>
        <v>Social Studies</v>
      </c>
      <c r="C1706" s="751" t="s">
        <v>246</v>
      </c>
      <c r="D1706" s="751" t="s">
        <v>605</v>
      </c>
      <c r="E1706" s="751" t="s">
        <v>622</v>
      </c>
      <c r="F1706" s="751" t="s">
        <v>257</v>
      </c>
      <c r="G1706" s="752" t="s">
        <v>1681</v>
      </c>
      <c r="H1706" s="753">
        <v>51140</v>
      </c>
      <c r="I1706" s="754">
        <v>2000</v>
      </c>
      <c r="J1706" s="754">
        <v>0</v>
      </c>
      <c r="K1706" s="754">
        <v>0</v>
      </c>
      <c r="L1706" s="754">
        <v>0</v>
      </c>
      <c r="M1706" s="754">
        <f t="shared" si="77"/>
        <v>0</v>
      </c>
      <c r="N1706" s="756">
        <v>2000</v>
      </c>
      <c r="O1706" s="720">
        <f t="shared" si="78"/>
        <v>0</v>
      </c>
    </row>
    <row r="1707" spans="1:15" outlineLevel="2" x14ac:dyDescent="0.25">
      <c r="A1707" s="207" t="str">
        <f>VLOOKUP(RIGHT(E1707,3)+0,SchLocTable!$A$2:$B$47,2,FALSE)</f>
        <v>Johnson</v>
      </c>
      <c r="B1707" s="207" t="str">
        <f>VLOOKUP(VALUE(D1707),$D$3:F$106,3,FALSE)</f>
        <v>Social Studies</v>
      </c>
      <c r="C1707" s="751" t="s">
        <v>246</v>
      </c>
      <c r="D1707" s="751" t="s">
        <v>605</v>
      </c>
      <c r="E1707" s="751" t="s">
        <v>622</v>
      </c>
      <c r="F1707" s="751" t="s">
        <v>254</v>
      </c>
      <c r="G1707" s="752" t="s">
        <v>1681</v>
      </c>
      <c r="H1707" s="753">
        <v>52360</v>
      </c>
      <c r="I1707" s="754">
        <v>2795.64</v>
      </c>
      <c r="J1707" s="754">
        <v>0</v>
      </c>
      <c r="K1707" s="754">
        <v>0</v>
      </c>
      <c r="L1707" s="754">
        <v>488.64</v>
      </c>
      <c r="M1707" s="754">
        <f t="shared" si="77"/>
        <v>488.64</v>
      </c>
      <c r="N1707" s="756">
        <v>2795.64</v>
      </c>
      <c r="O1707" s="720">
        <f t="shared" si="78"/>
        <v>0</v>
      </c>
    </row>
    <row r="1708" spans="1:15" outlineLevel="2" x14ac:dyDescent="0.25">
      <c r="A1708" s="207" t="str">
        <f>VLOOKUP(RIGHT(E1708,3)+0,SchLocTable!$A$2:$B$47,2,FALSE)</f>
        <v>Johnson</v>
      </c>
      <c r="B1708" s="207" t="str">
        <f>VLOOKUP(VALUE(D1708),$D$3:F$106,3,FALSE)</f>
        <v>Social Studies</v>
      </c>
      <c r="C1708" s="755" t="s">
        <v>246</v>
      </c>
      <c r="D1708" s="751" t="s">
        <v>605</v>
      </c>
      <c r="E1708" s="751" t="s">
        <v>622</v>
      </c>
      <c r="F1708" s="751" t="s">
        <v>259</v>
      </c>
      <c r="G1708" s="752" t="s">
        <v>1681</v>
      </c>
      <c r="H1708" s="753">
        <v>52917</v>
      </c>
      <c r="I1708" s="754">
        <v>56956.2</v>
      </c>
      <c r="J1708" s="754">
        <v>0</v>
      </c>
      <c r="K1708" s="754">
        <v>0</v>
      </c>
      <c r="L1708" s="754">
        <v>13561</v>
      </c>
      <c r="M1708" s="754">
        <f t="shared" si="77"/>
        <v>13561</v>
      </c>
      <c r="N1708" s="756">
        <v>56956.2</v>
      </c>
      <c r="O1708" s="720">
        <f t="shared" si="78"/>
        <v>0</v>
      </c>
    </row>
    <row r="1709" spans="1:15" outlineLevel="2" x14ac:dyDescent="0.25">
      <c r="A1709" s="207" t="str">
        <f>VLOOKUP(RIGHT(E1709,3)+0,SchLocTable!$A$2:$B$47,2,FALSE)</f>
        <v>Winthrop</v>
      </c>
      <c r="B1709" s="207" t="str">
        <f>VLOOKUP(VALUE(D1709),$D$3:F$106,3,FALSE)</f>
        <v>Social Studies</v>
      </c>
      <c r="C1709" s="751" t="s">
        <v>246</v>
      </c>
      <c r="D1709" s="751" t="s">
        <v>605</v>
      </c>
      <c r="E1709" s="751" t="s">
        <v>623</v>
      </c>
      <c r="F1709" s="751" t="s">
        <v>248</v>
      </c>
      <c r="G1709" s="752">
        <v>2</v>
      </c>
      <c r="H1709" s="753">
        <v>51000</v>
      </c>
      <c r="I1709" s="754">
        <v>158909.85</v>
      </c>
      <c r="J1709" s="754">
        <v>0</v>
      </c>
      <c r="K1709" s="754">
        <v>0</v>
      </c>
      <c r="L1709" s="754">
        <v>30442.5</v>
      </c>
      <c r="M1709" s="754">
        <f t="shared" si="77"/>
        <v>30442.5</v>
      </c>
      <c r="N1709" s="756">
        <v>158909.85</v>
      </c>
      <c r="O1709" s="720">
        <f t="shared" si="78"/>
        <v>0</v>
      </c>
    </row>
    <row r="1710" spans="1:15" outlineLevel="2" x14ac:dyDescent="0.25">
      <c r="A1710" s="207" t="str">
        <f>VLOOKUP(RIGHT(E1710,3)+0,SchLocTable!$A$2:$B$47,2,FALSE)</f>
        <v>Winthrop</v>
      </c>
      <c r="B1710" s="207" t="str">
        <f>VLOOKUP(VALUE(D1710),$D$3:F$106,3,FALSE)</f>
        <v>Social Studies</v>
      </c>
      <c r="C1710" s="751" t="s">
        <v>246</v>
      </c>
      <c r="D1710" s="751" t="s">
        <v>605</v>
      </c>
      <c r="E1710" s="751" t="s">
        <v>623</v>
      </c>
      <c r="F1710" s="751" t="s">
        <v>257</v>
      </c>
      <c r="G1710" s="752" t="s">
        <v>1681</v>
      </c>
      <c r="H1710" s="753">
        <v>51140</v>
      </c>
      <c r="I1710" s="754">
        <v>900</v>
      </c>
      <c r="J1710" s="754">
        <v>0</v>
      </c>
      <c r="K1710" s="754">
        <v>0</v>
      </c>
      <c r="L1710" s="754">
        <v>0</v>
      </c>
      <c r="M1710" s="754">
        <f t="shared" si="77"/>
        <v>0</v>
      </c>
      <c r="N1710" s="756">
        <v>900</v>
      </c>
      <c r="O1710" s="720">
        <f t="shared" si="78"/>
        <v>0</v>
      </c>
    </row>
    <row r="1711" spans="1:15" outlineLevel="2" x14ac:dyDescent="0.25">
      <c r="A1711" s="207" t="str">
        <f>VLOOKUP(RIGHT(E1711,3)+0,SchLocTable!$A$2:$B$47,2,FALSE)</f>
        <v>Winthrop</v>
      </c>
      <c r="B1711" s="207" t="str">
        <f>VLOOKUP(VALUE(D1711),$D$3:F$106,3,FALSE)</f>
        <v>Social Studies</v>
      </c>
      <c r="C1711" s="751" t="s">
        <v>246</v>
      </c>
      <c r="D1711" s="751" t="s">
        <v>605</v>
      </c>
      <c r="E1711" s="751" t="s">
        <v>623</v>
      </c>
      <c r="F1711" s="751" t="s">
        <v>254</v>
      </c>
      <c r="G1711" s="752" t="s">
        <v>1681</v>
      </c>
      <c r="H1711" s="753">
        <v>52360</v>
      </c>
      <c r="I1711" s="754">
        <v>2280.1799999999998</v>
      </c>
      <c r="J1711" s="754">
        <v>0</v>
      </c>
      <c r="K1711" s="754">
        <v>0</v>
      </c>
      <c r="L1711" s="754">
        <v>417.4</v>
      </c>
      <c r="M1711" s="754">
        <f t="shared" si="77"/>
        <v>417.4</v>
      </c>
      <c r="N1711" s="756">
        <v>2280.1799999999998</v>
      </c>
      <c r="O1711" s="720">
        <f t="shared" si="78"/>
        <v>0</v>
      </c>
    </row>
    <row r="1712" spans="1:15" outlineLevel="2" x14ac:dyDescent="0.25">
      <c r="A1712" s="207" t="str">
        <f>VLOOKUP(RIGHT(E1712,3)+0,SchLocTable!$A$2:$B$47,2,FALSE)</f>
        <v>Winthrop</v>
      </c>
      <c r="B1712" s="207" t="str">
        <f>VLOOKUP(VALUE(D1712),$D$3:F$106,3,FALSE)</f>
        <v>Social Studies</v>
      </c>
      <c r="C1712" s="751" t="s">
        <v>246</v>
      </c>
      <c r="D1712" s="751" t="s">
        <v>605</v>
      </c>
      <c r="E1712" s="751" t="s">
        <v>623</v>
      </c>
      <c r="F1712" s="751" t="s">
        <v>259</v>
      </c>
      <c r="G1712" s="752" t="s">
        <v>1681</v>
      </c>
      <c r="H1712" s="753">
        <v>52917</v>
      </c>
      <c r="I1712" s="754">
        <v>23591.4</v>
      </c>
      <c r="J1712" s="754">
        <v>0</v>
      </c>
      <c r="K1712" s="754">
        <v>0</v>
      </c>
      <c r="L1712" s="754">
        <v>5617</v>
      </c>
      <c r="M1712" s="754">
        <f t="shared" si="77"/>
        <v>5617</v>
      </c>
      <c r="N1712" s="756">
        <v>23591.4</v>
      </c>
      <c r="O1712" s="720">
        <f t="shared" si="78"/>
        <v>0</v>
      </c>
    </row>
    <row r="1713" spans="1:15" outlineLevel="2" x14ac:dyDescent="0.25">
      <c r="A1713" s="207" t="str">
        <f>VLOOKUP(RIGHT(E1713,3)+0,SchLocTable!$A$2:$B$47,2,FALSE)</f>
        <v>Discovery</v>
      </c>
      <c r="B1713" s="207" t="str">
        <f>VLOOKUP(VALUE(D1713),$D$3:F$106,3,FALSE)</f>
        <v>Social Studies</v>
      </c>
      <c r="C1713" s="751" t="s">
        <v>246</v>
      </c>
      <c r="D1713" s="751" t="s">
        <v>605</v>
      </c>
      <c r="E1713" s="751" t="s">
        <v>624</v>
      </c>
      <c r="F1713" s="751" t="s">
        <v>248</v>
      </c>
      <c r="G1713" s="752">
        <v>1</v>
      </c>
      <c r="H1713" s="753">
        <v>51000</v>
      </c>
      <c r="I1713" s="754">
        <v>76191.899999999994</v>
      </c>
      <c r="J1713" s="754">
        <v>0</v>
      </c>
      <c r="K1713" s="754">
        <v>0</v>
      </c>
      <c r="L1713" s="754">
        <v>14596.15</v>
      </c>
      <c r="M1713" s="754">
        <f t="shared" si="77"/>
        <v>14596.15</v>
      </c>
      <c r="N1713" s="756">
        <v>76191.899999999994</v>
      </c>
      <c r="O1713" s="720">
        <f t="shared" si="78"/>
        <v>0</v>
      </c>
    </row>
    <row r="1714" spans="1:15" outlineLevel="2" x14ac:dyDescent="0.25">
      <c r="A1714" s="207" t="str">
        <f>VLOOKUP(RIGHT(E1714,3)+0,SchLocTable!$A$2:$B$47,2,FALSE)</f>
        <v>Discovery</v>
      </c>
      <c r="B1714" s="207" t="str">
        <f>VLOOKUP(VALUE(D1714),$D$3:F$106,3,FALSE)</f>
        <v>Social Studies</v>
      </c>
      <c r="C1714" s="751" t="s">
        <v>246</v>
      </c>
      <c r="D1714" s="751" t="s">
        <v>605</v>
      </c>
      <c r="E1714" s="751" t="s">
        <v>624</v>
      </c>
      <c r="F1714" s="751" t="s">
        <v>254</v>
      </c>
      <c r="G1714" s="752" t="s">
        <v>1681</v>
      </c>
      <c r="H1714" s="753">
        <v>52360</v>
      </c>
      <c r="I1714" s="754">
        <v>1104.51</v>
      </c>
      <c r="J1714" s="754">
        <v>0</v>
      </c>
      <c r="K1714" s="754">
        <v>0</v>
      </c>
      <c r="L1714" s="754">
        <v>211.37</v>
      </c>
      <c r="M1714" s="754">
        <f t="shared" si="77"/>
        <v>211.37</v>
      </c>
      <c r="N1714" s="756">
        <v>1104.51</v>
      </c>
      <c r="O1714" s="720">
        <f t="shared" si="78"/>
        <v>0</v>
      </c>
    </row>
    <row r="1715" spans="1:15" outlineLevel="2" x14ac:dyDescent="0.25">
      <c r="A1715" s="207" t="str">
        <f>VLOOKUP(RIGHT(E1715,3)+0,SchLocTable!$A$2:$B$47,2,FALSE)</f>
        <v>Discovery</v>
      </c>
      <c r="B1715" s="207" t="str">
        <f>VLOOKUP(VALUE(D1715),$D$3:F$106,3,FALSE)</f>
        <v>Social Studies</v>
      </c>
      <c r="C1715" s="751" t="s">
        <v>246</v>
      </c>
      <c r="D1715" s="751" t="s">
        <v>605</v>
      </c>
      <c r="E1715" s="751" t="s">
        <v>624</v>
      </c>
      <c r="F1715" s="751" t="s">
        <v>259</v>
      </c>
      <c r="G1715" s="752" t="s">
        <v>1681</v>
      </c>
      <c r="H1715" s="753">
        <v>52917</v>
      </c>
      <c r="I1715" s="754">
        <v>439.32</v>
      </c>
      <c r="J1715" s="754">
        <v>0</v>
      </c>
      <c r="K1715" s="754">
        <v>0</v>
      </c>
      <c r="L1715" s="754">
        <v>104.6</v>
      </c>
      <c r="M1715" s="754">
        <f t="shared" si="77"/>
        <v>104.6</v>
      </c>
      <c r="N1715" s="756">
        <v>439.32</v>
      </c>
      <c r="O1715" s="720">
        <f t="shared" si="78"/>
        <v>0</v>
      </c>
    </row>
    <row r="1716" spans="1:15" outlineLevel="2" x14ac:dyDescent="0.25">
      <c r="A1716" s="207" t="str">
        <f>VLOOKUP(RIGHT(E1716,3)+0,SchLocTable!$A$2:$B$47,2,FALSE)</f>
        <v>Cross</v>
      </c>
      <c r="B1716" s="207" t="str">
        <f>VLOOKUP(VALUE(D1716),$D$3:F$106,3,FALSE)</f>
        <v>Social Studies</v>
      </c>
      <c r="C1716" s="751" t="s">
        <v>246</v>
      </c>
      <c r="D1716" s="751" t="s">
        <v>605</v>
      </c>
      <c r="E1716" s="751" t="s">
        <v>625</v>
      </c>
      <c r="F1716" s="751" t="s">
        <v>248</v>
      </c>
      <c r="G1716" s="752">
        <v>1</v>
      </c>
      <c r="H1716" s="753">
        <v>51000</v>
      </c>
      <c r="I1716" s="754">
        <v>61180.49</v>
      </c>
      <c r="J1716" s="754">
        <v>0</v>
      </c>
      <c r="K1716" s="754">
        <v>0</v>
      </c>
      <c r="L1716" s="754">
        <v>11720.4</v>
      </c>
      <c r="M1716" s="754">
        <f t="shared" si="77"/>
        <v>11720.4</v>
      </c>
      <c r="N1716" s="756">
        <v>61180.49</v>
      </c>
      <c r="O1716" s="720">
        <f t="shared" si="78"/>
        <v>0</v>
      </c>
    </row>
    <row r="1717" spans="1:15" outlineLevel="2" x14ac:dyDescent="0.25">
      <c r="A1717" s="207" t="str">
        <f>VLOOKUP(RIGHT(E1717,3)+0,SchLocTable!$A$2:$B$47,2,FALSE)</f>
        <v>Cross</v>
      </c>
      <c r="B1717" s="207" t="str">
        <f>VLOOKUP(VALUE(D1717),$D$3:F$106,3,FALSE)</f>
        <v>Social Studies</v>
      </c>
      <c r="C1717" s="755" t="s">
        <v>246</v>
      </c>
      <c r="D1717" s="751" t="s">
        <v>605</v>
      </c>
      <c r="E1717" s="751" t="s">
        <v>625</v>
      </c>
      <c r="F1717" s="751" t="s">
        <v>254</v>
      </c>
      <c r="G1717" s="752" t="s">
        <v>1681</v>
      </c>
      <c r="H1717" s="753">
        <v>52360</v>
      </c>
      <c r="I1717" s="754">
        <v>858.1</v>
      </c>
      <c r="J1717" s="754">
        <v>0</v>
      </c>
      <c r="K1717" s="754">
        <v>0</v>
      </c>
      <c r="L1717" s="754">
        <v>140.93</v>
      </c>
      <c r="M1717" s="754">
        <f t="shared" si="77"/>
        <v>140.93</v>
      </c>
      <c r="N1717" s="756">
        <v>858.1</v>
      </c>
      <c r="O1717" s="720">
        <f t="shared" si="78"/>
        <v>0</v>
      </c>
    </row>
    <row r="1718" spans="1:15" outlineLevel="2" x14ac:dyDescent="0.25">
      <c r="A1718" s="207" t="str">
        <f>VLOOKUP(RIGHT(E1718,3)+0,SchLocTable!$A$2:$B$47,2,FALSE)</f>
        <v>Cross</v>
      </c>
      <c r="B1718" s="207" t="str">
        <f>VLOOKUP(VALUE(D1718),$D$3:F$106,3,FALSE)</f>
        <v>Social Studies</v>
      </c>
      <c r="C1718" s="751" t="s">
        <v>246</v>
      </c>
      <c r="D1718" s="751" t="s">
        <v>605</v>
      </c>
      <c r="E1718" s="751" t="s">
        <v>625</v>
      </c>
      <c r="F1718" s="751" t="s">
        <v>259</v>
      </c>
      <c r="G1718" s="752" t="s">
        <v>1681</v>
      </c>
      <c r="H1718" s="753">
        <v>52917</v>
      </c>
      <c r="I1718" s="754">
        <v>28478.1</v>
      </c>
      <c r="J1718" s="754">
        <v>0</v>
      </c>
      <c r="K1718" s="754">
        <v>0</v>
      </c>
      <c r="L1718" s="754">
        <v>6780.5</v>
      </c>
      <c r="M1718" s="754">
        <f t="shared" si="77"/>
        <v>6780.5</v>
      </c>
      <c r="N1718" s="756">
        <v>28478.1</v>
      </c>
      <c r="O1718" s="720">
        <f t="shared" si="78"/>
        <v>0</v>
      </c>
    </row>
    <row r="1719" spans="1:15" outlineLevel="2" x14ac:dyDescent="0.25">
      <c r="A1719" s="207" t="str">
        <f>VLOOKUP(RIGHT(E1719,3)+0,SchLocTable!$A$2:$B$47,2,FALSE)</f>
        <v>Blackham</v>
      </c>
      <c r="B1719" s="207" t="str">
        <f>VLOOKUP(VALUE(D1719),$D$3:F$106,3,FALSE)</f>
        <v>Social Studies</v>
      </c>
      <c r="C1719" s="751" t="s">
        <v>246</v>
      </c>
      <c r="D1719" s="751" t="s">
        <v>605</v>
      </c>
      <c r="E1719" s="751" t="s">
        <v>626</v>
      </c>
      <c r="F1719" s="751" t="s">
        <v>248</v>
      </c>
      <c r="G1719" s="752">
        <v>1</v>
      </c>
      <c r="H1719" s="753">
        <v>51000</v>
      </c>
      <c r="I1719" s="754">
        <v>64218.01</v>
      </c>
      <c r="J1719" s="754">
        <v>0</v>
      </c>
      <c r="K1719" s="754">
        <v>0</v>
      </c>
      <c r="L1719" s="754">
        <v>12302.3</v>
      </c>
      <c r="M1719" s="754">
        <f t="shared" si="77"/>
        <v>12302.3</v>
      </c>
      <c r="N1719" s="756">
        <v>64218.01</v>
      </c>
      <c r="O1719" s="720">
        <f t="shared" si="78"/>
        <v>0</v>
      </c>
    </row>
    <row r="1720" spans="1:15" outlineLevel="2" x14ac:dyDescent="0.25">
      <c r="A1720" s="207" t="str">
        <f>VLOOKUP(RIGHT(E1720,3)+0,SchLocTable!$A$2:$B$47,2,FALSE)</f>
        <v>Blackham</v>
      </c>
      <c r="B1720" s="207" t="str">
        <f>VLOOKUP(VALUE(D1720),$D$3:F$106,3,FALSE)</f>
        <v>Social Studies</v>
      </c>
      <c r="C1720" s="751" t="s">
        <v>246</v>
      </c>
      <c r="D1720" s="751" t="s">
        <v>605</v>
      </c>
      <c r="E1720" s="751" t="s">
        <v>626</v>
      </c>
      <c r="F1720" s="751" t="s">
        <v>257</v>
      </c>
      <c r="G1720" s="752" t="s">
        <v>1681</v>
      </c>
      <c r="H1720" s="753">
        <v>51140</v>
      </c>
      <c r="I1720" s="754">
        <v>900</v>
      </c>
      <c r="J1720" s="754">
        <v>0</v>
      </c>
      <c r="K1720" s="754">
        <v>0</v>
      </c>
      <c r="L1720" s="754">
        <v>0</v>
      </c>
      <c r="M1720" s="754">
        <f t="shared" si="77"/>
        <v>0</v>
      </c>
      <c r="N1720" s="756">
        <v>900</v>
      </c>
      <c r="O1720" s="720">
        <f t="shared" si="78"/>
        <v>0</v>
      </c>
    </row>
    <row r="1721" spans="1:15" outlineLevel="2" x14ac:dyDescent="0.25">
      <c r="A1721" s="207" t="str">
        <f>VLOOKUP(RIGHT(E1721,3)+0,SchLocTable!$A$2:$B$47,2,FALSE)</f>
        <v>Blackham</v>
      </c>
      <c r="B1721" s="207" t="str">
        <f>VLOOKUP(VALUE(D1721),$D$3:F$106,3,FALSE)</f>
        <v>Social Studies</v>
      </c>
      <c r="C1721" s="751" t="s">
        <v>246</v>
      </c>
      <c r="D1721" s="751" t="s">
        <v>605</v>
      </c>
      <c r="E1721" s="751" t="s">
        <v>626</v>
      </c>
      <c r="F1721" s="751" t="s">
        <v>254</v>
      </c>
      <c r="G1721" s="752" t="s">
        <v>1681</v>
      </c>
      <c r="H1721" s="753">
        <v>52360</v>
      </c>
      <c r="I1721" s="754">
        <v>919.13</v>
      </c>
      <c r="J1721" s="754">
        <v>0</v>
      </c>
      <c r="K1721" s="754">
        <v>0</v>
      </c>
      <c r="L1721" s="754">
        <v>166.35</v>
      </c>
      <c r="M1721" s="754">
        <f t="shared" si="77"/>
        <v>166.35</v>
      </c>
      <c r="N1721" s="756">
        <v>919.13</v>
      </c>
      <c r="O1721" s="720">
        <f t="shared" si="78"/>
        <v>0</v>
      </c>
    </row>
    <row r="1722" spans="1:15" outlineLevel="2" x14ac:dyDescent="0.25">
      <c r="A1722" s="207" t="str">
        <f>VLOOKUP(RIGHT(E1722,3)+0,SchLocTable!$A$2:$B$47,2,FALSE)</f>
        <v>Blackham</v>
      </c>
      <c r="B1722" s="207" t="str">
        <f>VLOOKUP(VALUE(D1722),$D$3:F$106,3,FALSE)</f>
        <v>Social Studies</v>
      </c>
      <c r="C1722" s="751" t="s">
        <v>246</v>
      </c>
      <c r="D1722" s="751" t="s">
        <v>605</v>
      </c>
      <c r="E1722" s="751" t="s">
        <v>626</v>
      </c>
      <c r="F1722" s="751" t="s">
        <v>259</v>
      </c>
      <c r="G1722" s="752" t="s">
        <v>1681</v>
      </c>
      <c r="H1722" s="753">
        <v>52917</v>
      </c>
      <c r="I1722" s="754">
        <v>11844</v>
      </c>
      <c r="J1722" s="754">
        <v>0</v>
      </c>
      <c r="K1722" s="754">
        <v>0</v>
      </c>
      <c r="L1722" s="754">
        <v>2820</v>
      </c>
      <c r="M1722" s="754">
        <f t="shared" si="77"/>
        <v>2820</v>
      </c>
      <c r="N1722" s="756">
        <v>11844</v>
      </c>
      <c r="O1722" s="720">
        <f t="shared" si="78"/>
        <v>0</v>
      </c>
    </row>
    <row r="1723" spans="1:15" outlineLevel="2" x14ac:dyDescent="0.25">
      <c r="A1723" s="207" t="str">
        <f>VLOOKUP(RIGHT(E1723,3)+0,SchLocTable!$A$2:$B$47,2,FALSE)</f>
        <v>Dunbar</v>
      </c>
      <c r="B1723" s="207" t="str">
        <f>VLOOKUP(VALUE(D1723),$D$3:F$106,3,FALSE)</f>
        <v>Social Studies</v>
      </c>
      <c r="C1723" s="751" t="s">
        <v>246</v>
      </c>
      <c r="D1723" s="751" t="s">
        <v>605</v>
      </c>
      <c r="E1723" s="751" t="s">
        <v>627</v>
      </c>
      <c r="F1723" s="751" t="s">
        <v>248</v>
      </c>
      <c r="G1723" s="752">
        <v>1</v>
      </c>
      <c r="H1723" s="753">
        <v>51000</v>
      </c>
      <c r="I1723" s="754">
        <v>61180.49</v>
      </c>
      <c r="J1723" s="754">
        <v>0</v>
      </c>
      <c r="K1723" s="754">
        <v>0</v>
      </c>
      <c r="L1723" s="754">
        <v>11720.4</v>
      </c>
      <c r="M1723" s="754">
        <f t="shared" si="77"/>
        <v>11720.4</v>
      </c>
      <c r="N1723" s="756">
        <v>61180.49</v>
      </c>
      <c r="O1723" s="720">
        <f t="shared" si="78"/>
        <v>0</v>
      </c>
    </row>
    <row r="1724" spans="1:15" outlineLevel="2" x14ac:dyDescent="0.25">
      <c r="A1724" s="207" t="str">
        <f>VLOOKUP(RIGHT(E1724,3)+0,SchLocTable!$A$2:$B$47,2,FALSE)</f>
        <v>Dunbar</v>
      </c>
      <c r="B1724" s="207" t="str">
        <f>VLOOKUP(VALUE(D1724),$D$3:F$106,3,FALSE)</f>
        <v>Social Studies</v>
      </c>
      <c r="C1724" s="751" t="s">
        <v>246</v>
      </c>
      <c r="D1724" s="751" t="s">
        <v>605</v>
      </c>
      <c r="E1724" s="751" t="s">
        <v>627</v>
      </c>
      <c r="F1724" s="751" t="s">
        <v>254</v>
      </c>
      <c r="G1724" s="752" t="s">
        <v>1681</v>
      </c>
      <c r="H1724" s="753">
        <v>52360</v>
      </c>
      <c r="I1724" s="754">
        <v>851.47</v>
      </c>
      <c r="J1724" s="754">
        <v>0</v>
      </c>
      <c r="K1724" s="754">
        <v>0</v>
      </c>
      <c r="L1724" s="754">
        <v>134.30000000000001</v>
      </c>
      <c r="M1724" s="754">
        <f t="shared" si="77"/>
        <v>134.30000000000001</v>
      </c>
      <c r="N1724" s="756">
        <v>851.47</v>
      </c>
      <c r="O1724" s="720">
        <f t="shared" si="78"/>
        <v>0</v>
      </c>
    </row>
    <row r="1725" spans="1:15" outlineLevel="2" x14ac:dyDescent="0.25">
      <c r="A1725" s="207" t="str">
        <f>VLOOKUP(RIGHT(E1725,3)+0,SchLocTable!$A$2:$B$47,2,FALSE)</f>
        <v>Dunbar</v>
      </c>
      <c r="B1725" s="207" t="str">
        <f>VLOOKUP(VALUE(D1725),$D$3:F$106,3,FALSE)</f>
        <v>Social Studies</v>
      </c>
      <c r="C1725" s="751" t="s">
        <v>246</v>
      </c>
      <c r="D1725" s="751" t="s">
        <v>605</v>
      </c>
      <c r="E1725" s="751" t="s">
        <v>627</v>
      </c>
      <c r="F1725" s="751" t="s">
        <v>259</v>
      </c>
      <c r="G1725" s="752" t="s">
        <v>1681</v>
      </c>
      <c r="H1725" s="753">
        <v>52917</v>
      </c>
      <c r="I1725" s="754">
        <v>35075.879999999997</v>
      </c>
      <c r="J1725" s="754">
        <v>0</v>
      </c>
      <c r="K1725" s="754">
        <v>0</v>
      </c>
      <c r="L1725" s="754">
        <v>8351.4</v>
      </c>
      <c r="M1725" s="754">
        <f t="shared" si="77"/>
        <v>8351.4</v>
      </c>
      <c r="N1725" s="756">
        <v>35075.879999999997</v>
      </c>
      <c r="O1725" s="720">
        <f t="shared" si="78"/>
        <v>0</v>
      </c>
    </row>
    <row r="1726" spans="1:15" outlineLevel="2" x14ac:dyDescent="0.25">
      <c r="A1726" s="207" t="str">
        <f>VLOOKUP(RIGHT(E1726,3)+0,SchLocTable!$A$2:$B$47,2,FALSE)</f>
        <v>Curiale</v>
      </c>
      <c r="B1726" s="207" t="str">
        <f>VLOOKUP(VALUE(D1726),$D$3:F$106,3,FALSE)</f>
        <v>Social Studies</v>
      </c>
      <c r="C1726" s="751" t="s">
        <v>246</v>
      </c>
      <c r="D1726" s="751" t="s">
        <v>605</v>
      </c>
      <c r="E1726" s="751" t="s">
        <v>628</v>
      </c>
      <c r="F1726" s="751" t="s">
        <v>248</v>
      </c>
      <c r="G1726" s="752">
        <v>1</v>
      </c>
      <c r="H1726" s="753">
        <v>51000</v>
      </c>
      <c r="I1726" s="754">
        <v>103153.2</v>
      </c>
      <c r="J1726" s="754">
        <v>0</v>
      </c>
      <c r="K1726" s="754">
        <v>0</v>
      </c>
      <c r="L1726" s="754">
        <v>19761.150000000001</v>
      </c>
      <c r="M1726" s="754">
        <f t="shared" si="77"/>
        <v>19761.150000000001</v>
      </c>
      <c r="N1726" s="756">
        <v>103153.2</v>
      </c>
      <c r="O1726" s="720">
        <f t="shared" si="78"/>
        <v>0</v>
      </c>
    </row>
    <row r="1727" spans="1:15" outlineLevel="2" x14ac:dyDescent="0.25">
      <c r="A1727" s="207" t="str">
        <f>VLOOKUP(RIGHT(E1727,3)+0,SchLocTable!$A$2:$B$47,2,FALSE)</f>
        <v>Curiale</v>
      </c>
      <c r="B1727" s="207" t="str">
        <f>VLOOKUP(VALUE(D1727),$D$3:F$106,3,FALSE)</f>
        <v>Social Studies</v>
      </c>
      <c r="C1727" s="755" t="s">
        <v>246</v>
      </c>
      <c r="D1727" s="751" t="s">
        <v>605</v>
      </c>
      <c r="E1727" s="751" t="s">
        <v>628</v>
      </c>
      <c r="F1727" s="751" t="s">
        <v>257</v>
      </c>
      <c r="G1727" s="752" t="s">
        <v>1681</v>
      </c>
      <c r="H1727" s="753">
        <v>51140</v>
      </c>
      <c r="I1727" s="754">
        <v>1200</v>
      </c>
      <c r="J1727" s="754">
        <v>0</v>
      </c>
      <c r="K1727" s="754">
        <v>0</v>
      </c>
      <c r="L1727" s="754">
        <v>0</v>
      </c>
      <c r="M1727" s="754">
        <f t="shared" ref="M1727:M1790" si="79">SUM(J1727:L1727)</f>
        <v>0</v>
      </c>
      <c r="N1727" s="756">
        <v>1200</v>
      </c>
      <c r="O1727" s="720">
        <f t="shared" ref="O1727:O1790" si="80">I1727-N1727</f>
        <v>0</v>
      </c>
    </row>
    <row r="1728" spans="1:15" outlineLevel="2" x14ac:dyDescent="0.25">
      <c r="A1728" s="207" t="str">
        <f>VLOOKUP(RIGHT(E1728,3)+0,SchLocTable!$A$2:$B$47,2,FALSE)</f>
        <v>Curiale</v>
      </c>
      <c r="B1728" s="207" t="str">
        <f>VLOOKUP(VALUE(D1728),$D$3:F$106,3,FALSE)</f>
        <v>Social Studies</v>
      </c>
      <c r="C1728" s="751" t="s">
        <v>246</v>
      </c>
      <c r="D1728" s="751" t="s">
        <v>605</v>
      </c>
      <c r="E1728" s="751" t="s">
        <v>628</v>
      </c>
      <c r="F1728" s="751" t="s">
        <v>254</v>
      </c>
      <c r="G1728" s="752" t="s">
        <v>1681</v>
      </c>
      <c r="H1728" s="753">
        <v>52360</v>
      </c>
      <c r="I1728" s="754">
        <v>1494.88</v>
      </c>
      <c r="J1728" s="754">
        <v>0</v>
      </c>
      <c r="K1728" s="754">
        <v>0</v>
      </c>
      <c r="L1728" s="754">
        <v>285.7</v>
      </c>
      <c r="M1728" s="754">
        <f t="shared" si="79"/>
        <v>285.7</v>
      </c>
      <c r="N1728" s="756">
        <v>1494.88</v>
      </c>
      <c r="O1728" s="720">
        <f t="shared" si="80"/>
        <v>0</v>
      </c>
    </row>
    <row r="1729" spans="1:15" outlineLevel="2" x14ac:dyDescent="0.25">
      <c r="A1729" s="207" t="str">
        <f>VLOOKUP(RIGHT(E1729,3)+0,SchLocTable!$A$2:$B$47,2,FALSE)</f>
        <v>Curiale</v>
      </c>
      <c r="B1729" s="207" t="str">
        <f>VLOOKUP(VALUE(D1729),$D$3:F$106,3,FALSE)</f>
        <v>Social Studies</v>
      </c>
      <c r="C1729" s="751" t="s">
        <v>246</v>
      </c>
      <c r="D1729" s="751" t="s">
        <v>605</v>
      </c>
      <c r="E1729" s="751" t="s">
        <v>628</v>
      </c>
      <c r="F1729" s="751" t="s">
        <v>259</v>
      </c>
      <c r="G1729" s="752" t="s">
        <v>1681</v>
      </c>
      <c r="H1729" s="753">
        <v>52917</v>
      </c>
      <c r="I1729" s="754">
        <v>1317.96</v>
      </c>
      <c r="J1729" s="754">
        <v>0</v>
      </c>
      <c r="K1729" s="754">
        <v>0</v>
      </c>
      <c r="L1729" s="754">
        <v>313.8</v>
      </c>
      <c r="M1729" s="754">
        <f t="shared" si="79"/>
        <v>313.8</v>
      </c>
      <c r="N1729" s="756">
        <v>1317.96</v>
      </c>
      <c r="O1729" s="720">
        <f t="shared" si="80"/>
        <v>0</v>
      </c>
    </row>
    <row r="1730" spans="1:15" outlineLevel="1" x14ac:dyDescent="0.25">
      <c r="A1730" s="207" t="str">
        <f>VLOOKUP(RIGHT(E1730,3)+0,SchLocTable!$A$2:$B$47,2,FALSE)</f>
        <v>High Horizons Magnet</v>
      </c>
      <c r="B1730" s="207" t="str">
        <f>VLOOKUP(VALUE(D1730),$D$3:F$106,3,FALSE)</f>
        <v>Social Studies</v>
      </c>
      <c r="C1730" s="751" t="s">
        <v>246</v>
      </c>
      <c r="D1730" s="751" t="s">
        <v>605</v>
      </c>
      <c r="E1730" s="751" t="s">
        <v>629</v>
      </c>
      <c r="F1730" s="751" t="s">
        <v>248</v>
      </c>
      <c r="G1730" s="752" t="s">
        <v>1681</v>
      </c>
      <c r="H1730" s="753">
        <v>51000</v>
      </c>
      <c r="I1730" s="754">
        <v>0</v>
      </c>
      <c r="J1730" s="754">
        <v>0</v>
      </c>
      <c r="K1730" s="754">
        <v>0</v>
      </c>
      <c r="L1730" s="754">
        <v>0</v>
      </c>
      <c r="M1730" s="754">
        <f t="shared" si="79"/>
        <v>0</v>
      </c>
      <c r="N1730" s="756">
        <v>0</v>
      </c>
      <c r="O1730" s="720">
        <f t="shared" si="80"/>
        <v>0</v>
      </c>
    </row>
    <row r="1731" spans="1:15" outlineLevel="2" x14ac:dyDescent="0.25">
      <c r="A1731" s="207" t="str">
        <f>VLOOKUP(RIGHT(E1731,3)+0,SchLocTable!$A$2:$B$47,2,FALSE)</f>
        <v>High Horizons Magnet</v>
      </c>
      <c r="B1731" s="207" t="str">
        <f>VLOOKUP(VALUE(D1731),$D$3:F$106,3,FALSE)</f>
        <v>Social Studies</v>
      </c>
      <c r="C1731" s="751" t="s">
        <v>246</v>
      </c>
      <c r="D1731" s="751" t="s">
        <v>605</v>
      </c>
      <c r="E1731" s="751" t="s">
        <v>629</v>
      </c>
      <c r="F1731" s="751" t="s">
        <v>257</v>
      </c>
      <c r="G1731" s="752" t="s">
        <v>1681</v>
      </c>
      <c r="H1731" s="753">
        <v>51140</v>
      </c>
      <c r="I1731" s="754">
        <v>1100</v>
      </c>
      <c r="J1731" s="754">
        <v>0</v>
      </c>
      <c r="K1731" s="754">
        <v>0</v>
      </c>
      <c r="L1731" s="754">
        <v>0</v>
      </c>
      <c r="M1731" s="754">
        <f t="shared" si="79"/>
        <v>0</v>
      </c>
      <c r="N1731" s="756">
        <v>1100</v>
      </c>
      <c r="O1731" s="720">
        <f t="shared" si="80"/>
        <v>0</v>
      </c>
    </row>
    <row r="1732" spans="1:15" outlineLevel="2" x14ac:dyDescent="0.25">
      <c r="A1732" s="207" t="str">
        <f>VLOOKUP(RIGHT(E1732,3)+0,SchLocTable!$A$2:$B$47,2,FALSE)</f>
        <v>High Horizons Magnet</v>
      </c>
      <c r="B1732" s="207" t="str">
        <f>VLOOKUP(VALUE(D1732),$D$3:F$106,3,FALSE)</f>
        <v>Social Studies</v>
      </c>
      <c r="C1732" s="755" t="s">
        <v>246</v>
      </c>
      <c r="D1732" s="751" t="s">
        <v>605</v>
      </c>
      <c r="E1732" s="751" t="s">
        <v>629</v>
      </c>
      <c r="F1732" s="751" t="s">
        <v>254</v>
      </c>
      <c r="G1732" s="752" t="s">
        <v>1681</v>
      </c>
      <c r="H1732" s="753">
        <v>52360</v>
      </c>
      <c r="I1732" s="754">
        <v>0</v>
      </c>
      <c r="J1732" s="754">
        <v>0</v>
      </c>
      <c r="K1732" s="754">
        <v>0</v>
      </c>
      <c r="L1732" s="754">
        <v>0</v>
      </c>
      <c r="M1732" s="754">
        <f t="shared" si="79"/>
        <v>0</v>
      </c>
      <c r="N1732" s="756">
        <v>0</v>
      </c>
      <c r="O1732" s="720">
        <f t="shared" si="80"/>
        <v>0</v>
      </c>
    </row>
    <row r="1733" spans="1:15" outlineLevel="2" x14ac:dyDescent="0.25">
      <c r="A1733" s="207" t="str">
        <f>VLOOKUP(RIGHT(E1733,3)+0,SchLocTable!$A$2:$B$47,2,FALSE)</f>
        <v>High Horizons Magnet</v>
      </c>
      <c r="B1733" s="207" t="str">
        <f>VLOOKUP(VALUE(D1733),$D$3:F$106,3,FALSE)</f>
        <v>Social Studies</v>
      </c>
      <c r="C1733" s="751" t="s">
        <v>246</v>
      </c>
      <c r="D1733" s="751" t="s">
        <v>605</v>
      </c>
      <c r="E1733" s="751" t="s">
        <v>629</v>
      </c>
      <c r="F1733" s="751" t="s">
        <v>259</v>
      </c>
      <c r="G1733" s="752" t="s">
        <v>1681</v>
      </c>
      <c r="H1733" s="753">
        <v>52917</v>
      </c>
      <c r="I1733" s="754">
        <v>0</v>
      </c>
      <c r="J1733" s="754">
        <v>0</v>
      </c>
      <c r="K1733" s="754">
        <v>0</v>
      </c>
      <c r="L1733" s="754">
        <v>0</v>
      </c>
      <c r="M1733" s="754">
        <f t="shared" si="79"/>
        <v>0</v>
      </c>
      <c r="N1733" s="756">
        <v>0</v>
      </c>
      <c r="O1733" s="720">
        <f t="shared" si="80"/>
        <v>0</v>
      </c>
    </row>
    <row r="1734" spans="1:15" outlineLevel="2" x14ac:dyDescent="0.25">
      <c r="A1734" s="207" t="str">
        <f>VLOOKUP(RIGHT(E1734,3)+0,SchLocTable!$A$2:$B$47,2,FALSE)</f>
        <v>Bassick HS</v>
      </c>
      <c r="B1734" s="207" t="str">
        <f>VLOOKUP(VALUE(D1734),$D$3:F$106,3,FALSE)</f>
        <v>Social Studies</v>
      </c>
      <c r="C1734" s="751" t="s">
        <v>246</v>
      </c>
      <c r="D1734" s="751" t="s">
        <v>605</v>
      </c>
      <c r="E1734" s="751" t="s">
        <v>630</v>
      </c>
      <c r="F1734" s="751" t="s">
        <v>248</v>
      </c>
      <c r="G1734" s="752">
        <v>8</v>
      </c>
      <c r="H1734" s="753">
        <v>51000</v>
      </c>
      <c r="I1734" s="754">
        <v>513801.87</v>
      </c>
      <c r="J1734" s="754">
        <v>0</v>
      </c>
      <c r="K1734" s="754">
        <v>0</v>
      </c>
      <c r="L1734" s="754">
        <v>97499.4</v>
      </c>
      <c r="M1734" s="754">
        <f t="shared" si="79"/>
        <v>97499.4</v>
      </c>
      <c r="N1734" s="756">
        <v>513801.87</v>
      </c>
      <c r="O1734" s="720">
        <f t="shared" si="80"/>
        <v>0</v>
      </c>
    </row>
    <row r="1735" spans="1:15" outlineLevel="2" x14ac:dyDescent="0.25">
      <c r="A1735" s="207" t="str">
        <f>VLOOKUP(RIGHT(E1735,3)+0,SchLocTable!$A$2:$B$47,2,FALSE)</f>
        <v>Bassick HS</v>
      </c>
      <c r="B1735" s="207" t="str">
        <f>VLOOKUP(VALUE(D1735),$D$3:F$106,3,FALSE)</f>
        <v>Social Studies</v>
      </c>
      <c r="C1735" s="751" t="s">
        <v>246</v>
      </c>
      <c r="D1735" s="751" t="s">
        <v>605</v>
      </c>
      <c r="E1735" s="751" t="s">
        <v>630</v>
      </c>
      <c r="F1735" s="751" t="s">
        <v>254</v>
      </c>
      <c r="G1735" s="752" t="s">
        <v>1681</v>
      </c>
      <c r="H1735" s="753">
        <v>52360</v>
      </c>
      <c r="I1735" s="754">
        <v>7245.07</v>
      </c>
      <c r="J1735" s="754">
        <v>0</v>
      </c>
      <c r="K1735" s="754">
        <v>0</v>
      </c>
      <c r="L1735" s="754">
        <v>1208.68</v>
      </c>
      <c r="M1735" s="754">
        <f t="shared" si="79"/>
        <v>1208.68</v>
      </c>
      <c r="N1735" s="756">
        <v>7245.07</v>
      </c>
      <c r="O1735" s="720">
        <f t="shared" si="80"/>
        <v>0</v>
      </c>
    </row>
    <row r="1736" spans="1:15" outlineLevel="2" x14ac:dyDescent="0.25">
      <c r="A1736" s="207" t="str">
        <f>VLOOKUP(RIGHT(E1736,3)+0,SchLocTable!$A$2:$B$47,2,FALSE)</f>
        <v>Bassick HS</v>
      </c>
      <c r="B1736" s="207" t="str">
        <f>VLOOKUP(VALUE(D1736),$D$3:F$106,3,FALSE)</f>
        <v>Social Studies</v>
      </c>
      <c r="C1736" s="751" t="s">
        <v>246</v>
      </c>
      <c r="D1736" s="751" t="s">
        <v>605</v>
      </c>
      <c r="E1736" s="751" t="s">
        <v>630</v>
      </c>
      <c r="F1736" s="751" t="s">
        <v>292</v>
      </c>
      <c r="G1736" s="752" t="s">
        <v>1681</v>
      </c>
      <c r="H1736" s="753">
        <v>52385</v>
      </c>
      <c r="I1736" s="754">
        <v>2824.11</v>
      </c>
      <c r="J1736" s="754">
        <v>0</v>
      </c>
      <c r="K1736" s="754">
        <v>0</v>
      </c>
      <c r="L1736" s="754">
        <v>485.77</v>
      </c>
      <c r="M1736" s="754">
        <f t="shared" si="79"/>
        <v>485.77</v>
      </c>
      <c r="N1736" s="756">
        <v>2824.11</v>
      </c>
      <c r="O1736" s="720">
        <f t="shared" si="80"/>
        <v>0</v>
      </c>
    </row>
    <row r="1737" spans="1:15" outlineLevel="2" x14ac:dyDescent="0.25">
      <c r="A1737" s="207" t="str">
        <f>VLOOKUP(RIGHT(E1737,3)+0,SchLocTable!$A$2:$B$47,2,FALSE)</f>
        <v>Bassick HS</v>
      </c>
      <c r="B1737" s="207" t="str">
        <f>VLOOKUP(VALUE(D1737),$D$3:F$106,3,FALSE)</f>
        <v>Social Studies</v>
      </c>
      <c r="C1737" s="751" t="s">
        <v>246</v>
      </c>
      <c r="D1737" s="751" t="s">
        <v>605</v>
      </c>
      <c r="E1737" s="751" t="s">
        <v>630</v>
      </c>
      <c r="F1737" s="751" t="s">
        <v>259</v>
      </c>
      <c r="G1737" s="752" t="s">
        <v>1681</v>
      </c>
      <c r="H1737" s="753">
        <v>52917</v>
      </c>
      <c r="I1737" s="754">
        <v>204537.13</v>
      </c>
      <c r="J1737" s="754">
        <v>0</v>
      </c>
      <c r="K1737" s="754">
        <v>0</v>
      </c>
      <c r="L1737" s="754">
        <v>47985.18</v>
      </c>
      <c r="M1737" s="754">
        <f t="shared" si="79"/>
        <v>47985.18</v>
      </c>
      <c r="N1737" s="756">
        <v>204537.13</v>
      </c>
      <c r="O1737" s="720">
        <f t="shared" si="80"/>
        <v>0</v>
      </c>
    </row>
    <row r="1738" spans="1:15" outlineLevel="2" x14ac:dyDescent="0.25">
      <c r="A1738" s="207" t="str">
        <f>VLOOKUP(RIGHT(E1738,3)+0,SchLocTable!$A$2:$B$47,2,FALSE)</f>
        <v>Central HS</v>
      </c>
      <c r="B1738" s="207" t="str">
        <f>VLOOKUP(VALUE(D1738),$D$3:F$106,3,FALSE)</f>
        <v>Social Studies</v>
      </c>
      <c r="C1738" s="751" t="s">
        <v>246</v>
      </c>
      <c r="D1738" s="751" t="s">
        <v>605</v>
      </c>
      <c r="E1738" s="751" t="s">
        <v>631</v>
      </c>
      <c r="F1738" s="751" t="s">
        <v>248</v>
      </c>
      <c r="G1738" s="752">
        <v>16</v>
      </c>
      <c r="H1738" s="753">
        <v>51000</v>
      </c>
      <c r="I1738" s="754">
        <v>1189154.2</v>
      </c>
      <c r="J1738" s="754">
        <v>0</v>
      </c>
      <c r="K1738" s="754">
        <v>0</v>
      </c>
      <c r="L1738" s="754">
        <v>238681.78</v>
      </c>
      <c r="M1738" s="754">
        <f t="shared" si="79"/>
        <v>238681.78</v>
      </c>
      <c r="N1738" s="756">
        <v>1189154.2</v>
      </c>
      <c r="O1738" s="720">
        <f t="shared" si="80"/>
        <v>0</v>
      </c>
    </row>
    <row r="1739" spans="1:15" outlineLevel="2" x14ac:dyDescent="0.25">
      <c r="A1739" s="207" t="str">
        <f>VLOOKUP(RIGHT(E1739,3)+0,SchLocTable!$A$2:$B$47,2,FALSE)</f>
        <v>Central HS</v>
      </c>
      <c r="B1739" s="207" t="str">
        <f>VLOOKUP(VALUE(D1739),$D$3:F$106,3,FALSE)</f>
        <v>Social Studies</v>
      </c>
      <c r="C1739" s="751" t="s">
        <v>246</v>
      </c>
      <c r="D1739" s="751" t="s">
        <v>605</v>
      </c>
      <c r="E1739" s="751" t="s">
        <v>631</v>
      </c>
      <c r="F1739" s="751" t="s">
        <v>257</v>
      </c>
      <c r="G1739" s="752" t="s">
        <v>1681</v>
      </c>
      <c r="H1739" s="753">
        <v>51140</v>
      </c>
      <c r="I1739" s="754">
        <v>5400</v>
      </c>
      <c r="J1739" s="754">
        <v>0</v>
      </c>
      <c r="K1739" s="754">
        <v>0</v>
      </c>
      <c r="L1739" s="754">
        <v>0</v>
      </c>
      <c r="M1739" s="754">
        <f t="shared" si="79"/>
        <v>0</v>
      </c>
      <c r="N1739" s="756">
        <v>5400</v>
      </c>
      <c r="O1739" s="720">
        <f t="shared" si="80"/>
        <v>0</v>
      </c>
    </row>
    <row r="1740" spans="1:15" outlineLevel="2" x14ac:dyDescent="0.25">
      <c r="A1740" s="207" t="str">
        <f>VLOOKUP(RIGHT(E1740,3)+0,SchLocTable!$A$2:$B$47,2,FALSE)</f>
        <v>Central HS</v>
      </c>
      <c r="B1740" s="207" t="str">
        <f>VLOOKUP(VALUE(D1740),$D$3:F$106,3,FALSE)</f>
        <v>Social Studies</v>
      </c>
      <c r="C1740" s="751" t="s">
        <v>246</v>
      </c>
      <c r="D1740" s="751" t="s">
        <v>605</v>
      </c>
      <c r="E1740" s="751" t="s">
        <v>631</v>
      </c>
      <c r="F1740" s="751" t="s">
        <v>254</v>
      </c>
      <c r="G1740" s="752" t="s">
        <v>1681</v>
      </c>
      <c r="H1740" s="753">
        <v>52360</v>
      </c>
      <c r="I1740" s="754">
        <v>17007.66</v>
      </c>
      <c r="J1740" s="754">
        <v>0</v>
      </c>
      <c r="K1740" s="754">
        <v>0</v>
      </c>
      <c r="L1740" s="754">
        <v>3225.81</v>
      </c>
      <c r="M1740" s="754">
        <f t="shared" si="79"/>
        <v>3225.81</v>
      </c>
      <c r="N1740" s="756">
        <v>17007.66</v>
      </c>
      <c r="O1740" s="720">
        <f t="shared" si="80"/>
        <v>0</v>
      </c>
    </row>
    <row r="1741" spans="1:15" outlineLevel="2" x14ac:dyDescent="0.25">
      <c r="A1741" s="207" t="str">
        <f>VLOOKUP(RIGHT(E1741,3)+0,SchLocTable!$A$2:$B$47,2,FALSE)</f>
        <v>Central HS</v>
      </c>
      <c r="B1741" s="207" t="str">
        <f>VLOOKUP(VALUE(D1741),$D$3:F$106,3,FALSE)</f>
        <v>Social Studies</v>
      </c>
      <c r="C1741" s="751" t="s">
        <v>246</v>
      </c>
      <c r="D1741" s="751" t="s">
        <v>605</v>
      </c>
      <c r="E1741" s="751" t="s">
        <v>631</v>
      </c>
      <c r="F1741" s="751" t="s">
        <v>292</v>
      </c>
      <c r="G1741" s="752" t="s">
        <v>1681</v>
      </c>
      <c r="H1741" s="753">
        <v>52385</v>
      </c>
      <c r="I1741" s="754">
        <v>248</v>
      </c>
      <c r="J1741" s="754">
        <v>0</v>
      </c>
      <c r="K1741" s="754">
        <v>0</v>
      </c>
      <c r="L1741" s="754">
        <v>248</v>
      </c>
      <c r="M1741" s="754">
        <f t="shared" si="79"/>
        <v>248</v>
      </c>
      <c r="N1741" s="756">
        <v>248</v>
      </c>
      <c r="O1741" s="720">
        <f t="shared" si="80"/>
        <v>0</v>
      </c>
    </row>
    <row r="1742" spans="1:15" outlineLevel="2" x14ac:dyDescent="0.25">
      <c r="A1742" s="207" t="str">
        <f>VLOOKUP(RIGHT(E1742,3)+0,SchLocTable!$A$2:$B$47,2,FALSE)</f>
        <v>Central HS</v>
      </c>
      <c r="B1742" s="207" t="str">
        <f>VLOOKUP(VALUE(D1742),$D$3:F$106,3,FALSE)</f>
        <v>Social Studies</v>
      </c>
      <c r="C1742" s="751" t="s">
        <v>246</v>
      </c>
      <c r="D1742" s="751" t="s">
        <v>605</v>
      </c>
      <c r="E1742" s="751" t="s">
        <v>631</v>
      </c>
      <c r="F1742" s="751" t="s">
        <v>259</v>
      </c>
      <c r="G1742" s="752" t="s">
        <v>1681</v>
      </c>
      <c r="H1742" s="753">
        <v>52917</v>
      </c>
      <c r="I1742" s="754">
        <v>228457.74</v>
      </c>
      <c r="J1742" s="754">
        <v>0</v>
      </c>
      <c r="K1742" s="754">
        <v>0</v>
      </c>
      <c r="L1742" s="754">
        <v>54394.7</v>
      </c>
      <c r="M1742" s="754">
        <f t="shared" si="79"/>
        <v>54394.7</v>
      </c>
      <c r="N1742" s="756">
        <v>228457.74</v>
      </c>
      <c r="O1742" s="720">
        <f t="shared" si="80"/>
        <v>0</v>
      </c>
    </row>
    <row r="1743" spans="1:15" outlineLevel="2" x14ac:dyDescent="0.25">
      <c r="A1743" s="207" t="str">
        <f>VLOOKUP(RIGHT(E1743,3)+0,SchLocTable!$A$2:$B$47,2,FALSE)</f>
        <v>Harding HS</v>
      </c>
      <c r="B1743" s="207" t="str">
        <f>VLOOKUP(VALUE(D1743),$D$3:F$106,3,FALSE)</f>
        <v>Social Studies</v>
      </c>
      <c r="C1743" s="751" t="s">
        <v>246</v>
      </c>
      <c r="D1743" s="751" t="s">
        <v>605</v>
      </c>
      <c r="E1743" s="751" t="s">
        <v>632</v>
      </c>
      <c r="F1743" s="751" t="s">
        <v>248</v>
      </c>
      <c r="G1743" s="752">
        <v>9</v>
      </c>
      <c r="H1743" s="753">
        <v>51000</v>
      </c>
      <c r="I1743" s="754">
        <v>687920.31</v>
      </c>
      <c r="J1743" s="754">
        <v>0</v>
      </c>
      <c r="K1743" s="754">
        <v>0</v>
      </c>
      <c r="L1743" s="754">
        <v>131785.5</v>
      </c>
      <c r="M1743" s="754">
        <f t="shared" si="79"/>
        <v>131785.5</v>
      </c>
      <c r="N1743" s="756">
        <v>687920.31</v>
      </c>
      <c r="O1743" s="720">
        <f t="shared" si="80"/>
        <v>0</v>
      </c>
    </row>
    <row r="1744" spans="1:15" outlineLevel="2" x14ac:dyDescent="0.25">
      <c r="A1744" s="207" t="str">
        <f>VLOOKUP(RIGHT(E1744,3)+0,SchLocTable!$A$2:$B$47,2,FALSE)</f>
        <v>Harding HS</v>
      </c>
      <c r="B1744" s="207" t="str">
        <f>VLOOKUP(VALUE(D1744),$D$3:F$106,3,FALSE)</f>
        <v>Social Studies</v>
      </c>
      <c r="C1744" s="751" t="s">
        <v>246</v>
      </c>
      <c r="D1744" s="751" t="s">
        <v>605</v>
      </c>
      <c r="E1744" s="751" t="s">
        <v>632</v>
      </c>
      <c r="F1744" s="751" t="s">
        <v>257</v>
      </c>
      <c r="G1744" s="752" t="s">
        <v>1681</v>
      </c>
      <c r="H1744" s="753">
        <v>51140</v>
      </c>
      <c r="I1744" s="754">
        <v>4000</v>
      </c>
      <c r="J1744" s="754">
        <v>0</v>
      </c>
      <c r="K1744" s="754">
        <v>0</v>
      </c>
      <c r="L1744" s="754">
        <v>0</v>
      </c>
      <c r="M1744" s="754">
        <f t="shared" si="79"/>
        <v>0</v>
      </c>
      <c r="N1744" s="756">
        <v>4000</v>
      </c>
      <c r="O1744" s="720">
        <f t="shared" si="80"/>
        <v>0</v>
      </c>
    </row>
    <row r="1745" spans="1:15" outlineLevel="2" x14ac:dyDescent="0.25">
      <c r="A1745" s="207" t="str">
        <f>VLOOKUP(RIGHT(E1745,3)+0,SchLocTable!$A$2:$B$47,2,FALSE)</f>
        <v>Harding HS</v>
      </c>
      <c r="B1745" s="207" t="str">
        <f>VLOOKUP(VALUE(D1745),$D$3:F$106,3,FALSE)</f>
        <v>Social Studies</v>
      </c>
      <c r="C1745" s="755" t="s">
        <v>246</v>
      </c>
      <c r="D1745" s="751" t="s">
        <v>605</v>
      </c>
      <c r="E1745" s="751" t="s">
        <v>632</v>
      </c>
      <c r="F1745" s="751" t="s">
        <v>254</v>
      </c>
      <c r="G1745" s="752" t="s">
        <v>1681</v>
      </c>
      <c r="H1745" s="753">
        <v>52360</v>
      </c>
      <c r="I1745" s="754">
        <v>9856.5300000000007</v>
      </c>
      <c r="J1745" s="754">
        <v>0</v>
      </c>
      <c r="K1745" s="754">
        <v>0</v>
      </c>
      <c r="L1745" s="754">
        <v>1792.58</v>
      </c>
      <c r="M1745" s="754">
        <f t="shared" si="79"/>
        <v>1792.58</v>
      </c>
      <c r="N1745" s="756">
        <v>9856.5300000000007</v>
      </c>
      <c r="O1745" s="720">
        <f t="shared" si="80"/>
        <v>0</v>
      </c>
    </row>
    <row r="1746" spans="1:15" outlineLevel="2" x14ac:dyDescent="0.25">
      <c r="A1746" s="207" t="str">
        <f>VLOOKUP(RIGHT(E1746,3)+0,SchLocTable!$A$2:$B$47,2,FALSE)</f>
        <v>Harding HS</v>
      </c>
      <c r="B1746" s="207" t="str">
        <f>VLOOKUP(VALUE(D1746),$D$3:F$106,3,FALSE)</f>
        <v>Social Studies</v>
      </c>
      <c r="C1746" s="751" t="s">
        <v>246</v>
      </c>
      <c r="D1746" s="751" t="s">
        <v>605</v>
      </c>
      <c r="E1746" s="751" t="s">
        <v>632</v>
      </c>
      <c r="F1746" s="751" t="s">
        <v>292</v>
      </c>
      <c r="G1746" s="752" t="s">
        <v>1681</v>
      </c>
      <c r="H1746" s="753">
        <v>52385</v>
      </c>
      <c r="I1746" s="754">
        <v>0</v>
      </c>
      <c r="J1746" s="754">
        <v>0</v>
      </c>
      <c r="K1746" s="754">
        <v>0</v>
      </c>
      <c r="L1746" s="754">
        <v>0</v>
      </c>
      <c r="M1746" s="754">
        <f t="shared" si="79"/>
        <v>0</v>
      </c>
      <c r="N1746" s="756">
        <v>0</v>
      </c>
      <c r="O1746" s="720">
        <f t="shared" si="80"/>
        <v>0</v>
      </c>
    </row>
    <row r="1747" spans="1:15" outlineLevel="2" x14ac:dyDescent="0.25">
      <c r="A1747" s="207" t="str">
        <f>VLOOKUP(RIGHT(E1747,3)+0,SchLocTable!$A$2:$B$47,2,FALSE)</f>
        <v>Harding HS</v>
      </c>
      <c r="B1747" s="207" t="str">
        <f>VLOOKUP(VALUE(D1747),$D$3:F$106,3,FALSE)</f>
        <v>Social Studies</v>
      </c>
      <c r="C1747" s="751" t="s">
        <v>246</v>
      </c>
      <c r="D1747" s="751" t="s">
        <v>605</v>
      </c>
      <c r="E1747" s="751" t="s">
        <v>632</v>
      </c>
      <c r="F1747" s="751" t="s">
        <v>259</v>
      </c>
      <c r="G1747" s="752" t="s">
        <v>1681</v>
      </c>
      <c r="H1747" s="753">
        <v>52917</v>
      </c>
      <c r="I1747" s="754">
        <v>118645.84</v>
      </c>
      <c r="J1747" s="754">
        <v>0</v>
      </c>
      <c r="K1747" s="754">
        <v>0</v>
      </c>
      <c r="L1747" s="754">
        <v>27822.799999999999</v>
      </c>
      <c r="M1747" s="754">
        <f t="shared" si="79"/>
        <v>27822.799999999999</v>
      </c>
      <c r="N1747" s="756">
        <v>118645.84</v>
      </c>
      <c r="O1747" s="720">
        <f t="shared" si="80"/>
        <v>0</v>
      </c>
    </row>
    <row r="1748" spans="1:15" outlineLevel="2" x14ac:dyDescent="0.25">
      <c r="A1748" s="207" t="e">
        <f>VLOOKUP(RIGHT(E1748,3)+0,SchLocTable!$A$2:$B$47,2,FALSE)</f>
        <v>#N/A</v>
      </c>
      <c r="B1748" s="207" t="str">
        <f>VLOOKUP(VALUE(D1748),$D$3:F$106,3,FALSE)</f>
        <v>Physical Education</v>
      </c>
      <c r="C1748" s="751" t="s">
        <v>246</v>
      </c>
      <c r="D1748" s="751" t="s">
        <v>633</v>
      </c>
      <c r="E1748" s="751" t="s">
        <v>1485</v>
      </c>
      <c r="F1748" s="751" t="s">
        <v>257</v>
      </c>
      <c r="G1748" s="752" t="s">
        <v>1681</v>
      </c>
      <c r="H1748" s="753">
        <v>51140</v>
      </c>
      <c r="I1748" s="754">
        <v>1800</v>
      </c>
      <c r="J1748" s="754">
        <v>0</v>
      </c>
      <c r="K1748" s="754">
        <v>0</v>
      </c>
      <c r="L1748" s="754">
        <v>0</v>
      </c>
      <c r="M1748" s="754">
        <f t="shared" si="79"/>
        <v>0</v>
      </c>
      <c r="N1748" s="756">
        <v>1800</v>
      </c>
      <c r="O1748" s="720">
        <f t="shared" si="80"/>
        <v>0</v>
      </c>
    </row>
    <row r="1749" spans="1:15" outlineLevel="2" x14ac:dyDescent="0.25">
      <c r="A1749" s="207" t="e">
        <f>VLOOKUP(RIGHT(E1749,3)+0,SchLocTable!$A$2:$B$47,2,FALSE)</f>
        <v>#N/A</v>
      </c>
      <c r="B1749" s="207" t="str">
        <f>VLOOKUP(VALUE(D1749),$D$3:F$106,3,FALSE)</f>
        <v>Physical Education</v>
      </c>
      <c r="C1749" s="755" t="s">
        <v>246</v>
      </c>
      <c r="D1749" s="751" t="s">
        <v>633</v>
      </c>
      <c r="E1749" s="751" t="s">
        <v>1485</v>
      </c>
      <c r="F1749" s="751" t="s">
        <v>254</v>
      </c>
      <c r="G1749" s="752" t="s">
        <v>1681</v>
      </c>
      <c r="H1749" s="753">
        <v>52360</v>
      </c>
      <c r="I1749" s="754">
        <v>0</v>
      </c>
      <c r="J1749" s="754">
        <v>0</v>
      </c>
      <c r="K1749" s="754">
        <v>0</v>
      </c>
      <c r="L1749" s="754">
        <v>0</v>
      </c>
      <c r="M1749" s="754">
        <f t="shared" si="79"/>
        <v>0</v>
      </c>
      <c r="N1749" s="756">
        <v>0</v>
      </c>
      <c r="O1749" s="720">
        <f t="shared" si="80"/>
        <v>0</v>
      </c>
    </row>
    <row r="1750" spans="1:15" outlineLevel="2" x14ac:dyDescent="0.25">
      <c r="A1750" s="207" t="e">
        <f>VLOOKUP(RIGHT(E1750,3)+0,SchLocTable!$A$2:$B$47,2,FALSE)</f>
        <v>#N/A</v>
      </c>
      <c r="B1750" s="207" t="str">
        <f>VLOOKUP(VALUE(D1750),$D$3:F$106,3,FALSE)</f>
        <v>Physical Education</v>
      </c>
      <c r="C1750" s="751" t="s">
        <v>246</v>
      </c>
      <c r="D1750" s="751" t="s">
        <v>633</v>
      </c>
      <c r="E1750" s="751" t="s">
        <v>1485</v>
      </c>
      <c r="F1750" s="751" t="s">
        <v>806</v>
      </c>
      <c r="G1750" s="752" t="s">
        <v>1681</v>
      </c>
      <c r="H1750" s="753">
        <v>52397</v>
      </c>
      <c r="I1750" s="754">
        <v>0</v>
      </c>
      <c r="J1750" s="754">
        <v>0</v>
      </c>
      <c r="K1750" s="754">
        <v>0</v>
      </c>
      <c r="L1750" s="754">
        <v>0</v>
      </c>
      <c r="M1750" s="754">
        <f t="shared" si="79"/>
        <v>0</v>
      </c>
      <c r="N1750" s="756">
        <v>0</v>
      </c>
      <c r="O1750" s="720">
        <f t="shared" si="80"/>
        <v>0</v>
      </c>
    </row>
    <row r="1751" spans="1:15" outlineLevel="2" x14ac:dyDescent="0.25">
      <c r="A1751" s="207" t="e">
        <f>VLOOKUP(RIGHT(E1751,3)+0,SchLocTable!$A$2:$B$47,2,FALSE)</f>
        <v>#N/A</v>
      </c>
      <c r="B1751" s="207" t="str">
        <f>VLOOKUP(VALUE(D1751),$D$3:F$106,3,FALSE)</f>
        <v>Physical Education</v>
      </c>
      <c r="C1751" s="751" t="s">
        <v>246</v>
      </c>
      <c r="D1751" s="751" t="s">
        <v>633</v>
      </c>
      <c r="E1751" s="751" t="s">
        <v>1485</v>
      </c>
      <c r="F1751" s="751" t="s">
        <v>634</v>
      </c>
      <c r="G1751" s="752" t="s">
        <v>1681</v>
      </c>
      <c r="H1751" s="753">
        <v>55195</v>
      </c>
      <c r="I1751" s="754">
        <v>15000</v>
      </c>
      <c r="J1751" s="754">
        <v>0</v>
      </c>
      <c r="K1751" s="754">
        <v>0</v>
      </c>
      <c r="L1751" s="754">
        <v>0</v>
      </c>
      <c r="M1751" s="754">
        <f t="shared" si="79"/>
        <v>0</v>
      </c>
      <c r="N1751" s="756">
        <v>15000</v>
      </c>
      <c r="O1751" s="720">
        <f t="shared" si="80"/>
        <v>0</v>
      </c>
    </row>
    <row r="1752" spans="1:15" outlineLevel="2" x14ac:dyDescent="0.25">
      <c r="A1752" s="207" t="str">
        <f>VLOOKUP(RIGHT(E1752,3)+0,SchLocTable!$A$2:$B$47,2,FALSE)</f>
        <v>Barnum</v>
      </c>
      <c r="B1752" s="207" t="str">
        <f>VLOOKUP(VALUE(D1752),$D$3:F$106,3,FALSE)</f>
        <v>Physical Education</v>
      </c>
      <c r="C1752" s="751" t="s">
        <v>246</v>
      </c>
      <c r="D1752" s="751" t="s">
        <v>633</v>
      </c>
      <c r="E1752" s="751" t="s">
        <v>636</v>
      </c>
      <c r="F1752" s="751" t="s">
        <v>248</v>
      </c>
      <c r="G1752" s="752">
        <v>2</v>
      </c>
      <c r="H1752" s="753">
        <v>51000</v>
      </c>
      <c r="I1752" s="754">
        <v>188492.62</v>
      </c>
      <c r="J1752" s="754">
        <v>0</v>
      </c>
      <c r="K1752" s="754">
        <v>0</v>
      </c>
      <c r="L1752" s="754">
        <v>40890.449999999997</v>
      </c>
      <c r="M1752" s="754">
        <f t="shared" si="79"/>
        <v>40890.449999999997</v>
      </c>
      <c r="N1752" s="756">
        <v>188492.62</v>
      </c>
      <c r="O1752" s="720">
        <f t="shared" si="80"/>
        <v>0</v>
      </c>
    </row>
    <row r="1753" spans="1:15" outlineLevel="2" x14ac:dyDescent="0.25">
      <c r="A1753" s="207" t="str">
        <f>VLOOKUP(RIGHT(E1753,3)+0,SchLocTable!$A$2:$B$47,2,FALSE)</f>
        <v>Barnum</v>
      </c>
      <c r="B1753" s="207" t="str">
        <f>VLOOKUP(VALUE(D1753),$D$3:F$106,3,FALSE)</f>
        <v>Physical Education</v>
      </c>
      <c r="C1753" s="755" t="s">
        <v>246</v>
      </c>
      <c r="D1753" s="751" t="s">
        <v>633</v>
      </c>
      <c r="E1753" s="751" t="s">
        <v>636</v>
      </c>
      <c r="F1753" s="751" t="s">
        <v>257</v>
      </c>
      <c r="G1753" s="752" t="s">
        <v>1681</v>
      </c>
      <c r="H1753" s="753">
        <v>51140</v>
      </c>
      <c r="I1753" s="754">
        <v>900</v>
      </c>
      <c r="J1753" s="754">
        <v>0</v>
      </c>
      <c r="K1753" s="754">
        <v>0</v>
      </c>
      <c r="L1753" s="754">
        <v>0</v>
      </c>
      <c r="M1753" s="754">
        <f t="shared" si="79"/>
        <v>0</v>
      </c>
      <c r="N1753" s="756">
        <v>900</v>
      </c>
      <c r="O1753" s="720">
        <f t="shared" si="80"/>
        <v>0</v>
      </c>
    </row>
    <row r="1754" spans="1:15" outlineLevel="2" x14ac:dyDescent="0.25">
      <c r="A1754" s="207" t="str">
        <f>VLOOKUP(RIGHT(E1754,3)+0,SchLocTable!$A$2:$B$47,2,FALSE)</f>
        <v>Barnum</v>
      </c>
      <c r="B1754" s="207" t="str">
        <f>VLOOKUP(VALUE(D1754),$D$3:F$106,3,FALSE)</f>
        <v>Physical Education</v>
      </c>
      <c r="C1754" s="751" t="s">
        <v>246</v>
      </c>
      <c r="D1754" s="751" t="s">
        <v>633</v>
      </c>
      <c r="E1754" s="751" t="s">
        <v>636</v>
      </c>
      <c r="F1754" s="751" t="s">
        <v>254</v>
      </c>
      <c r="G1754" s="752" t="s">
        <v>1681</v>
      </c>
      <c r="H1754" s="753">
        <v>52360</v>
      </c>
      <c r="I1754" s="754">
        <v>2697.5</v>
      </c>
      <c r="J1754" s="754">
        <v>0</v>
      </c>
      <c r="K1754" s="754">
        <v>0</v>
      </c>
      <c r="L1754" s="754">
        <v>557.27</v>
      </c>
      <c r="M1754" s="754">
        <f t="shared" si="79"/>
        <v>557.27</v>
      </c>
      <c r="N1754" s="756">
        <v>2697.5</v>
      </c>
      <c r="O1754" s="720">
        <f t="shared" si="80"/>
        <v>0</v>
      </c>
    </row>
    <row r="1755" spans="1:15" outlineLevel="2" x14ac:dyDescent="0.25">
      <c r="A1755" s="207" t="str">
        <f>VLOOKUP(RIGHT(E1755,3)+0,SchLocTable!$A$2:$B$47,2,FALSE)</f>
        <v>Barnum</v>
      </c>
      <c r="B1755" s="207" t="str">
        <f>VLOOKUP(VALUE(D1755),$D$3:F$106,3,FALSE)</f>
        <v>Physical Education</v>
      </c>
      <c r="C1755" s="751" t="s">
        <v>246</v>
      </c>
      <c r="D1755" s="751" t="s">
        <v>633</v>
      </c>
      <c r="E1755" s="751" t="s">
        <v>636</v>
      </c>
      <c r="F1755" s="751" t="s">
        <v>259</v>
      </c>
      <c r="G1755" s="752" t="s">
        <v>1681</v>
      </c>
      <c r="H1755" s="753">
        <v>52917</v>
      </c>
      <c r="I1755" s="754">
        <v>35075.879999999997</v>
      </c>
      <c r="J1755" s="754">
        <v>0</v>
      </c>
      <c r="K1755" s="754">
        <v>0</v>
      </c>
      <c r="L1755" s="754">
        <v>8351.4</v>
      </c>
      <c r="M1755" s="754">
        <f t="shared" si="79"/>
        <v>8351.4</v>
      </c>
      <c r="N1755" s="756">
        <v>35075.879999999997</v>
      </c>
      <c r="O1755" s="720">
        <f t="shared" si="80"/>
        <v>0</v>
      </c>
    </row>
    <row r="1756" spans="1:15" outlineLevel="2" x14ac:dyDescent="0.25">
      <c r="A1756" s="207" t="str">
        <f>VLOOKUP(RIGHT(E1756,3)+0,SchLocTable!$A$2:$B$47,2,FALSE)</f>
        <v>Beardsley</v>
      </c>
      <c r="B1756" s="207" t="str">
        <f>VLOOKUP(VALUE(D1756),$D$3:F$106,3,FALSE)</f>
        <v>Physical Education</v>
      </c>
      <c r="C1756" s="751" t="s">
        <v>246</v>
      </c>
      <c r="D1756" s="751" t="s">
        <v>633</v>
      </c>
      <c r="E1756" s="751" t="s">
        <v>637</v>
      </c>
      <c r="F1756" s="751" t="s">
        <v>248</v>
      </c>
      <c r="G1756" s="752">
        <v>1</v>
      </c>
      <c r="H1756" s="753">
        <v>51000</v>
      </c>
      <c r="I1756" s="754">
        <v>93652.800000000003</v>
      </c>
      <c r="J1756" s="754">
        <v>0</v>
      </c>
      <c r="K1756" s="754">
        <v>0</v>
      </c>
      <c r="L1756" s="754">
        <v>17941.150000000001</v>
      </c>
      <c r="M1756" s="754">
        <f t="shared" si="79"/>
        <v>17941.150000000001</v>
      </c>
      <c r="N1756" s="756">
        <v>93652.800000000003</v>
      </c>
      <c r="O1756" s="720">
        <f t="shared" si="80"/>
        <v>0</v>
      </c>
    </row>
    <row r="1757" spans="1:15" outlineLevel="2" x14ac:dyDescent="0.25">
      <c r="A1757" s="207" t="str">
        <f>VLOOKUP(RIGHT(E1757,3)+0,SchLocTable!$A$2:$B$47,2,FALSE)</f>
        <v>Beardsley</v>
      </c>
      <c r="B1757" s="207" t="str">
        <f>VLOOKUP(VALUE(D1757),$D$3:F$106,3,FALSE)</f>
        <v>Physical Education</v>
      </c>
      <c r="C1757" s="751" t="s">
        <v>246</v>
      </c>
      <c r="D1757" s="751" t="s">
        <v>633</v>
      </c>
      <c r="E1757" s="751" t="s">
        <v>637</v>
      </c>
      <c r="F1757" s="751" t="s">
        <v>257</v>
      </c>
      <c r="G1757" s="752" t="s">
        <v>1681</v>
      </c>
      <c r="H1757" s="753">
        <v>51140</v>
      </c>
      <c r="I1757" s="754">
        <v>1200</v>
      </c>
      <c r="J1757" s="754">
        <v>0</v>
      </c>
      <c r="K1757" s="754">
        <v>0</v>
      </c>
      <c r="L1757" s="754">
        <v>0</v>
      </c>
      <c r="M1757" s="754">
        <f t="shared" si="79"/>
        <v>0</v>
      </c>
      <c r="N1757" s="756">
        <v>1200</v>
      </c>
      <c r="O1757" s="720">
        <f t="shared" si="80"/>
        <v>0</v>
      </c>
    </row>
    <row r="1758" spans="1:15" outlineLevel="2" x14ac:dyDescent="0.25">
      <c r="A1758" s="207" t="str">
        <f>VLOOKUP(RIGHT(E1758,3)+0,SchLocTable!$A$2:$B$47,2,FALSE)</f>
        <v>Beardsley</v>
      </c>
      <c r="B1758" s="207" t="str">
        <f>VLOOKUP(VALUE(D1758),$D$3:F$106,3,FALSE)</f>
        <v>Physical Education</v>
      </c>
      <c r="C1758" s="751" t="s">
        <v>246</v>
      </c>
      <c r="D1758" s="751" t="s">
        <v>633</v>
      </c>
      <c r="E1758" s="751" t="s">
        <v>637</v>
      </c>
      <c r="F1758" s="751" t="s">
        <v>254</v>
      </c>
      <c r="G1758" s="752" t="s">
        <v>1681</v>
      </c>
      <c r="H1758" s="753">
        <v>52360</v>
      </c>
      <c r="I1758" s="754">
        <v>1322.31</v>
      </c>
      <c r="J1758" s="754">
        <v>0</v>
      </c>
      <c r="K1758" s="754">
        <v>0</v>
      </c>
      <c r="L1758" s="754">
        <v>224.49</v>
      </c>
      <c r="M1758" s="754">
        <f t="shared" si="79"/>
        <v>224.49</v>
      </c>
      <c r="N1758" s="756">
        <v>1322.31</v>
      </c>
      <c r="O1758" s="720">
        <f t="shared" si="80"/>
        <v>0</v>
      </c>
    </row>
    <row r="1759" spans="1:15" outlineLevel="2" x14ac:dyDescent="0.25">
      <c r="A1759" s="207" t="str">
        <f>VLOOKUP(RIGHT(E1759,3)+0,SchLocTable!$A$2:$B$47,2,FALSE)</f>
        <v>Beardsley</v>
      </c>
      <c r="B1759" s="207" t="str">
        <f>VLOOKUP(VALUE(D1759),$D$3:F$106,3,FALSE)</f>
        <v>Physical Education</v>
      </c>
      <c r="C1759" s="751" t="s">
        <v>246</v>
      </c>
      <c r="D1759" s="751" t="s">
        <v>633</v>
      </c>
      <c r="E1759" s="751" t="s">
        <v>637</v>
      </c>
      <c r="F1759" s="751" t="s">
        <v>259</v>
      </c>
      <c r="G1759" s="752" t="s">
        <v>1681</v>
      </c>
      <c r="H1759" s="753">
        <v>52917</v>
      </c>
      <c r="I1759" s="754">
        <v>35075.879999999997</v>
      </c>
      <c r="J1759" s="754">
        <v>0</v>
      </c>
      <c r="K1759" s="754">
        <v>0</v>
      </c>
      <c r="L1759" s="754">
        <v>8351.4</v>
      </c>
      <c r="M1759" s="754">
        <f t="shared" si="79"/>
        <v>8351.4</v>
      </c>
      <c r="N1759" s="756">
        <v>35075.879999999997</v>
      </c>
      <c r="O1759" s="720">
        <f t="shared" si="80"/>
        <v>0</v>
      </c>
    </row>
    <row r="1760" spans="1:15" outlineLevel="2" x14ac:dyDescent="0.25">
      <c r="A1760" s="207" t="str">
        <f>VLOOKUP(RIGHT(E1760,3)+0,SchLocTable!$A$2:$B$47,2,FALSE)</f>
        <v>Black Rock</v>
      </c>
      <c r="B1760" s="207" t="str">
        <f>VLOOKUP(VALUE(D1760),$D$3:F$106,3,FALSE)</f>
        <v>Physical Education</v>
      </c>
      <c r="C1760" s="751" t="s">
        <v>246</v>
      </c>
      <c r="D1760" s="751" t="s">
        <v>633</v>
      </c>
      <c r="E1760" s="751" t="s">
        <v>638</v>
      </c>
      <c r="F1760" s="751" t="s">
        <v>248</v>
      </c>
      <c r="G1760" s="752">
        <v>1</v>
      </c>
      <c r="H1760" s="753">
        <v>51000</v>
      </c>
      <c r="I1760" s="754">
        <v>90131.39</v>
      </c>
      <c r="J1760" s="754">
        <v>0</v>
      </c>
      <c r="K1760" s="754">
        <v>0</v>
      </c>
      <c r="L1760" s="754">
        <v>17266.55</v>
      </c>
      <c r="M1760" s="754">
        <f t="shared" si="79"/>
        <v>17266.55</v>
      </c>
      <c r="N1760" s="756">
        <v>90131.39</v>
      </c>
      <c r="O1760" s="720">
        <f t="shared" si="80"/>
        <v>0</v>
      </c>
    </row>
    <row r="1761" spans="1:15" outlineLevel="2" x14ac:dyDescent="0.25">
      <c r="A1761" s="207" t="str">
        <f>VLOOKUP(RIGHT(E1761,3)+0,SchLocTable!$A$2:$B$47,2,FALSE)</f>
        <v>Black Rock</v>
      </c>
      <c r="B1761" s="207" t="str">
        <f>VLOOKUP(VALUE(D1761),$D$3:F$106,3,FALSE)</f>
        <v>Physical Education</v>
      </c>
      <c r="C1761" s="755" t="s">
        <v>246</v>
      </c>
      <c r="D1761" s="751" t="s">
        <v>633</v>
      </c>
      <c r="E1761" s="751" t="s">
        <v>638</v>
      </c>
      <c r="F1761" s="751" t="s">
        <v>257</v>
      </c>
      <c r="G1761" s="752" t="s">
        <v>1681</v>
      </c>
      <c r="H1761" s="753">
        <v>51140</v>
      </c>
      <c r="I1761" s="754">
        <v>900</v>
      </c>
      <c r="J1761" s="754">
        <v>0</v>
      </c>
      <c r="K1761" s="754">
        <v>0</v>
      </c>
      <c r="L1761" s="754">
        <v>0</v>
      </c>
      <c r="M1761" s="754">
        <f t="shared" si="79"/>
        <v>0</v>
      </c>
      <c r="N1761" s="756">
        <v>900</v>
      </c>
      <c r="O1761" s="720">
        <f t="shared" si="80"/>
        <v>0</v>
      </c>
    </row>
    <row r="1762" spans="1:15" outlineLevel="2" x14ac:dyDescent="0.25">
      <c r="A1762" s="207" t="str">
        <f>VLOOKUP(RIGHT(E1762,3)+0,SchLocTable!$A$2:$B$47,2,FALSE)</f>
        <v>Black Rock</v>
      </c>
      <c r="B1762" s="207" t="str">
        <f>VLOOKUP(VALUE(D1762),$D$3:F$106,3,FALSE)</f>
        <v>Physical Education</v>
      </c>
      <c r="C1762" s="751" t="s">
        <v>246</v>
      </c>
      <c r="D1762" s="751" t="s">
        <v>633</v>
      </c>
      <c r="E1762" s="751" t="s">
        <v>638</v>
      </c>
      <c r="F1762" s="751" t="s">
        <v>254</v>
      </c>
      <c r="G1762" s="752" t="s">
        <v>1681</v>
      </c>
      <c r="H1762" s="753">
        <v>52360</v>
      </c>
      <c r="I1762" s="754">
        <v>1294.8599999999999</v>
      </c>
      <c r="J1762" s="754">
        <v>0</v>
      </c>
      <c r="K1762" s="754">
        <v>0</v>
      </c>
      <c r="L1762" s="754">
        <v>238.32</v>
      </c>
      <c r="M1762" s="754">
        <f t="shared" si="79"/>
        <v>238.32</v>
      </c>
      <c r="N1762" s="756">
        <v>1294.8599999999999</v>
      </c>
      <c r="O1762" s="720">
        <f t="shared" si="80"/>
        <v>0</v>
      </c>
    </row>
    <row r="1763" spans="1:15" outlineLevel="2" x14ac:dyDescent="0.25">
      <c r="A1763" s="207" t="str">
        <f>VLOOKUP(RIGHT(E1763,3)+0,SchLocTable!$A$2:$B$47,2,FALSE)</f>
        <v>Black Rock</v>
      </c>
      <c r="B1763" s="207" t="str">
        <f>VLOOKUP(VALUE(D1763),$D$3:F$106,3,FALSE)</f>
        <v>Physical Education</v>
      </c>
      <c r="C1763" s="751" t="s">
        <v>246</v>
      </c>
      <c r="D1763" s="751" t="s">
        <v>633</v>
      </c>
      <c r="E1763" s="751" t="s">
        <v>638</v>
      </c>
      <c r="F1763" s="751" t="s">
        <v>259</v>
      </c>
      <c r="G1763" s="752" t="s">
        <v>1681</v>
      </c>
      <c r="H1763" s="753">
        <v>52917</v>
      </c>
      <c r="I1763" s="754">
        <v>11844</v>
      </c>
      <c r="J1763" s="754">
        <v>0</v>
      </c>
      <c r="K1763" s="754">
        <v>0</v>
      </c>
      <c r="L1763" s="754">
        <v>2820</v>
      </c>
      <c r="M1763" s="754">
        <f t="shared" si="79"/>
        <v>2820</v>
      </c>
      <c r="N1763" s="756">
        <v>11844</v>
      </c>
      <c r="O1763" s="720">
        <f t="shared" si="80"/>
        <v>0</v>
      </c>
    </row>
    <row r="1764" spans="1:15" outlineLevel="2" x14ac:dyDescent="0.25">
      <c r="A1764" s="207" t="str">
        <f>VLOOKUP(RIGHT(E1764,3)+0,SchLocTable!$A$2:$B$47,2,FALSE)</f>
        <v>Bryant</v>
      </c>
      <c r="B1764" s="207" t="str">
        <f>VLOOKUP(VALUE(D1764),$D$3:F$106,3,FALSE)</f>
        <v>Physical Education</v>
      </c>
      <c r="C1764" s="755" t="s">
        <v>246</v>
      </c>
      <c r="D1764" s="751" t="s">
        <v>633</v>
      </c>
      <c r="E1764" s="751" t="s">
        <v>639</v>
      </c>
      <c r="F1764" s="751" t="s">
        <v>248</v>
      </c>
      <c r="G1764" s="752">
        <v>1</v>
      </c>
      <c r="H1764" s="753">
        <v>51000</v>
      </c>
      <c r="I1764" s="754">
        <v>53431.98</v>
      </c>
      <c r="J1764" s="754">
        <v>0</v>
      </c>
      <c r="K1764" s="754">
        <v>0</v>
      </c>
      <c r="L1764" s="754">
        <v>12721.9</v>
      </c>
      <c r="M1764" s="754">
        <f t="shared" si="79"/>
        <v>12721.9</v>
      </c>
      <c r="N1764" s="756">
        <v>53431.98</v>
      </c>
      <c r="O1764" s="720">
        <f t="shared" si="80"/>
        <v>0</v>
      </c>
    </row>
    <row r="1765" spans="1:15" outlineLevel="2" x14ac:dyDescent="0.25">
      <c r="A1765" s="207" t="str">
        <f>VLOOKUP(RIGHT(E1765,3)+0,SchLocTable!$A$2:$B$47,2,FALSE)</f>
        <v>Bryant</v>
      </c>
      <c r="B1765" s="207" t="str">
        <f>VLOOKUP(VALUE(D1765),$D$3:F$106,3,FALSE)</f>
        <v>Physical Education</v>
      </c>
      <c r="C1765" s="751" t="s">
        <v>246</v>
      </c>
      <c r="D1765" s="751" t="s">
        <v>633</v>
      </c>
      <c r="E1765" s="751" t="s">
        <v>639</v>
      </c>
      <c r="F1765" s="751" t="s">
        <v>254</v>
      </c>
      <c r="G1765" s="752" t="s">
        <v>1681</v>
      </c>
      <c r="H1765" s="751">
        <v>52360</v>
      </c>
      <c r="I1765" s="754">
        <v>774.77</v>
      </c>
      <c r="J1765" s="754">
        <v>0</v>
      </c>
      <c r="K1765" s="754">
        <v>0</v>
      </c>
      <c r="L1765" s="754">
        <v>184.47</v>
      </c>
      <c r="M1765" s="754">
        <f t="shared" si="79"/>
        <v>184.47</v>
      </c>
      <c r="N1765" s="756">
        <v>774.77</v>
      </c>
      <c r="O1765" s="720">
        <f t="shared" si="80"/>
        <v>0</v>
      </c>
    </row>
    <row r="1766" spans="1:15" outlineLevel="1" x14ac:dyDescent="0.25">
      <c r="A1766" s="207" t="str">
        <f>VLOOKUP(RIGHT(E1766,3)+0,SchLocTable!$A$2:$B$47,2,FALSE)</f>
        <v>Bryant</v>
      </c>
      <c r="B1766" s="207" t="str">
        <f>VLOOKUP(VALUE(D1766),$D$3:F$106,3,FALSE)</f>
        <v>Physical Education</v>
      </c>
      <c r="C1766" s="751" t="s">
        <v>246</v>
      </c>
      <c r="D1766" s="751" t="s">
        <v>633</v>
      </c>
      <c r="E1766" s="751" t="s">
        <v>639</v>
      </c>
      <c r="F1766" s="751" t="s">
        <v>259</v>
      </c>
      <c r="G1766" s="752" t="s">
        <v>1681</v>
      </c>
      <c r="H1766" s="753">
        <v>52917</v>
      </c>
      <c r="I1766" s="754">
        <v>0</v>
      </c>
      <c r="J1766" s="754">
        <v>0</v>
      </c>
      <c r="K1766" s="754">
        <v>0</v>
      </c>
      <c r="L1766" s="754">
        <v>0</v>
      </c>
      <c r="M1766" s="754">
        <f t="shared" si="79"/>
        <v>0</v>
      </c>
      <c r="N1766" s="756">
        <v>0</v>
      </c>
      <c r="O1766" s="720">
        <f t="shared" si="80"/>
        <v>0</v>
      </c>
    </row>
    <row r="1767" spans="1:15" outlineLevel="2" x14ac:dyDescent="0.25">
      <c r="A1767" s="207" t="str">
        <f>VLOOKUP(RIGHT(E1767,3)+0,SchLocTable!$A$2:$B$47,2,FALSE)</f>
        <v>Columbus</v>
      </c>
      <c r="B1767" s="207" t="str">
        <f>VLOOKUP(VALUE(D1767),$D$3:F$106,3,FALSE)</f>
        <v>Physical Education</v>
      </c>
      <c r="C1767" s="751" t="s">
        <v>246</v>
      </c>
      <c r="D1767" s="751" t="s">
        <v>633</v>
      </c>
      <c r="E1767" s="751" t="s">
        <v>2002</v>
      </c>
      <c r="F1767" s="751" t="s">
        <v>248</v>
      </c>
      <c r="G1767" s="752">
        <v>1</v>
      </c>
      <c r="H1767" s="753">
        <v>51000</v>
      </c>
      <c r="I1767" s="754">
        <v>55756.65</v>
      </c>
      <c r="J1767" s="754">
        <v>0</v>
      </c>
      <c r="K1767" s="754">
        <v>0</v>
      </c>
      <c r="L1767" s="754">
        <v>10681.35</v>
      </c>
      <c r="M1767" s="754">
        <f t="shared" si="79"/>
        <v>10681.35</v>
      </c>
      <c r="N1767" s="756">
        <v>55756.65</v>
      </c>
      <c r="O1767" s="720">
        <f t="shared" si="80"/>
        <v>0</v>
      </c>
    </row>
    <row r="1768" spans="1:15" outlineLevel="2" x14ac:dyDescent="0.25">
      <c r="A1768" s="207" t="str">
        <f>VLOOKUP(RIGHT(E1768,3)+0,SchLocTable!$A$2:$B$47,2,FALSE)</f>
        <v>Columbus</v>
      </c>
      <c r="B1768" s="207" t="str">
        <f>VLOOKUP(VALUE(D1768),$D$3:F$106,3,FALSE)</f>
        <v>Physical Education</v>
      </c>
      <c r="C1768" s="755" t="s">
        <v>246</v>
      </c>
      <c r="D1768" s="751" t="s">
        <v>633</v>
      </c>
      <c r="E1768" s="751" t="s">
        <v>2002</v>
      </c>
      <c r="F1768" s="751" t="s">
        <v>254</v>
      </c>
      <c r="G1768" s="752" t="s">
        <v>1681</v>
      </c>
      <c r="H1768" s="753">
        <v>52360</v>
      </c>
      <c r="I1768" s="754">
        <v>796.42</v>
      </c>
      <c r="J1768" s="754">
        <v>0</v>
      </c>
      <c r="K1768" s="754">
        <v>0</v>
      </c>
      <c r="L1768" s="754">
        <v>142.83000000000001</v>
      </c>
      <c r="M1768" s="754">
        <f t="shared" si="79"/>
        <v>142.83000000000001</v>
      </c>
      <c r="N1768" s="756">
        <v>796.42</v>
      </c>
      <c r="O1768" s="720">
        <f t="shared" si="80"/>
        <v>0</v>
      </c>
    </row>
    <row r="1769" spans="1:15" outlineLevel="2" x14ac:dyDescent="0.25">
      <c r="A1769" s="207" t="str">
        <f>VLOOKUP(RIGHT(E1769,3)+0,SchLocTable!$A$2:$B$47,2,FALSE)</f>
        <v>Columbus</v>
      </c>
      <c r="B1769" s="207" t="str">
        <f>VLOOKUP(VALUE(D1769),$D$3:F$106,3,FALSE)</f>
        <v>Physical Education</v>
      </c>
      <c r="C1769" s="751" t="s">
        <v>246</v>
      </c>
      <c r="D1769" s="751" t="s">
        <v>633</v>
      </c>
      <c r="E1769" s="751" t="s">
        <v>2002</v>
      </c>
      <c r="F1769" s="751" t="s">
        <v>292</v>
      </c>
      <c r="G1769" s="752" t="s">
        <v>1681</v>
      </c>
      <c r="H1769" s="753">
        <v>52385</v>
      </c>
      <c r="I1769" s="754">
        <v>0</v>
      </c>
      <c r="J1769" s="754">
        <v>0</v>
      </c>
      <c r="K1769" s="754">
        <v>0</v>
      </c>
      <c r="L1769" s="754">
        <v>0</v>
      </c>
      <c r="M1769" s="754">
        <f t="shared" si="79"/>
        <v>0</v>
      </c>
      <c r="N1769" s="756">
        <v>0</v>
      </c>
      <c r="O1769" s="720">
        <f t="shared" si="80"/>
        <v>0</v>
      </c>
    </row>
    <row r="1770" spans="1:15" outlineLevel="2" x14ac:dyDescent="0.25">
      <c r="A1770" s="207" t="str">
        <f>VLOOKUP(RIGHT(E1770,3)+0,SchLocTable!$A$2:$B$47,2,FALSE)</f>
        <v>Columbus</v>
      </c>
      <c r="B1770" s="207" t="str">
        <f>VLOOKUP(VALUE(D1770),$D$3:F$106,3,FALSE)</f>
        <v>Physical Education</v>
      </c>
      <c r="C1770" s="751" t="s">
        <v>246</v>
      </c>
      <c r="D1770" s="751" t="s">
        <v>633</v>
      </c>
      <c r="E1770" s="751" t="s">
        <v>2002</v>
      </c>
      <c r="F1770" s="751" t="s">
        <v>259</v>
      </c>
      <c r="G1770" s="752" t="s">
        <v>1681</v>
      </c>
      <c r="H1770" s="753">
        <v>52917</v>
      </c>
      <c r="I1770" s="754">
        <v>11844</v>
      </c>
      <c r="J1770" s="754">
        <v>0</v>
      </c>
      <c r="K1770" s="754">
        <v>0</v>
      </c>
      <c r="L1770" s="754">
        <v>2820</v>
      </c>
      <c r="M1770" s="754">
        <f t="shared" si="79"/>
        <v>2820</v>
      </c>
      <c r="N1770" s="756">
        <v>11844</v>
      </c>
      <c r="O1770" s="720">
        <f t="shared" si="80"/>
        <v>0</v>
      </c>
    </row>
    <row r="1771" spans="1:15" outlineLevel="2" x14ac:dyDescent="0.25">
      <c r="A1771" s="207" t="str">
        <f>VLOOKUP(RIGHT(E1771,3)+0,SchLocTable!$A$2:$B$47,2,FALSE)</f>
        <v>Edison</v>
      </c>
      <c r="B1771" s="207" t="str">
        <f>VLOOKUP(VALUE(D1771),$D$3:F$106,3,FALSE)</f>
        <v>Physical Education</v>
      </c>
      <c r="C1771" s="751" t="s">
        <v>246</v>
      </c>
      <c r="D1771" s="751" t="s">
        <v>633</v>
      </c>
      <c r="E1771" s="751" t="s">
        <v>1752</v>
      </c>
      <c r="F1771" s="751" t="s">
        <v>248</v>
      </c>
      <c r="G1771" s="752">
        <v>1</v>
      </c>
      <c r="H1771" s="753">
        <v>51000</v>
      </c>
      <c r="I1771" s="754">
        <v>94517.23</v>
      </c>
      <c r="J1771" s="754">
        <v>0</v>
      </c>
      <c r="K1771" s="754">
        <v>0</v>
      </c>
      <c r="L1771" s="754">
        <v>18106.75</v>
      </c>
      <c r="M1771" s="754">
        <f t="shared" si="79"/>
        <v>18106.75</v>
      </c>
      <c r="N1771" s="756">
        <v>94517.23</v>
      </c>
      <c r="O1771" s="720">
        <f t="shared" si="80"/>
        <v>0</v>
      </c>
    </row>
    <row r="1772" spans="1:15" outlineLevel="2" x14ac:dyDescent="0.25">
      <c r="A1772" s="207" t="str">
        <f>VLOOKUP(RIGHT(E1772,3)+0,SchLocTable!$A$2:$B$47,2,FALSE)</f>
        <v>Edison</v>
      </c>
      <c r="B1772" s="207" t="str">
        <f>VLOOKUP(VALUE(D1772),$D$3:F$106,3,FALSE)</f>
        <v>Physical Education</v>
      </c>
      <c r="C1772" s="751" t="s">
        <v>246</v>
      </c>
      <c r="D1772" s="751" t="s">
        <v>633</v>
      </c>
      <c r="E1772" s="751" t="s">
        <v>1752</v>
      </c>
      <c r="F1772" s="751" t="s">
        <v>254</v>
      </c>
      <c r="G1772" s="752" t="s">
        <v>1681</v>
      </c>
      <c r="H1772" s="753">
        <v>52360</v>
      </c>
      <c r="I1772" s="754">
        <v>1334.85</v>
      </c>
      <c r="J1772" s="754">
        <v>0</v>
      </c>
      <c r="K1772" s="754">
        <v>0</v>
      </c>
      <c r="L1772" s="754">
        <v>226.9</v>
      </c>
      <c r="M1772" s="754">
        <f t="shared" si="79"/>
        <v>226.9</v>
      </c>
      <c r="N1772" s="756">
        <v>1334.85</v>
      </c>
      <c r="O1772" s="720">
        <f t="shared" si="80"/>
        <v>0</v>
      </c>
    </row>
    <row r="1773" spans="1:15" outlineLevel="2" x14ac:dyDescent="0.25">
      <c r="A1773" s="207" t="str">
        <f>VLOOKUP(RIGHT(E1773,3)+0,SchLocTable!$A$2:$B$47,2,FALSE)</f>
        <v>Edison</v>
      </c>
      <c r="B1773" s="207" t="str">
        <f>VLOOKUP(VALUE(D1773),$D$3:F$106,3,FALSE)</f>
        <v>Physical Education</v>
      </c>
      <c r="C1773" s="751" t="s">
        <v>246</v>
      </c>
      <c r="D1773" s="751" t="s">
        <v>633</v>
      </c>
      <c r="E1773" s="751" t="s">
        <v>1752</v>
      </c>
      <c r="F1773" s="751" t="s">
        <v>259</v>
      </c>
      <c r="G1773" s="752" t="s">
        <v>1681</v>
      </c>
      <c r="H1773" s="753">
        <v>52917</v>
      </c>
      <c r="I1773" s="754">
        <v>35075.879999999997</v>
      </c>
      <c r="J1773" s="754">
        <v>0</v>
      </c>
      <c r="K1773" s="754">
        <v>0</v>
      </c>
      <c r="L1773" s="754">
        <v>8351.4</v>
      </c>
      <c r="M1773" s="754">
        <f t="shared" si="79"/>
        <v>8351.4</v>
      </c>
      <c r="N1773" s="756">
        <v>35075.879999999997</v>
      </c>
      <c r="O1773" s="720">
        <f t="shared" si="80"/>
        <v>0</v>
      </c>
    </row>
    <row r="1774" spans="1:15" outlineLevel="2" x14ac:dyDescent="0.25">
      <c r="A1774" s="207" t="str">
        <f>VLOOKUP(RIGHT(E1774,3)+0,SchLocTable!$A$2:$B$47,2,FALSE)</f>
        <v>Marin</v>
      </c>
      <c r="B1774" s="207" t="str">
        <f>VLOOKUP(VALUE(D1774),$D$3:F$106,3,FALSE)</f>
        <v>Physical Education</v>
      </c>
      <c r="C1774" s="751" t="s">
        <v>246</v>
      </c>
      <c r="D1774" s="751" t="s">
        <v>633</v>
      </c>
      <c r="E1774" s="751" t="s">
        <v>640</v>
      </c>
      <c r="F1774" s="751" t="s">
        <v>248</v>
      </c>
      <c r="G1774" s="752">
        <v>2</v>
      </c>
      <c r="H1774" s="753">
        <v>51000</v>
      </c>
      <c r="I1774" s="754">
        <v>130588.03</v>
      </c>
      <c r="J1774" s="754">
        <v>0</v>
      </c>
      <c r="K1774" s="754">
        <v>0</v>
      </c>
      <c r="L1774" s="754">
        <v>27872.15</v>
      </c>
      <c r="M1774" s="754">
        <f t="shared" si="79"/>
        <v>27872.15</v>
      </c>
      <c r="N1774" s="756">
        <v>130588.03</v>
      </c>
      <c r="O1774" s="720">
        <f t="shared" si="80"/>
        <v>0</v>
      </c>
    </row>
    <row r="1775" spans="1:15" outlineLevel="2" x14ac:dyDescent="0.25">
      <c r="A1775" s="207" t="str">
        <f>VLOOKUP(RIGHT(E1775,3)+0,SchLocTable!$A$2:$B$47,2,FALSE)</f>
        <v>Marin</v>
      </c>
      <c r="B1775" s="207" t="str">
        <f>VLOOKUP(VALUE(D1775),$D$3:F$106,3,FALSE)</f>
        <v>Physical Education</v>
      </c>
      <c r="C1775" s="751" t="s">
        <v>246</v>
      </c>
      <c r="D1775" s="751" t="s">
        <v>633</v>
      </c>
      <c r="E1775" s="751" t="s">
        <v>640</v>
      </c>
      <c r="F1775" s="751" t="s">
        <v>254</v>
      </c>
      <c r="G1775" s="752" t="s">
        <v>1681</v>
      </c>
      <c r="H1775" s="753">
        <v>52360</v>
      </c>
      <c r="I1775" s="754">
        <v>1881.48</v>
      </c>
      <c r="J1775" s="754">
        <v>0</v>
      </c>
      <c r="K1775" s="754">
        <v>0</v>
      </c>
      <c r="L1775" s="754">
        <v>392.1</v>
      </c>
      <c r="M1775" s="754">
        <f t="shared" si="79"/>
        <v>392.1</v>
      </c>
      <c r="N1775" s="756">
        <v>1881.48</v>
      </c>
      <c r="O1775" s="720">
        <f t="shared" si="80"/>
        <v>0</v>
      </c>
    </row>
    <row r="1776" spans="1:15" outlineLevel="2" x14ac:dyDescent="0.25">
      <c r="A1776" s="207" t="str">
        <f>VLOOKUP(RIGHT(E1776,3)+0,SchLocTable!$A$2:$B$47,2,FALSE)</f>
        <v>Marin</v>
      </c>
      <c r="B1776" s="207" t="str">
        <f>VLOOKUP(VALUE(D1776),$D$3:F$106,3,FALSE)</f>
        <v>Physical Education</v>
      </c>
      <c r="C1776" s="751" t="s">
        <v>246</v>
      </c>
      <c r="D1776" s="751" t="s">
        <v>633</v>
      </c>
      <c r="E1776" s="751" t="s">
        <v>640</v>
      </c>
      <c r="F1776" s="751" t="s">
        <v>292</v>
      </c>
      <c r="G1776" s="752" t="s">
        <v>1681</v>
      </c>
      <c r="H1776" s="753">
        <v>52385</v>
      </c>
      <c r="I1776" s="754">
        <v>3051.95</v>
      </c>
      <c r="J1776" s="754">
        <v>0</v>
      </c>
      <c r="K1776" s="754">
        <v>0</v>
      </c>
      <c r="L1776" s="754">
        <v>527</v>
      </c>
      <c r="M1776" s="754">
        <f t="shared" si="79"/>
        <v>527</v>
      </c>
      <c r="N1776" s="756">
        <v>3051.95</v>
      </c>
      <c r="O1776" s="720">
        <f t="shared" si="80"/>
        <v>0</v>
      </c>
    </row>
    <row r="1777" spans="1:15" outlineLevel="2" x14ac:dyDescent="0.25">
      <c r="A1777" s="207" t="str">
        <f>VLOOKUP(RIGHT(E1777,3)+0,SchLocTable!$A$2:$B$47,2,FALSE)</f>
        <v>Marin</v>
      </c>
      <c r="B1777" s="207" t="str">
        <f>VLOOKUP(VALUE(D1777),$D$3:F$106,3,FALSE)</f>
        <v>Physical Education</v>
      </c>
      <c r="C1777" s="751" t="s">
        <v>246</v>
      </c>
      <c r="D1777" s="751" t="s">
        <v>633</v>
      </c>
      <c r="E1777" s="751" t="s">
        <v>640</v>
      </c>
      <c r="F1777" s="751" t="s">
        <v>259</v>
      </c>
      <c r="G1777" s="752" t="s">
        <v>1681</v>
      </c>
      <c r="H1777" s="753">
        <v>52917</v>
      </c>
      <c r="I1777" s="754">
        <v>11844</v>
      </c>
      <c r="J1777" s="754">
        <v>0</v>
      </c>
      <c r="K1777" s="754">
        <v>0</v>
      </c>
      <c r="L1777" s="754">
        <v>2820</v>
      </c>
      <c r="M1777" s="754">
        <f t="shared" si="79"/>
        <v>2820</v>
      </c>
      <c r="N1777" s="756">
        <v>11844</v>
      </c>
      <c r="O1777" s="720">
        <f t="shared" si="80"/>
        <v>0</v>
      </c>
    </row>
    <row r="1778" spans="1:15" outlineLevel="2" x14ac:dyDescent="0.25">
      <c r="A1778" s="207" t="str">
        <f>VLOOKUP(RIGHT(E1778,3)+0,SchLocTable!$A$2:$B$47,2,FALSE)</f>
        <v>Hall</v>
      </c>
      <c r="B1778" s="207" t="str">
        <f>VLOOKUP(VALUE(D1778),$D$3:F$106,3,FALSE)</f>
        <v>Physical Education</v>
      </c>
      <c r="C1778" s="755" t="s">
        <v>246</v>
      </c>
      <c r="D1778" s="751" t="s">
        <v>633</v>
      </c>
      <c r="E1778" s="751" t="s">
        <v>641</v>
      </c>
      <c r="F1778" s="751" t="s">
        <v>248</v>
      </c>
      <c r="G1778" s="752">
        <v>1</v>
      </c>
      <c r="H1778" s="753">
        <v>51000</v>
      </c>
      <c r="I1778" s="754">
        <v>103153.2</v>
      </c>
      <c r="J1778" s="754">
        <v>0</v>
      </c>
      <c r="K1778" s="754">
        <v>0</v>
      </c>
      <c r="L1778" s="754">
        <v>19761.150000000001</v>
      </c>
      <c r="M1778" s="754">
        <f t="shared" si="79"/>
        <v>19761.150000000001</v>
      </c>
      <c r="N1778" s="756">
        <v>103153.2</v>
      </c>
      <c r="O1778" s="720">
        <f t="shared" si="80"/>
        <v>0</v>
      </c>
    </row>
    <row r="1779" spans="1:15" outlineLevel="2" x14ac:dyDescent="0.25">
      <c r="A1779" s="207" t="str">
        <f>VLOOKUP(RIGHT(E1779,3)+0,SchLocTable!$A$2:$B$47,2,FALSE)</f>
        <v>Hall</v>
      </c>
      <c r="B1779" s="207" t="str">
        <f>VLOOKUP(VALUE(D1779),$D$3:F$106,3,FALSE)</f>
        <v>Physical Education</v>
      </c>
      <c r="C1779" s="751" t="s">
        <v>246</v>
      </c>
      <c r="D1779" s="751" t="s">
        <v>633</v>
      </c>
      <c r="E1779" s="751" t="s">
        <v>641</v>
      </c>
      <c r="F1779" s="751" t="s">
        <v>257</v>
      </c>
      <c r="G1779" s="752" t="s">
        <v>1681</v>
      </c>
      <c r="H1779" s="753">
        <v>51140</v>
      </c>
      <c r="I1779" s="754">
        <v>900</v>
      </c>
      <c r="J1779" s="754">
        <v>0</v>
      </c>
      <c r="K1779" s="754">
        <v>0</v>
      </c>
      <c r="L1779" s="754">
        <v>0</v>
      </c>
      <c r="M1779" s="754">
        <f t="shared" si="79"/>
        <v>0</v>
      </c>
      <c r="N1779" s="756">
        <v>900</v>
      </c>
      <c r="O1779" s="720">
        <f t="shared" si="80"/>
        <v>0</v>
      </c>
    </row>
    <row r="1780" spans="1:15" outlineLevel="2" x14ac:dyDescent="0.25">
      <c r="A1780" s="207" t="str">
        <f>VLOOKUP(RIGHT(E1780,3)+0,SchLocTable!$A$2:$B$47,2,FALSE)</f>
        <v>Hall</v>
      </c>
      <c r="B1780" s="207" t="str">
        <f>VLOOKUP(VALUE(D1780),$D$3:F$106,3,FALSE)</f>
        <v>Physical Education</v>
      </c>
      <c r="C1780" s="751" t="s">
        <v>246</v>
      </c>
      <c r="D1780" s="751" t="s">
        <v>633</v>
      </c>
      <c r="E1780" s="751" t="s">
        <v>641</v>
      </c>
      <c r="F1780" s="751" t="s">
        <v>254</v>
      </c>
      <c r="G1780" s="752" t="s">
        <v>1681</v>
      </c>
      <c r="H1780" s="753">
        <v>52360</v>
      </c>
      <c r="I1780" s="754">
        <v>1495.72</v>
      </c>
      <c r="J1780" s="754">
        <v>0</v>
      </c>
      <c r="K1780" s="754">
        <v>0</v>
      </c>
      <c r="L1780" s="754">
        <v>286.54000000000002</v>
      </c>
      <c r="M1780" s="754">
        <f t="shared" si="79"/>
        <v>286.54000000000002</v>
      </c>
      <c r="N1780" s="756">
        <v>1495.72</v>
      </c>
      <c r="O1780" s="720">
        <f t="shared" si="80"/>
        <v>0</v>
      </c>
    </row>
    <row r="1781" spans="1:15" outlineLevel="2" x14ac:dyDescent="0.25">
      <c r="A1781" s="207" t="str">
        <f>VLOOKUP(RIGHT(E1781,3)+0,SchLocTable!$A$2:$B$47,2,FALSE)</f>
        <v>Hallen</v>
      </c>
      <c r="B1781" s="207" t="str">
        <f>VLOOKUP(VALUE(D1781),$D$3:F$106,3,FALSE)</f>
        <v>Physical Education</v>
      </c>
      <c r="C1781" s="751" t="s">
        <v>246</v>
      </c>
      <c r="D1781" s="751" t="s">
        <v>633</v>
      </c>
      <c r="E1781" s="751" t="s">
        <v>642</v>
      </c>
      <c r="F1781" s="751" t="s">
        <v>248</v>
      </c>
      <c r="G1781" s="752" t="s">
        <v>1681</v>
      </c>
      <c r="H1781" s="753">
        <v>51000</v>
      </c>
      <c r="I1781" s="754">
        <v>0</v>
      </c>
      <c r="J1781" s="754">
        <v>0</v>
      </c>
      <c r="K1781" s="754">
        <v>0</v>
      </c>
      <c r="L1781" s="754">
        <v>0</v>
      </c>
      <c r="M1781" s="754">
        <f t="shared" si="79"/>
        <v>0</v>
      </c>
      <c r="N1781" s="756">
        <v>0</v>
      </c>
      <c r="O1781" s="720">
        <f t="shared" si="80"/>
        <v>0</v>
      </c>
    </row>
    <row r="1782" spans="1:15" outlineLevel="2" x14ac:dyDescent="0.25">
      <c r="A1782" s="207" t="str">
        <f>VLOOKUP(RIGHT(E1782,3)+0,SchLocTable!$A$2:$B$47,2,FALSE)</f>
        <v>Hallen</v>
      </c>
      <c r="B1782" s="207" t="str">
        <f>VLOOKUP(VALUE(D1782),$D$3:F$106,3,FALSE)</f>
        <v>Physical Education</v>
      </c>
      <c r="C1782" s="755" t="s">
        <v>246</v>
      </c>
      <c r="D1782" s="751" t="s">
        <v>633</v>
      </c>
      <c r="E1782" s="751" t="s">
        <v>642</v>
      </c>
      <c r="F1782" s="751" t="s">
        <v>257</v>
      </c>
      <c r="G1782" s="752" t="s">
        <v>1681</v>
      </c>
      <c r="H1782" s="753">
        <v>51140</v>
      </c>
      <c r="I1782" s="754">
        <v>2600</v>
      </c>
      <c r="J1782" s="754">
        <v>0</v>
      </c>
      <c r="K1782" s="754">
        <v>0</v>
      </c>
      <c r="L1782" s="754">
        <v>0</v>
      </c>
      <c r="M1782" s="754">
        <f t="shared" si="79"/>
        <v>0</v>
      </c>
      <c r="N1782" s="756">
        <v>2600</v>
      </c>
      <c r="O1782" s="720">
        <f t="shared" si="80"/>
        <v>0</v>
      </c>
    </row>
    <row r="1783" spans="1:15" outlineLevel="2" x14ac:dyDescent="0.25">
      <c r="A1783" s="207" t="str">
        <f>VLOOKUP(RIGHT(E1783,3)+0,SchLocTable!$A$2:$B$47,2,FALSE)</f>
        <v>Hallen</v>
      </c>
      <c r="B1783" s="207" t="str">
        <f>VLOOKUP(VALUE(D1783),$D$3:F$106,3,FALSE)</f>
        <v>Physical Education</v>
      </c>
      <c r="C1783" s="751" t="s">
        <v>246</v>
      </c>
      <c r="D1783" s="751" t="s">
        <v>633</v>
      </c>
      <c r="E1783" s="751" t="s">
        <v>642</v>
      </c>
      <c r="F1783" s="751" t="s">
        <v>252</v>
      </c>
      <c r="G1783" s="752" t="s">
        <v>1681</v>
      </c>
      <c r="H1783" s="753">
        <v>51154</v>
      </c>
      <c r="I1783" s="754">
        <v>0</v>
      </c>
      <c r="J1783" s="754">
        <v>0</v>
      </c>
      <c r="K1783" s="754">
        <v>0</v>
      </c>
      <c r="L1783" s="754">
        <v>0</v>
      </c>
      <c r="M1783" s="754">
        <f t="shared" si="79"/>
        <v>0</v>
      </c>
      <c r="N1783" s="756">
        <v>0</v>
      </c>
      <c r="O1783" s="720">
        <f t="shared" si="80"/>
        <v>0</v>
      </c>
    </row>
    <row r="1784" spans="1:15" outlineLevel="2" x14ac:dyDescent="0.25">
      <c r="A1784" s="207" t="str">
        <f>VLOOKUP(RIGHT(E1784,3)+0,SchLocTable!$A$2:$B$47,2,FALSE)</f>
        <v>Hallen</v>
      </c>
      <c r="B1784" s="207" t="str">
        <f>VLOOKUP(VALUE(D1784),$D$3:F$106,3,FALSE)</f>
        <v>Physical Education</v>
      </c>
      <c r="C1784" s="751" t="s">
        <v>246</v>
      </c>
      <c r="D1784" s="751" t="s">
        <v>633</v>
      </c>
      <c r="E1784" s="751" t="s">
        <v>642</v>
      </c>
      <c r="F1784" s="751" t="s">
        <v>259</v>
      </c>
      <c r="G1784" s="752" t="s">
        <v>1681</v>
      </c>
      <c r="H1784" s="753">
        <v>52917</v>
      </c>
      <c r="I1784" s="754">
        <v>0</v>
      </c>
      <c r="J1784" s="754">
        <v>0</v>
      </c>
      <c r="K1784" s="754">
        <v>0</v>
      </c>
      <c r="L1784" s="754">
        <v>0</v>
      </c>
      <c r="M1784" s="754">
        <f t="shared" si="79"/>
        <v>0</v>
      </c>
      <c r="N1784" s="756">
        <v>0</v>
      </c>
      <c r="O1784" s="720">
        <f t="shared" si="80"/>
        <v>0</v>
      </c>
    </row>
    <row r="1785" spans="1:15" outlineLevel="2" x14ac:dyDescent="0.25">
      <c r="A1785" s="207" t="str">
        <f>VLOOKUP(RIGHT(E1785,3)+0,SchLocTable!$A$2:$B$47,2,FALSE)</f>
        <v>Hooker</v>
      </c>
      <c r="B1785" s="207" t="str">
        <f>VLOOKUP(VALUE(D1785),$D$3:F$106,3,FALSE)</f>
        <v>Physical Education</v>
      </c>
      <c r="C1785" s="751" t="s">
        <v>246</v>
      </c>
      <c r="D1785" s="751" t="s">
        <v>633</v>
      </c>
      <c r="E1785" s="751" t="s">
        <v>643</v>
      </c>
      <c r="F1785" s="751" t="s">
        <v>248</v>
      </c>
      <c r="G1785" s="752">
        <v>1</v>
      </c>
      <c r="H1785" s="753">
        <v>51000</v>
      </c>
      <c r="I1785" s="754">
        <v>51020.54</v>
      </c>
      <c r="J1785" s="754">
        <v>0</v>
      </c>
      <c r="K1785" s="754">
        <v>0</v>
      </c>
      <c r="L1785" s="754">
        <v>9774.0499999999993</v>
      </c>
      <c r="M1785" s="754">
        <f t="shared" si="79"/>
        <v>9774.0499999999993</v>
      </c>
      <c r="N1785" s="756">
        <v>51020.54</v>
      </c>
      <c r="O1785" s="720">
        <f t="shared" si="80"/>
        <v>0</v>
      </c>
    </row>
    <row r="1786" spans="1:15" outlineLevel="2" x14ac:dyDescent="0.25">
      <c r="A1786" s="207" t="str">
        <f>VLOOKUP(RIGHT(E1786,3)+0,SchLocTable!$A$2:$B$47,2,FALSE)</f>
        <v>Hooker</v>
      </c>
      <c r="B1786" s="207" t="str">
        <f>VLOOKUP(VALUE(D1786),$D$3:F$106,3,FALSE)</f>
        <v>Physical Education</v>
      </c>
      <c r="C1786" s="751" t="s">
        <v>246</v>
      </c>
      <c r="D1786" s="751" t="s">
        <v>633</v>
      </c>
      <c r="E1786" s="751" t="s">
        <v>643</v>
      </c>
      <c r="F1786" s="751" t="s">
        <v>257</v>
      </c>
      <c r="G1786" s="752" t="s">
        <v>1681</v>
      </c>
      <c r="H1786" s="753">
        <v>51140</v>
      </c>
      <c r="I1786" s="754">
        <v>0</v>
      </c>
      <c r="J1786" s="754">
        <v>0</v>
      </c>
      <c r="K1786" s="754">
        <v>0</v>
      </c>
      <c r="L1786" s="754">
        <v>0</v>
      </c>
      <c r="M1786" s="754">
        <f t="shared" si="79"/>
        <v>0</v>
      </c>
      <c r="N1786" s="756">
        <v>0</v>
      </c>
      <c r="O1786" s="720">
        <f t="shared" si="80"/>
        <v>0</v>
      </c>
    </row>
    <row r="1787" spans="1:15" outlineLevel="2" x14ac:dyDescent="0.25">
      <c r="A1787" s="207" t="str">
        <f>VLOOKUP(RIGHT(E1787,3)+0,SchLocTable!$A$2:$B$47,2,FALSE)</f>
        <v>Hooker</v>
      </c>
      <c r="B1787" s="207" t="str">
        <f>VLOOKUP(VALUE(D1787),$D$3:F$106,3,FALSE)</f>
        <v>Physical Education</v>
      </c>
      <c r="C1787" s="751" t="s">
        <v>246</v>
      </c>
      <c r="D1787" s="751" t="s">
        <v>633</v>
      </c>
      <c r="E1787" s="751" t="s">
        <v>643</v>
      </c>
      <c r="F1787" s="751" t="s">
        <v>254</v>
      </c>
      <c r="G1787" s="752" t="s">
        <v>1681</v>
      </c>
      <c r="H1787" s="753">
        <v>52360</v>
      </c>
      <c r="I1787" s="754">
        <v>739.52</v>
      </c>
      <c r="J1787" s="754">
        <v>0</v>
      </c>
      <c r="K1787" s="754">
        <v>0</v>
      </c>
      <c r="L1787" s="754">
        <v>141.44999999999999</v>
      </c>
      <c r="M1787" s="754">
        <f t="shared" si="79"/>
        <v>141.44999999999999</v>
      </c>
      <c r="N1787" s="756">
        <v>739.52</v>
      </c>
      <c r="O1787" s="720">
        <f t="shared" si="80"/>
        <v>0</v>
      </c>
    </row>
    <row r="1788" spans="1:15" outlineLevel="2" x14ac:dyDescent="0.25">
      <c r="A1788" s="207" t="str">
        <f>VLOOKUP(RIGHT(E1788,3)+0,SchLocTable!$A$2:$B$47,2,FALSE)</f>
        <v>Hooker</v>
      </c>
      <c r="B1788" s="207" t="str">
        <f>VLOOKUP(VALUE(D1788),$D$3:F$106,3,FALSE)</f>
        <v>Physical Education</v>
      </c>
      <c r="C1788" s="751" t="s">
        <v>246</v>
      </c>
      <c r="D1788" s="751" t="s">
        <v>633</v>
      </c>
      <c r="E1788" s="751" t="s">
        <v>643</v>
      </c>
      <c r="F1788" s="751" t="s">
        <v>292</v>
      </c>
      <c r="G1788" s="752" t="s">
        <v>1681</v>
      </c>
      <c r="H1788" s="753">
        <v>52385</v>
      </c>
      <c r="I1788" s="754">
        <v>0</v>
      </c>
      <c r="J1788" s="754">
        <v>0</v>
      </c>
      <c r="K1788" s="754">
        <v>0</v>
      </c>
      <c r="L1788" s="754">
        <v>0</v>
      </c>
      <c r="M1788" s="754">
        <f t="shared" si="79"/>
        <v>0</v>
      </c>
      <c r="N1788" s="756">
        <v>0</v>
      </c>
      <c r="O1788" s="720">
        <f t="shared" si="80"/>
        <v>0</v>
      </c>
    </row>
    <row r="1789" spans="1:15" outlineLevel="2" x14ac:dyDescent="0.25">
      <c r="A1789" s="207" t="str">
        <f>VLOOKUP(RIGHT(E1789,3)+0,SchLocTable!$A$2:$B$47,2,FALSE)</f>
        <v>Hooker</v>
      </c>
      <c r="B1789" s="207" t="str">
        <f>VLOOKUP(VALUE(D1789),$D$3:F$106,3,FALSE)</f>
        <v>Physical Education</v>
      </c>
      <c r="C1789" s="751" t="s">
        <v>246</v>
      </c>
      <c r="D1789" s="751" t="s">
        <v>633</v>
      </c>
      <c r="E1789" s="751" t="s">
        <v>643</v>
      </c>
      <c r="F1789" s="751" t="s">
        <v>259</v>
      </c>
      <c r="G1789" s="752" t="s">
        <v>1681</v>
      </c>
      <c r="H1789" s="753">
        <v>52917</v>
      </c>
      <c r="I1789" s="754">
        <v>439.32</v>
      </c>
      <c r="J1789" s="754">
        <v>0</v>
      </c>
      <c r="K1789" s="754">
        <v>0</v>
      </c>
      <c r="L1789" s="754">
        <v>104.6</v>
      </c>
      <c r="M1789" s="754">
        <f t="shared" si="79"/>
        <v>104.6</v>
      </c>
      <c r="N1789" s="756">
        <v>439.32</v>
      </c>
      <c r="O1789" s="720">
        <f t="shared" si="80"/>
        <v>0</v>
      </c>
    </row>
    <row r="1790" spans="1:15" outlineLevel="2" x14ac:dyDescent="0.25">
      <c r="A1790" s="207" t="str">
        <f>VLOOKUP(RIGHT(E1790,3)+0,SchLocTable!$A$2:$B$47,2,FALSE)</f>
        <v>Batalla</v>
      </c>
      <c r="B1790" s="207" t="str">
        <f>VLOOKUP(VALUE(D1790),$D$3:F$106,3,FALSE)</f>
        <v>Physical Education</v>
      </c>
      <c r="C1790" s="751" t="s">
        <v>246</v>
      </c>
      <c r="D1790" s="751" t="s">
        <v>633</v>
      </c>
      <c r="E1790" s="751" t="s">
        <v>644</v>
      </c>
      <c r="F1790" s="751" t="s">
        <v>248</v>
      </c>
      <c r="G1790" s="752">
        <v>1</v>
      </c>
      <c r="H1790" s="753">
        <v>51000</v>
      </c>
      <c r="I1790" s="754">
        <v>103153.2</v>
      </c>
      <c r="J1790" s="754">
        <v>0</v>
      </c>
      <c r="K1790" s="754">
        <v>0</v>
      </c>
      <c r="L1790" s="754">
        <v>19761.150000000001</v>
      </c>
      <c r="M1790" s="754">
        <f t="shared" si="79"/>
        <v>19761.150000000001</v>
      </c>
      <c r="N1790" s="756">
        <v>103153.2</v>
      </c>
      <c r="O1790" s="720">
        <f t="shared" si="80"/>
        <v>0</v>
      </c>
    </row>
    <row r="1791" spans="1:15" outlineLevel="2" x14ac:dyDescent="0.25">
      <c r="A1791" s="207" t="str">
        <f>VLOOKUP(RIGHT(E1791,3)+0,SchLocTable!$A$2:$B$47,2,FALSE)</f>
        <v>Batalla</v>
      </c>
      <c r="B1791" s="207" t="str">
        <f>VLOOKUP(VALUE(D1791),$D$3:F$106,3,FALSE)</f>
        <v>Physical Education</v>
      </c>
      <c r="C1791" s="751" t="s">
        <v>246</v>
      </c>
      <c r="D1791" s="751" t="s">
        <v>633</v>
      </c>
      <c r="E1791" s="751" t="s">
        <v>644</v>
      </c>
      <c r="F1791" s="751" t="s">
        <v>257</v>
      </c>
      <c r="G1791" s="752" t="s">
        <v>1681</v>
      </c>
      <c r="H1791" s="753">
        <v>51140</v>
      </c>
      <c r="I1791" s="754">
        <v>1800</v>
      </c>
      <c r="J1791" s="754">
        <v>0</v>
      </c>
      <c r="K1791" s="754">
        <v>0</v>
      </c>
      <c r="L1791" s="754">
        <v>0</v>
      </c>
      <c r="M1791" s="754">
        <f t="shared" ref="M1791:M1854" si="81">SUM(J1791:L1791)</f>
        <v>0</v>
      </c>
      <c r="N1791" s="756">
        <v>1800</v>
      </c>
      <c r="O1791" s="720">
        <f t="shared" ref="O1791:O1854" si="82">I1791-N1791</f>
        <v>0</v>
      </c>
    </row>
    <row r="1792" spans="1:15" outlineLevel="2" x14ac:dyDescent="0.25">
      <c r="A1792" s="207" t="str">
        <f>VLOOKUP(RIGHT(E1792,3)+0,SchLocTable!$A$2:$B$47,2,FALSE)</f>
        <v>Batalla</v>
      </c>
      <c r="B1792" s="207" t="str">
        <f>VLOOKUP(VALUE(D1792),$D$3:F$106,3,FALSE)</f>
        <v>Physical Education</v>
      </c>
      <c r="C1792" s="751" t="s">
        <v>246</v>
      </c>
      <c r="D1792" s="751" t="s">
        <v>633</v>
      </c>
      <c r="E1792" s="751" t="s">
        <v>644</v>
      </c>
      <c r="F1792" s="751" t="s">
        <v>254</v>
      </c>
      <c r="G1792" s="752" t="s">
        <v>1681</v>
      </c>
      <c r="H1792" s="753">
        <v>52360</v>
      </c>
      <c r="I1792" s="754">
        <v>1460.07</v>
      </c>
      <c r="J1792" s="754">
        <v>0</v>
      </c>
      <c r="K1792" s="754">
        <v>0</v>
      </c>
      <c r="L1792" s="754">
        <v>250.89</v>
      </c>
      <c r="M1792" s="754">
        <f t="shared" si="81"/>
        <v>250.89</v>
      </c>
      <c r="N1792" s="756">
        <v>1460.07</v>
      </c>
      <c r="O1792" s="720">
        <f t="shared" si="82"/>
        <v>0</v>
      </c>
    </row>
    <row r="1793" spans="1:15" outlineLevel="2" x14ac:dyDescent="0.25">
      <c r="A1793" s="207" t="str">
        <f>VLOOKUP(RIGHT(E1793,3)+0,SchLocTable!$A$2:$B$47,2,FALSE)</f>
        <v>Batalla</v>
      </c>
      <c r="B1793" s="207" t="str">
        <f>VLOOKUP(VALUE(D1793),$D$3:F$106,3,FALSE)</f>
        <v>Physical Education</v>
      </c>
      <c r="C1793" s="751" t="s">
        <v>246</v>
      </c>
      <c r="D1793" s="751" t="s">
        <v>633</v>
      </c>
      <c r="E1793" s="751" t="s">
        <v>644</v>
      </c>
      <c r="F1793" s="751" t="s">
        <v>259</v>
      </c>
      <c r="G1793" s="752" t="s">
        <v>1681</v>
      </c>
      <c r="H1793" s="753">
        <v>52917</v>
      </c>
      <c r="I1793" s="754">
        <v>35075.879999999997</v>
      </c>
      <c r="J1793" s="754">
        <v>0</v>
      </c>
      <c r="K1793" s="754">
        <v>0</v>
      </c>
      <c r="L1793" s="754">
        <v>8351.4</v>
      </c>
      <c r="M1793" s="754">
        <f t="shared" si="81"/>
        <v>8351.4</v>
      </c>
      <c r="N1793" s="756">
        <v>35075.879999999997</v>
      </c>
      <c r="O1793" s="720">
        <f t="shared" si="82"/>
        <v>0</v>
      </c>
    </row>
    <row r="1794" spans="1:15" outlineLevel="2" x14ac:dyDescent="0.25">
      <c r="A1794" s="207" t="str">
        <f>VLOOKUP(RIGHT(E1794,3)+0,SchLocTable!$A$2:$B$47,2,FALSE)</f>
        <v>Info Tech HS</v>
      </c>
      <c r="B1794" s="207" t="str">
        <f>VLOOKUP(VALUE(D1794),$D$3:F$106,3,FALSE)</f>
        <v>Physical Education</v>
      </c>
      <c r="C1794" s="751" t="s">
        <v>246</v>
      </c>
      <c r="D1794" s="751" t="s">
        <v>633</v>
      </c>
      <c r="E1794" s="751" t="s">
        <v>1887</v>
      </c>
      <c r="F1794" s="751" t="s">
        <v>257</v>
      </c>
      <c r="G1794" s="752" t="s">
        <v>1681</v>
      </c>
      <c r="H1794" s="753">
        <v>51140</v>
      </c>
      <c r="I1794" s="754">
        <v>900</v>
      </c>
      <c r="J1794" s="754">
        <v>0</v>
      </c>
      <c r="K1794" s="754">
        <v>0</v>
      </c>
      <c r="L1794" s="754">
        <v>0</v>
      </c>
      <c r="M1794" s="754">
        <f t="shared" si="81"/>
        <v>0</v>
      </c>
      <c r="N1794" s="756">
        <v>900</v>
      </c>
      <c r="O1794" s="720">
        <f t="shared" si="82"/>
        <v>0</v>
      </c>
    </row>
    <row r="1795" spans="1:15" outlineLevel="2" x14ac:dyDescent="0.25">
      <c r="A1795" s="207" t="str">
        <f>VLOOKUP(RIGHT(E1795,3)+0,SchLocTable!$A$2:$B$47,2,FALSE)</f>
        <v>Info Tech HS</v>
      </c>
      <c r="B1795" s="207" t="str">
        <f>VLOOKUP(VALUE(D1795),$D$3:F$106,3,FALSE)</f>
        <v>Physical Education</v>
      </c>
      <c r="C1795" s="751" t="s">
        <v>246</v>
      </c>
      <c r="D1795" s="751" t="s">
        <v>633</v>
      </c>
      <c r="E1795" s="751" t="s">
        <v>1887</v>
      </c>
      <c r="F1795" s="751" t="s">
        <v>254</v>
      </c>
      <c r="G1795" s="752" t="s">
        <v>1681</v>
      </c>
      <c r="H1795" s="753">
        <v>52360</v>
      </c>
      <c r="I1795" s="754">
        <v>0</v>
      </c>
      <c r="J1795" s="754">
        <v>0</v>
      </c>
      <c r="K1795" s="754">
        <v>0</v>
      </c>
      <c r="L1795" s="754">
        <v>0</v>
      </c>
      <c r="M1795" s="754">
        <f t="shared" si="81"/>
        <v>0</v>
      </c>
      <c r="N1795" s="756">
        <v>0</v>
      </c>
      <c r="O1795" s="720">
        <f t="shared" si="82"/>
        <v>0</v>
      </c>
    </row>
    <row r="1796" spans="1:15" outlineLevel="2" x14ac:dyDescent="0.25">
      <c r="A1796" s="207" t="str">
        <f>VLOOKUP(RIGHT(E1796,3)+0,SchLocTable!$A$2:$B$47,2,FALSE)</f>
        <v>BMA HS</v>
      </c>
      <c r="B1796" s="207" t="str">
        <f>VLOOKUP(VALUE(D1796),$D$3:F$106,3,FALSE)</f>
        <v>Physical Education</v>
      </c>
      <c r="C1796" s="751" t="s">
        <v>246</v>
      </c>
      <c r="D1796" s="751" t="s">
        <v>633</v>
      </c>
      <c r="E1796" s="751" t="s">
        <v>645</v>
      </c>
      <c r="F1796" s="751" t="s">
        <v>248</v>
      </c>
      <c r="G1796" s="752">
        <v>2</v>
      </c>
      <c r="H1796" s="753">
        <v>51000</v>
      </c>
      <c r="I1796" s="754">
        <v>155917.48000000001</v>
      </c>
      <c r="J1796" s="754">
        <v>0</v>
      </c>
      <c r="K1796" s="754">
        <v>0</v>
      </c>
      <c r="L1796" s="754">
        <v>29869.25</v>
      </c>
      <c r="M1796" s="754">
        <f t="shared" si="81"/>
        <v>29869.25</v>
      </c>
      <c r="N1796" s="756">
        <v>155917.48000000001</v>
      </c>
      <c r="O1796" s="720">
        <f t="shared" si="82"/>
        <v>0</v>
      </c>
    </row>
    <row r="1797" spans="1:15" outlineLevel="2" x14ac:dyDescent="0.25">
      <c r="A1797" s="207" t="str">
        <f>VLOOKUP(RIGHT(E1797,3)+0,SchLocTable!$A$2:$B$47,2,FALSE)</f>
        <v>BMA HS</v>
      </c>
      <c r="B1797" s="207" t="str">
        <f>VLOOKUP(VALUE(D1797),$D$3:F$106,3,FALSE)</f>
        <v>Physical Education</v>
      </c>
      <c r="C1797" s="751" t="s">
        <v>246</v>
      </c>
      <c r="D1797" s="751" t="s">
        <v>633</v>
      </c>
      <c r="E1797" s="751" t="s">
        <v>645</v>
      </c>
      <c r="F1797" s="751" t="s">
        <v>254</v>
      </c>
      <c r="G1797" s="752" t="s">
        <v>1681</v>
      </c>
      <c r="H1797" s="753">
        <v>52360</v>
      </c>
      <c r="I1797" s="754">
        <v>2219.92</v>
      </c>
      <c r="J1797" s="754">
        <v>0</v>
      </c>
      <c r="K1797" s="754">
        <v>0</v>
      </c>
      <c r="L1797" s="754">
        <v>392.22</v>
      </c>
      <c r="M1797" s="754">
        <f t="shared" si="81"/>
        <v>392.22</v>
      </c>
      <c r="N1797" s="756">
        <v>2219.92</v>
      </c>
      <c r="O1797" s="720">
        <f t="shared" si="82"/>
        <v>0</v>
      </c>
    </row>
    <row r="1798" spans="1:15" outlineLevel="2" x14ac:dyDescent="0.25">
      <c r="A1798" s="207" t="str">
        <f>VLOOKUP(RIGHT(E1798,3)+0,SchLocTable!$A$2:$B$47,2,FALSE)</f>
        <v>BMA HS</v>
      </c>
      <c r="B1798" s="207" t="str">
        <f>VLOOKUP(VALUE(D1798),$D$3:F$106,3,FALSE)</f>
        <v>Physical Education</v>
      </c>
      <c r="C1798" s="751" t="s">
        <v>246</v>
      </c>
      <c r="D1798" s="751" t="s">
        <v>633</v>
      </c>
      <c r="E1798" s="751" t="s">
        <v>645</v>
      </c>
      <c r="F1798" s="751" t="s">
        <v>292</v>
      </c>
      <c r="G1798" s="752" t="s">
        <v>1681</v>
      </c>
      <c r="H1798" s="753">
        <v>52385</v>
      </c>
      <c r="I1798" s="754">
        <v>0</v>
      </c>
      <c r="J1798" s="754">
        <v>0</v>
      </c>
      <c r="K1798" s="754">
        <v>0</v>
      </c>
      <c r="L1798" s="754">
        <v>0</v>
      </c>
      <c r="M1798" s="754">
        <f t="shared" si="81"/>
        <v>0</v>
      </c>
      <c r="N1798" s="756">
        <v>0</v>
      </c>
      <c r="O1798" s="720">
        <f t="shared" si="82"/>
        <v>0</v>
      </c>
    </row>
    <row r="1799" spans="1:15" outlineLevel="2" x14ac:dyDescent="0.25">
      <c r="A1799" s="207" t="str">
        <f>VLOOKUP(RIGHT(E1799,3)+0,SchLocTable!$A$2:$B$47,2,FALSE)</f>
        <v>BMA HS</v>
      </c>
      <c r="B1799" s="207" t="str">
        <f>VLOOKUP(VALUE(D1799),$D$3:F$106,3,FALSE)</f>
        <v>Physical Education</v>
      </c>
      <c r="C1799" s="751" t="s">
        <v>246</v>
      </c>
      <c r="D1799" s="751" t="s">
        <v>633</v>
      </c>
      <c r="E1799" s="751" t="s">
        <v>645</v>
      </c>
      <c r="F1799" s="751" t="s">
        <v>259</v>
      </c>
      <c r="G1799" s="752" t="s">
        <v>1681</v>
      </c>
      <c r="H1799" s="753">
        <v>52917</v>
      </c>
      <c r="I1799" s="754">
        <v>40049.94</v>
      </c>
      <c r="J1799" s="754">
        <v>0</v>
      </c>
      <c r="K1799" s="754">
        <v>0</v>
      </c>
      <c r="L1799" s="754">
        <v>9535.7000000000007</v>
      </c>
      <c r="M1799" s="754">
        <f t="shared" si="81"/>
        <v>9535.7000000000007</v>
      </c>
      <c r="N1799" s="756">
        <v>40049.94</v>
      </c>
      <c r="O1799" s="720">
        <f t="shared" si="82"/>
        <v>0</v>
      </c>
    </row>
    <row r="1800" spans="1:15" outlineLevel="2" x14ac:dyDescent="0.25">
      <c r="A1800" s="207" t="str">
        <f>VLOOKUP(RIGHT(E1800,3)+0,SchLocTable!$A$2:$B$47,2,FALSE)</f>
        <v>Park City Magnet</v>
      </c>
      <c r="B1800" s="207" t="str">
        <f>VLOOKUP(VALUE(D1800),$D$3:F$106,3,FALSE)</f>
        <v>Physical Education</v>
      </c>
      <c r="C1800" s="751" t="s">
        <v>246</v>
      </c>
      <c r="D1800" s="751" t="s">
        <v>633</v>
      </c>
      <c r="E1800" s="751" t="s">
        <v>646</v>
      </c>
      <c r="F1800" s="751" t="s">
        <v>248</v>
      </c>
      <c r="G1800" s="752">
        <v>2</v>
      </c>
      <c r="H1800" s="753">
        <v>51000</v>
      </c>
      <c r="I1800" s="754">
        <v>123887.57</v>
      </c>
      <c r="J1800" s="754">
        <v>0</v>
      </c>
      <c r="K1800" s="754">
        <v>0</v>
      </c>
      <c r="L1800" s="754">
        <v>23733.25</v>
      </c>
      <c r="M1800" s="754">
        <f t="shared" si="81"/>
        <v>23733.25</v>
      </c>
      <c r="N1800" s="756">
        <v>123887.57</v>
      </c>
      <c r="O1800" s="720">
        <f t="shared" si="82"/>
        <v>0</v>
      </c>
    </row>
    <row r="1801" spans="1:15" outlineLevel="2" x14ac:dyDescent="0.25">
      <c r="A1801" s="207" t="str">
        <f>VLOOKUP(RIGHT(E1801,3)+0,SchLocTable!$A$2:$B$47,2,FALSE)</f>
        <v>Park City Magnet</v>
      </c>
      <c r="B1801" s="207" t="str">
        <f>VLOOKUP(VALUE(D1801),$D$3:F$106,3,FALSE)</f>
        <v>Physical Education</v>
      </c>
      <c r="C1801" s="751" t="s">
        <v>246</v>
      </c>
      <c r="D1801" s="751" t="s">
        <v>633</v>
      </c>
      <c r="E1801" s="751" t="s">
        <v>646</v>
      </c>
      <c r="F1801" s="751" t="s">
        <v>257</v>
      </c>
      <c r="G1801" s="752" t="s">
        <v>1681</v>
      </c>
      <c r="H1801" s="753">
        <v>51140</v>
      </c>
      <c r="I1801" s="754">
        <v>900</v>
      </c>
      <c r="J1801" s="754">
        <v>0</v>
      </c>
      <c r="K1801" s="754">
        <v>0</v>
      </c>
      <c r="L1801" s="754">
        <v>0</v>
      </c>
      <c r="M1801" s="754">
        <f t="shared" si="81"/>
        <v>0</v>
      </c>
      <c r="N1801" s="756">
        <v>900</v>
      </c>
      <c r="O1801" s="720">
        <f t="shared" si="82"/>
        <v>0</v>
      </c>
    </row>
    <row r="1802" spans="1:15" outlineLevel="1" x14ac:dyDescent="0.25">
      <c r="A1802" s="207" t="str">
        <f>VLOOKUP(RIGHT(E1802,3)+0,SchLocTable!$A$2:$B$47,2,FALSE)</f>
        <v>Park City Magnet</v>
      </c>
      <c r="B1802" s="207" t="str">
        <f>VLOOKUP(VALUE(D1802),$D$3:F$106,3,FALSE)</f>
        <v>Physical Education</v>
      </c>
      <c r="C1802" s="751" t="s">
        <v>246</v>
      </c>
      <c r="D1802" s="751" t="s">
        <v>633</v>
      </c>
      <c r="E1802" s="751" t="s">
        <v>646</v>
      </c>
      <c r="F1802" s="751" t="s">
        <v>254</v>
      </c>
      <c r="G1802" s="752" t="s">
        <v>1681</v>
      </c>
      <c r="H1802" s="753">
        <v>52360</v>
      </c>
      <c r="I1802" s="754">
        <v>1751.09</v>
      </c>
      <c r="J1802" s="754">
        <v>0</v>
      </c>
      <c r="K1802" s="754">
        <v>0</v>
      </c>
      <c r="L1802" s="754">
        <v>298.85000000000002</v>
      </c>
      <c r="M1802" s="754">
        <f t="shared" si="81"/>
        <v>298.85000000000002</v>
      </c>
      <c r="N1802" s="756">
        <v>1751.09</v>
      </c>
      <c r="O1802" s="720">
        <f t="shared" si="82"/>
        <v>0</v>
      </c>
    </row>
    <row r="1803" spans="1:15" outlineLevel="2" x14ac:dyDescent="0.25">
      <c r="A1803" s="207" t="str">
        <f>VLOOKUP(RIGHT(E1803,3)+0,SchLocTable!$A$2:$B$47,2,FALSE)</f>
        <v>Park City Magnet</v>
      </c>
      <c r="B1803" s="207" t="str">
        <f>VLOOKUP(VALUE(D1803),$D$3:F$106,3,FALSE)</f>
        <v>Physical Education</v>
      </c>
      <c r="C1803" s="751" t="s">
        <v>246</v>
      </c>
      <c r="D1803" s="751" t="s">
        <v>633</v>
      </c>
      <c r="E1803" s="751" t="s">
        <v>646</v>
      </c>
      <c r="F1803" s="751" t="s">
        <v>292</v>
      </c>
      <c r="G1803" s="752" t="s">
        <v>1681</v>
      </c>
      <c r="H1803" s="753">
        <v>52385</v>
      </c>
      <c r="I1803" s="754">
        <v>0</v>
      </c>
      <c r="J1803" s="754">
        <v>0</v>
      </c>
      <c r="K1803" s="754">
        <v>0</v>
      </c>
      <c r="L1803" s="754">
        <v>0</v>
      </c>
      <c r="M1803" s="754">
        <f t="shared" si="81"/>
        <v>0</v>
      </c>
      <c r="N1803" s="756">
        <v>0</v>
      </c>
      <c r="O1803" s="720">
        <f t="shared" si="82"/>
        <v>0</v>
      </c>
    </row>
    <row r="1804" spans="1:15" outlineLevel="2" x14ac:dyDescent="0.25">
      <c r="A1804" s="207" t="str">
        <f>VLOOKUP(RIGHT(E1804,3)+0,SchLocTable!$A$2:$B$47,2,FALSE)</f>
        <v>Park City Magnet</v>
      </c>
      <c r="B1804" s="207" t="str">
        <f>VLOOKUP(VALUE(D1804),$D$3:F$106,3,FALSE)</f>
        <v>Physical Education</v>
      </c>
      <c r="C1804" s="755" t="s">
        <v>246</v>
      </c>
      <c r="D1804" s="751" t="s">
        <v>633</v>
      </c>
      <c r="E1804" s="751" t="s">
        <v>646</v>
      </c>
      <c r="F1804" s="751" t="s">
        <v>259</v>
      </c>
      <c r="G1804" s="752" t="s">
        <v>1681</v>
      </c>
      <c r="H1804" s="753">
        <v>52917</v>
      </c>
      <c r="I1804" s="754">
        <v>44551.29</v>
      </c>
      <c r="J1804" s="754">
        <v>0</v>
      </c>
      <c r="K1804" s="754">
        <v>0</v>
      </c>
      <c r="L1804" s="754">
        <v>10607.45</v>
      </c>
      <c r="M1804" s="754">
        <f t="shared" si="81"/>
        <v>10607.45</v>
      </c>
      <c r="N1804" s="756">
        <v>44551.29</v>
      </c>
      <c r="O1804" s="720">
        <f t="shared" si="82"/>
        <v>0</v>
      </c>
    </row>
    <row r="1805" spans="1:15" outlineLevel="2" x14ac:dyDescent="0.25">
      <c r="A1805" s="207" t="str">
        <f>VLOOKUP(RIGHT(E1805,3)+0,SchLocTable!$A$2:$B$47,2,FALSE)</f>
        <v>Zoo Science HS</v>
      </c>
      <c r="B1805" s="207" t="str">
        <f>VLOOKUP(VALUE(D1805),$D$3:F$106,3,FALSE)</f>
        <v>Physical Education</v>
      </c>
      <c r="C1805" s="751" t="s">
        <v>246</v>
      </c>
      <c r="D1805" s="751" t="s">
        <v>633</v>
      </c>
      <c r="E1805" s="751" t="s">
        <v>647</v>
      </c>
      <c r="F1805" s="751" t="s">
        <v>248</v>
      </c>
      <c r="G1805" s="752">
        <v>1</v>
      </c>
      <c r="H1805" s="753">
        <v>51000</v>
      </c>
      <c r="I1805" s="754">
        <v>103153.2</v>
      </c>
      <c r="J1805" s="754">
        <v>0</v>
      </c>
      <c r="K1805" s="754">
        <v>0</v>
      </c>
      <c r="L1805" s="754">
        <v>19761.150000000001</v>
      </c>
      <c r="M1805" s="754">
        <f t="shared" si="81"/>
        <v>19761.150000000001</v>
      </c>
      <c r="N1805" s="756">
        <v>103153.2</v>
      </c>
      <c r="O1805" s="720">
        <f t="shared" si="82"/>
        <v>0</v>
      </c>
    </row>
    <row r="1806" spans="1:15" outlineLevel="2" x14ac:dyDescent="0.25">
      <c r="A1806" s="207" t="str">
        <f>VLOOKUP(RIGHT(E1806,3)+0,SchLocTable!$A$2:$B$47,2,FALSE)</f>
        <v>Zoo Science HS</v>
      </c>
      <c r="B1806" s="207" t="str">
        <f>VLOOKUP(VALUE(D1806),$D$3:F$106,3,FALSE)</f>
        <v>Physical Education</v>
      </c>
      <c r="C1806" s="751" t="s">
        <v>246</v>
      </c>
      <c r="D1806" s="751" t="s">
        <v>633</v>
      </c>
      <c r="E1806" s="751" t="s">
        <v>647</v>
      </c>
      <c r="F1806" s="751" t="s">
        <v>257</v>
      </c>
      <c r="G1806" s="752" t="s">
        <v>1681</v>
      </c>
      <c r="H1806" s="753">
        <v>51140</v>
      </c>
      <c r="I1806" s="754">
        <v>2000</v>
      </c>
      <c r="J1806" s="754">
        <v>0</v>
      </c>
      <c r="K1806" s="754">
        <v>0</v>
      </c>
      <c r="L1806" s="754">
        <v>0</v>
      </c>
      <c r="M1806" s="754">
        <f t="shared" si="81"/>
        <v>0</v>
      </c>
      <c r="N1806" s="756">
        <v>2000</v>
      </c>
      <c r="O1806" s="720">
        <f t="shared" si="82"/>
        <v>0</v>
      </c>
    </row>
    <row r="1807" spans="1:15" outlineLevel="2" x14ac:dyDescent="0.25">
      <c r="A1807" s="207" t="str">
        <f>VLOOKUP(RIGHT(E1807,3)+0,SchLocTable!$A$2:$B$47,2,FALSE)</f>
        <v>Zoo Science HS</v>
      </c>
      <c r="B1807" s="207" t="str">
        <f>VLOOKUP(VALUE(D1807),$D$3:F$106,3,FALSE)</f>
        <v>Physical Education</v>
      </c>
      <c r="C1807" s="751" t="s">
        <v>246</v>
      </c>
      <c r="D1807" s="751" t="s">
        <v>633</v>
      </c>
      <c r="E1807" s="751" t="s">
        <v>647</v>
      </c>
      <c r="F1807" s="751" t="s">
        <v>254</v>
      </c>
      <c r="G1807" s="752" t="s">
        <v>1681</v>
      </c>
      <c r="H1807" s="753">
        <v>52360</v>
      </c>
      <c r="I1807" s="754">
        <v>1460.07</v>
      </c>
      <c r="J1807" s="754">
        <v>0</v>
      </c>
      <c r="K1807" s="754">
        <v>0</v>
      </c>
      <c r="L1807" s="754">
        <v>250.89</v>
      </c>
      <c r="M1807" s="754">
        <f t="shared" si="81"/>
        <v>250.89</v>
      </c>
      <c r="N1807" s="756">
        <v>1460.07</v>
      </c>
      <c r="O1807" s="720">
        <f t="shared" si="82"/>
        <v>0</v>
      </c>
    </row>
    <row r="1808" spans="1:15" outlineLevel="2" x14ac:dyDescent="0.25">
      <c r="A1808" s="207" t="str">
        <f>VLOOKUP(RIGHT(E1808,3)+0,SchLocTable!$A$2:$B$47,2,FALSE)</f>
        <v>Zoo Science HS</v>
      </c>
      <c r="B1808" s="207" t="str">
        <f>VLOOKUP(VALUE(D1808),$D$3:F$106,3,FALSE)</f>
        <v>Physical Education</v>
      </c>
      <c r="C1808" s="751" t="s">
        <v>246</v>
      </c>
      <c r="D1808" s="751" t="s">
        <v>633</v>
      </c>
      <c r="E1808" s="751" t="s">
        <v>647</v>
      </c>
      <c r="F1808" s="751" t="s">
        <v>259</v>
      </c>
      <c r="G1808" s="752" t="s">
        <v>1681</v>
      </c>
      <c r="H1808" s="753">
        <v>52917</v>
      </c>
      <c r="I1808" s="754">
        <v>35075.879999999997</v>
      </c>
      <c r="J1808" s="754">
        <v>0</v>
      </c>
      <c r="K1808" s="754">
        <v>0</v>
      </c>
      <c r="L1808" s="754">
        <v>8351.4</v>
      </c>
      <c r="M1808" s="754">
        <f t="shared" si="81"/>
        <v>8351.4</v>
      </c>
      <c r="N1808" s="756">
        <v>35075.879999999997</v>
      </c>
      <c r="O1808" s="720">
        <f t="shared" si="82"/>
        <v>0</v>
      </c>
    </row>
    <row r="1809" spans="1:15" outlineLevel="2" x14ac:dyDescent="0.25">
      <c r="A1809" s="207" t="str">
        <f>VLOOKUP(RIGHT(E1809,3)+0,SchLocTable!$A$2:$B$47,2,FALSE)</f>
        <v>Madison</v>
      </c>
      <c r="B1809" s="207" t="str">
        <f>VLOOKUP(VALUE(D1809),$D$3:F$106,3,FALSE)</f>
        <v>Physical Education</v>
      </c>
      <c r="C1809" s="755" t="s">
        <v>246</v>
      </c>
      <c r="D1809" s="751" t="s">
        <v>633</v>
      </c>
      <c r="E1809" s="751" t="s">
        <v>648</v>
      </c>
      <c r="F1809" s="751" t="s">
        <v>248</v>
      </c>
      <c r="G1809" s="752">
        <v>1</v>
      </c>
      <c r="H1809" s="753">
        <v>51000</v>
      </c>
      <c r="I1809" s="754">
        <v>73763.56</v>
      </c>
      <c r="J1809" s="754">
        <v>0</v>
      </c>
      <c r="K1809" s="754">
        <v>0</v>
      </c>
      <c r="L1809" s="754">
        <v>14130.95</v>
      </c>
      <c r="M1809" s="754">
        <f t="shared" si="81"/>
        <v>14130.95</v>
      </c>
      <c r="N1809" s="756">
        <v>73763.56</v>
      </c>
      <c r="O1809" s="720">
        <f t="shared" si="82"/>
        <v>0</v>
      </c>
    </row>
    <row r="1810" spans="1:15" outlineLevel="2" x14ac:dyDescent="0.25">
      <c r="A1810" s="207" t="str">
        <f>VLOOKUP(RIGHT(E1810,3)+0,SchLocTable!$A$2:$B$47,2,FALSE)</f>
        <v>Madison</v>
      </c>
      <c r="B1810" s="207" t="str">
        <f>VLOOKUP(VALUE(D1810),$D$3:F$106,3,FALSE)</f>
        <v>Physical Education</v>
      </c>
      <c r="C1810" s="751" t="s">
        <v>246</v>
      </c>
      <c r="D1810" s="751" t="s">
        <v>633</v>
      </c>
      <c r="E1810" s="751" t="s">
        <v>648</v>
      </c>
      <c r="F1810" s="751" t="s">
        <v>254</v>
      </c>
      <c r="G1810" s="752" t="s">
        <v>1681</v>
      </c>
      <c r="H1810" s="753">
        <v>52360</v>
      </c>
      <c r="I1810" s="754">
        <v>1040.55</v>
      </c>
      <c r="J1810" s="754">
        <v>0</v>
      </c>
      <c r="K1810" s="754">
        <v>0</v>
      </c>
      <c r="L1810" s="754">
        <v>175.88</v>
      </c>
      <c r="M1810" s="754">
        <f t="shared" si="81"/>
        <v>175.88</v>
      </c>
      <c r="N1810" s="756">
        <v>1040.55</v>
      </c>
      <c r="O1810" s="720">
        <f t="shared" si="82"/>
        <v>0</v>
      </c>
    </row>
    <row r="1811" spans="1:15" outlineLevel="2" x14ac:dyDescent="0.25">
      <c r="A1811" s="207" t="str">
        <f>VLOOKUP(RIGHT(E1811,3)+0,SchLocTable!$A$2:$B$47,2,FALSE)</f>
        <v>Madison</v>
      </c>
      <c r="B1811" s="207" t="str">
        <f>VLOOKUP(VALUE(D1811),$D$3:F$106,3,FALSE)</f>
        <v>Physical Education</v>
      </c>
      <c r="C1811" s="751" t="s">
        <v>246</v>
      </c>
      <c r="D1811" s="751" t="s">
        <v>633</v>
      </c>
      <c r="E1811" s="751" t="s">
        <v>648</v>
      </c>
      <c r="F1811" s="751" t="s">
        <v>259</v>
      </c>
      <c r="G1811" s="752" t="s">
        <v>1681</v>
      </c>
      <c r="H1811" s="753">
        <v>52917</v>
      </c>
      <c r="I1811" s="754">
        <v>28478.1</v>
      </c>
      <c r="J1811" s="754">
        <v>0</v>
      </c>
      <c r="K1811" s="754">
        <v>0</v>
      </c>
      <c r="L1811" s="754">
        <v>6780.5</v>
      </c>
      <c r="M1811" s="754">
        <f t="shared" si="81"/>
        <v>6780.5</v>
      </c>
      <c r="N1811" s="756">
        <v>28478.1</v>
      </c>
      <c r="O1811" s="720">
        <f t="shared" si="82"/>
        <v>0</v>
      </c>
    </row>
    <row r="1812" spans="1:15" outlineLevel="2" x14ac:dyDescent="0.25">
      <c r="A1812" s="207" t="str">
        <f>VLOOKUP(RIGHT(E1812,3)+0,SchLocTable!$A$2:$B$47,2,FALSE)</f>
        <v>Classical Studies Academy</v>
      </c>
      <c r="B1812" s="207" t="str">
        <f>VLOOKUP(VALUE(D1812),$D$3:F$106,3,FALSE)</f>
        <v>Physical Education</v>
      </c>
      <c r="C1812" s="751" t="s">
        <v>246</v>
      </c>
      <c r="D1812" s="751" t="s">
        <v>633</v>
      </c>
      <c r="E1812" s="751" t="s">
        <v>649</v>
      </c>
      <c r="F1812" s="751" t="s">
        <v>248</v>
      </c>
      <c r="G1812" s="752">
        <v>1</v>
      </c>
      <c r="H1812" s="753">
        <v>51000</v>
      </c>
      <c r="I1812" s="754">
        <v>102758.04</v>
      </c>
      <c r="J1812" s="754">
        <v>0</v>
      </c>
      <c r="K1812" s="754">
        <v>0</v>
      </c>
      <c r="L1812" s="754">
        <v>24466.2</v>
      </c>
      <c r="M1812" s="754">
        <f t="shared" si="81"/>
        <v>24466.2</v>
      </c>
      <c r="N1812" s="756">
        <v>102758.04</v>
      </c>
      <c r="O1812" s="720">
        <f t="shared" si="82"/>
        <v>0</v>
      </c>
    </row>
    <row r="1813" spans="1:15" outlineLevel="2" x14ac:dyDescent="0.25">
      <c r="A1813" s="207" t="str">
        <f>VLOOKUP(RIGHT(E1813,3)+0,SchLocTable!$A$2:$B$47,2,FALSE)</f>
        <v>Classical Studies Academy</v>
      </c>
      <c r="B1813" s="207" t="str">
        <f>VLOOKUP(VALUE(D1813),$D$3:F$106,3,FALSE)</f>
        <v>Physical Education</v>
      </c>
      <c r="C1813" s="755" t="s">
        <v>246</v>
      </c>
      <c r="D1813" s="751" t="s">
        <v>633</v>
      </c>
      <c r="E1813" s="751" t="s">
        <v>649</v>
      </c>
      <c r="F1813" s="751" t="s">
        <v>254</v>
      </c>
      <c r="G1813" s="752" t="s">
        <v>1681</v>
      </c>
      <c r="H1813" s="753">
        <v>52360</v>
      </c>
      <c r="I1813" s="754">
        <v>1477.95</v>
      </c>
      <c r="J1813" s="754">
        <v>0</v>
      </c>
      <c r="K1813" s="754">
        <v>0</v>
      </c>
      <c r="L1813" s="754">
        <v>342.72</v>
      </c>
      <c r="M1813" s="754">
        <f t="shared" si="81"/>
        <v>342.72</v>
      </c>
      <c r="N1813" s="756">
        <v>1477.95</v>
      </c>
      <c r="O1813" s="720">
        <f t="shared" si="82"/>
        <v>0</v>
      </c>
    </row>
    <row r="1814" spans="1:15" outlineLevel="2" x14ac:dyDescent="0.25">
      <c r="A1814" s="207" t="str">
        <f>VLOOKUP(RIGHT(E1814,3)+0,SchLocTable!$A$2:$B$47,2,FALSE)</f>
        <v>Classical Studies Academy</v>
      </c>
      <c r="B1814" s="207" t="str">
        <f>VLOOKUP(VALUE(D1814),$D$3:F$106,3,FALSE)</f>
        <v>Physical Education</v>
      </c>
      <c r="C1814" s="751" t="s">
        <v>246</v>
      </c>
      <c r="D1814" s="751" t="s">
        <v>633</v>
      </c>
      <c r="E1814" s="751" t="s">
        <v>649</v>
      </c>
      <c r="F1814" s="751" t="s">
        <v>259</v>
      </c>
      <c r="G1814" s="752" t="s">
        <v>1681</v>
      </c>
      <c r="H1814" s="753">
        <v>52917</v>
      </c>
      <c r="I1814" s="754">
        <v>11844</v>
      </c>
      <c r="J1814" s="754">
        <v>0</v>
      </c>
      <c r="K1814" s="754">
        <v>0</v>
      </c>
      <c r="L1814" s="754">
        <v>2820</v>
      </c>
      <c r="M1814" s="754">
        <f t="shared" si="81"/>
        <v>2820</v>
      </c>
      <c r="N1814" s="756">
        <v>11844</v>
      </c>
      <c r="O1814" s="720">
        <f t="shared" si="82"/>
        <v>0</v>
      </c>
    </row>
    <row r="1815" spans="1:15" outlineLevel="2" x14ac:dyDescent="0.25">
      <c r="A1815" s="207" t="str">
        <f>VLOOKUP(RIGHT(E1815,3)+0,SchLocTable!$A$2:$B$47,2,FALSE)</f>
        <v>Tisdale</v>
      </c>
      <c r="B1815" s="207" t="str">
        <f>VLOOKUP(VALUE(D1815),$D$3:F$106,3,FALSE)</f>
        <v>Physical Education</v>
      </c>
      <c r="C1815" s="751" t="s">
        <v>246</v>
      </c>
      <c r="D1815" s="751" t="s">
        <v>633</v>
      </c>
      <c r="E1815" s="751" t="s">
        <v>650</v>
      </c>
      <c r="F1815" s="751" t="s">
        <v>248</v>
      </c>
      <c r="G1815" s="752">
        <v>2</v>
      </c>
      <c r="H1815" s="753">
        <v>51000</v>
      </c>
      <c r="I1815" s="754">
        <v>183784.19</v>
      </c>
      <c r="J1815" s="754">
        <v>0</v>
      </c>
      <c r="K1815" s="754">
        <v>0</v>
      </c>
      <c r="L1815" s="754">
        <v>35207.699999999997</v>
      </c>
      <c r="M1815" s="754">
        <f t="shared" si="81"/>
        <v>35207.699999999997</v>
      </c>
      <c r="N1815" s="756">
        <v>183784.19</v>
      </c>
      <c r="O1815" s="720">
        <f t="shared" si="82"/>
        <v>0</v>
      </c>
    </row>
    <row r="1816" spans="1:15" outlineLevel="2" x14ac:dyDescent="0.25">
      <c r="A1816" s="207" t="str">
        <f>VLOOKUP(RIGHT(E1816,3)+0,SchLocTable!$A$2:$B$47,2,FALSE)</f>
        <v>Tisdale</v>
      </c>
      <c r="B1816" s="207" t="str">
        <f>VLOOKUP(VALUE(D1816),$D$3:F$106,3,FALSE)</f>
        <v>Physical Education</v>
      </c>
      <c r="C1816" s="751" t="s">
        <v>246</v>
      </c>
      <c r="D1816" s="751" t="s">
        <v>633</v>
      </c>
      <c r="E1816" s="751" t="s">
        <v>650</v>
      </c>
      <c r="F1816" s="751" t="s">
        <v>257</v>
      </c>
      <c r="G1816" s="752" t="s">
        <v>1681</v>
      </c>
      <c r="H1816" s="753">
        <v>51140</v>
      </c>
      <c r="I1816" s="754">
        <v>1100</v>
      </c>
      <c r="J1816" s="754">
        <v>0</v>
      </c>
      <c r="K1816" s="754">
        <v>0</v>
      </c>
      <c r="L1816" s="754">
        <v>0</v>
      </c>
      <c r="M1816" s="754">
        <f t="shared" si="81"/>
        <v>0</v>
      </c>
      <c r="N1816" s="756">
        <v>1100</v>
      </c>
      <c r="O1816" s="720">
        <f t="shared" si="82"/>
        <v>0</v>
      </c>
    </row>
    <row r="1817" spans="1:15" outlineLevel="2" x14ac:dyDescent="0.25">
      <c r="A1817" s="207" t="str">
        <f>VLOOKUP(RIGHT(E1817,3)+0,SchLocTable!$A$2:$B$47,2,FALSE)</f>
        <v>Tisdale</v>
      </c>
      <c r="B1817" s="207" t="str">
        <f>VLOOKUP(VALUE(D1817),$D$3:F$106,3,FALSE)</f>
        <v>Physical Education</v>
      </c>
      <c r="C1817" s="751" t="s">
        <v>246</v>
      </c>
      <c r="D1817" s="751" t="s">
        <v>633</v>
      </c>
      <c r="E1817" s="751" t="s">
        <v>650</v>
      </c>
      <c r="F1817" s="751" t="s">
        <v>254</v>
      </c>
      <c r="G1817" s="752" t="s">
        <v>1681</v>
      </c>
      <c r="H1817" s="753">
        <v>52360</v>
      </c>
      <c r="I1817" s="754">
        <v>2593.5700000000002</v>
      </c>
      <c r="J1817" s="754">
        <v>0</v>
      </c>
      <c r="K1817" s="754">
        <v>0</v>
      </c>
      <c r="L1817" s="754">
        <v>439.21</v>
      </c>
      <c r="M1817" s="754">
        <f t="shared" si="81"/>
        <v>439.21</v>
      </c>
      <c r="N1817" s="756">
        <v>2593.5700000000002</v>
      </c>
      <c r="O1817" s="720">
        <f t="shared" si="82"/>
        <v>0</v>
      </c>
    </row>
    <row r="1818" spans="1:15" outlineLevel="2" x14ac:dyDescent="0.25">
      <c r="A1818" s="207" t="str">
        <f>VLOOKUP(RIGHT(E1818,3)+0,SchLocTable!$A$2:$B$47,2,FALSE)</f>
        <v>Tisdale</v>
      </c>
      <c r="B1818" s="207" t="str">
        <f>VLOOKUP(VALUE(D1818),$D$3:F$106,3,FALSE)</f>
        <v>Physical Education</v>
      </c>
      <c r="C1818" s="751" t="s">
        <v>246</v>
      </c>
      <c r="D1818" s="751" t="s">
        <v>633</v>
      </c>
      <c r="E1818" s="751" t="s">
        <v>650</v>
      </c>
      <c r="F1818" s="751" t="s">
        <v>259</v>
      </c>
      <c r="G1818" s="752" t="s">
        <v>1681</v>
      </c>
      <c r="H1818" s="753">
        <v>52917</v>
      </c>
      <c r="I1818" s="754">
        <v>70151.759999999995</v>
      </c>
      <c r="J1818" s="754">
        <v>0</v>
      </c>
      <c r="K1818" s="754">
        <v>0</v>
      </c>
      <c r="L1818" s="754">
        <v>16702.8</v>
      </c>
      <c r="M1818" s="754">
        <f t="shared" si="81"/>
        <v>16702.8</v>
      </c>
      <c r="N1818" s="756">
        <v>70151.759999999995</v>
      </c>
      <c r="O1818" s="720">
        <f t="shared" si="82"/>
        <v>0</v>
      </c>
    </row>
    <row r="1819" spans="1:15" outlineLevel="2" x14ac:dyDescent="0.25">
      <c r="A1819" s="207" t="str">
        <f>VLOOKUP(RIGHT(E1819,3)+0,SchLocTable!$A$2:$B$47,2,FALSE)</f>
        <v>Read</v>
      </c>
      <c r="B1819" s="207" t="str">
        <f>VLOOKUP(VALUE(D1819),$D$3:F$106,3,FALSE)</f>
        <v>Physical Education</v>
      </c>
      <c r="C1819" s="751" t="s">
        <v>246</v>
      </c>
      <c r="D1819" s="751" t="s">
        <v>633</v>
      </c>
      <c r="E1819" s="751" t="s">
        <v>651</v>
      </c>
      <c r="F1819" s="751" t="s">
        <v>248</v>
      </c>
      <c r="G1819" s="752">
        <v>2</v>
      </c>
      <c r="H1819" s="753">
        <v>51000</v>
      </c>
      <c r="I1819" s="754">
        <v>206306.41</v>
      </c>
      <c r="J1819" s="754">
        <v>0</v>
      </c>
      <c r="K1819" s="754">
        <v>0</v>
      </c>
      <c r="L1819" s="754">
        <v>39522.300000000003</v>
      </c>
      <c r="M1819" s="754">
        <f t="shared" si="81"/>
        <v>39522.300000000003</v>
      </c>
      <c r="N1819" s="756">
        <v>206306.41</v>
      </c>
      <c r="O1819" s="720">
        <f t="shared" si="82"/>
        <v>0</v>
      </c>
    </row>
    <row r="1820" spans="1:15" outlineLevel="2" x14ac:dyDescent="0.25">
      <c r="A1820" s="207" t="str">
        <f>VLOOKUP(RIGHT(E1820,3)+0,SchLocTable!$A$2:$B$47,2,FALSE)</f>
        <v>Read</v>
      </c>
      <c r="B1820" s="207" t="str">
        <f>VLOOKUP(VALUE(D1820),$D$3:F$106,3,FALSE)</f>
        <v>Physical Education</v>
      </c>
      <c r="C1820" s="751" t="s">
        <v>246</v>
      </c>
      <c r="D1820" s="751" t="s">
        <v>633</v>
      </c>
      <c r="E1820" s="751" t="s">
        <v>651</v>
      </c>
      <c r="F1820" s="751" t="s">
        <v>257</v>
      </c>
      <c r="G1820" s="752" t="s">
        <v>1681</v>
      </c>
      <c r="H1820" s="753">
        <v>51140</v>
      </c>
      <c r="I1820" s="754">
        <v>2100</v>
      </c>
      <c r="J1820" s="754">
        <v>0</v>
      </c>
      <c r="K1820" s="754">
        <v>0</v>
      </c>
      <c r="L1820" s="754">
        <v>0</v>
      </c>
      <c r="M1820" s="754">
        <f t="shared" si="81"/>
        <v>0</v>
      </c>
      <c r="N1820" s="756">
        <v>2100</v>
      </c>
      <c r="O1820" s="720">
        <f t="shared" si="82"/>
        <v>0</v>
      </c>
    </row>
    <row r="1821" spans="1:15" outlineLevel="2" x14ac:dyDescent="0.25">
      <c r="A1821" s="207" t="str">
        <f>VLOOKUP(RIGHT(E1821,3)+0,SchLocTable!$A$2:$B$47,2,FALSE)</f>
        <v>Read</v>
      </c>
      <c r="B1821" s="207" t="str">
        <f>VLOOKUP(VALUE(D1821),$D$3:F$106,3,FALSE)</f>
        <v>Physical Education</v>
      </c>
      <c r="C1821" s="751" t="s">
        <v>246</v>
      </c>
      <c r="D1821" s="751" t="s">
        <v>633</v>
      </c>
      <c r="E1821" s="751" t="s">
        <v>651</v>
      </c>
      <c r="F1821" s="751" t="s">
        <v>254</v>
      </c>
      <c r="G1821" s="752" t="s">
        <v>1681</v>
      </c>
      <c r="H1821" s="753">
        <v>52360</v>
      </c>
      <c r="I1821" s="754">
        <v>2955.8</v>
      </c>
      <c r="J1821" s="754">
        <v>0</v>
      </c>
      <c r="K1821" s="754">
        <v>0</v>
      </c>
      <c r="L1821" s="754">
        <v>537.42999999999995</v>
      </c>
      <c r="M1821" s="754">
        <f t="shared" si="81"/>
        <v>537.42999999999995</v>
      </c>
      <c r="N1821" s="756">
        <v>2955.8</v>
      </c>
      <c r="O1821" s="720">
        <f t="shared" si="82"/>
        <v>0</v>
      </c>
    </row>
    <row r="1822" spans="1:15" outlineLevel="2" x14ac:dyDescent="0.25">
      <c r="A1822" s="207" t="str">
        <f>VLOOKUP(RIGHT(E1822,3)+0,SchLocTable!$A$2:$B$47,2,FALSE)</f>
        <v>Read</v>
      </c>
      <c r="B1822" s="207" t="str">
        <f>VLOOKUP(VALUE(D1822),$D$3:F$106,3,FALSE)</f>
        <v>Physical Education</v>
      </c>
      <c r="C1822" s="751" t="s">
        <v>246</v>
      </c>
      <c r="D1822" s="751" t="s">
        <v>633</v>
      </c>
      <c r="E1822" s="751" t="s">
        <v>651</v>
      </c>
      <c r="F1822" s="751" t="s">
        <v>259</v>
      </c>
      <c r="G1822" s="752" t="s">
        <v>1681</v>
      </c>
      <c r="H1822" s="753">
        <v>52917</v>
      </c>
      <c r="I1822" s="754">
        <v>35075.879999999997</v>
      </c>
      <c r="J1822" s="754">
        <v>0</v>
      </c>
      <c r="K1822" s="754">
        <v>0</v>
      </c>
      <c r="L1822" s="754">
        <v>8351.4</v>
      </c>
      <c r="M1822" s="754">
        <f t="shared" si="81"/>
        <v>8351.4</v>
      </c>
      <c r="N1822" s="756">
        <v>35075.879999999997</v>
      </c>
      <c r="O1822" s="720">
        <f t="shared" si="82"/>
        <v>0</v>
      </c>
    </row>
    <row r="1823" spans="1:15" outlineLevel="2" x14ac:dyDescent="0.25">
      <c r="A1823" s="207" t="str">
        <f>VLOOKUP(RIGHT(E1823,3)+0,SchLocTable!$A$2:$B$47,2,FALSE)</f>
        <v>Roosevelt</v>
      </c>
      <c r="B1823" s="207" t="str">
        <f>VLOOKUP(VALUE(D1823),$D$3:F$106,3,FALSE)</f>
        <v>Physical Education</v>
      </c>
      <c r="C1823" s="751" t="s">
        <v>246</v>
      </c>
      <c r="D1823" s="751" t="s">
        <v>633</v>
      </c>
      <c r="E1823" s="751" t="s">
        <v>652</v>
      </c>
      <c r="F1823" s="751" t="s">
        <v>248</v>
      </c>
      <c r="G1823" s="752">
        <v>1</v>
      </c>
      <c r="H1823" s="753">
        <v>51000</v>
      </c>
      <c r="I1823" s="754">
        <v>67253.7</v>
      </c>
      <c r="J1823" s="754">
        <v>0</v>
      </c>
      <c r="K1823" s="754">
        <v>0</v>
      </c>
      <c r="L1823" s="754">
        <v>12883.85</v>
      </c>
      <c r="M1823" s="754">
        <f t="shared" si="81"/>
        <v>12883.85</v>
      </c>
      <c r="N1823" s="756">
        <v>67253.7</v>
      </c>
      <c r="O1823" s="720">
        <f t="shared" si="82"/>
        <v>0</v>
      </c>
    </row>
    <row r="1824" spans="1:15" outlineLevel="2" x14ac:dyDescent="0.25">
      <c r="A1824" s="207" t="str">
        <f>VLOOKUP(RIGHT(E1824,3)+0,SchLocTable!$A$2:$B$47,2,FALSE)</f>
        <v>Roosevelt</v>
      </c>
      <c r="B1824" s="207" t="str">
        <f>VLOOKUP(VALUE(D1824),$D$3:F$106,3,FALSE)</f>
        <v>Physical Education</v>
      </c>
      <c r="C1824" s="751" t="s">
        <v>246</v>
      </c>
      <c r="D1824" s="751" t="s">
        <v>633</v>
      </c>
      <c r="E1824" s="751" t="s">
        <v>652</v>
      </c>
      <c r="F1824" s="751" t="s">
        <v>254</v>
      </c>
      <c r="G1824" s="752" t="s">
        <v>1681</v>
      </c>
      <c r="H1824" s="753">
        <v>52360</v>
      </c>
      <c r="I1824" s="754">
        <v>963.15</v>
      </c>
      <c r="J1824" s="754">
        <v>0</v>
      </c>
      <c r="K1824" s="754">
        <v>0</v>
      </c>
      <c r="L1824" s="754">
        <v>174.79</v>
      </c>
      <c r="M1824" s="754">
        <f t="shared" si="81"/>
        <v>174.79</v>
      </c>
      <c r="N1824" s="756">
        <v>963.15</v>
      </c>
      <c r="O1824" s="720">
        <f t="shared" si="82"/>
        <v>0</v>
      </c>
    </row>
    <row r="1825" spans="1:15" outlineLevel="2" x14ac:dyDescent="0.25">
      <c r="A1825" s="207" t="str">
        <f>VLOOKUP(RIGHT(E1825,3)+0,SchLocTable!$A$2:$B$47,2,FALSE)</f>
        <v>Roosevelt</v>
      </c>
      <c r="B1825" s="207" t="str">
        <f>VLOOKUP(VALUE(D1825),$D$3:F$106,3,FALSE)</f>
        <v>Physical Education</v>
      </c>
      <c r="C1825" s="751" t="s">
        <v>246</v>
      </c>
      <c r="D1825" s="751" t="s">
        <v>633</v>
      </c>
      <c r="E1825" s="751" t="s">
        <v>652</v>
      </c>
      <c r="F1825" s="751" t="s">
        <v>259</v>
      </c>
      <c r="G1825" s="752" t="s">
        <v>1681</v>
      </c>
      <c r="H1825" s="753">
        <v>52917</v>
      </c>
      <c r="I1825" s="754">
        <v>11844</v>
      </c>
      <c r="J1825" s="754">
        <v>0</v>
      </c>
      <c r="K1825" s="754">
        <v>0</v>
      </c>
      <c r="L1825" s="754">
        <v>2820</v>
      </c>
      <c r="M1825" s="754">
        <f t="shared" si="81"/>
        <v>2820</v>
      </c>
      <c r="N1825" s="756">
        <v>11844</v>
      </c>
      <c r="O1825" s="720">
        <f t="shared" si="82"/>
        <v>0</v>
      </c>
    </row>
    <row r="1826" spans="1:15" outlineLevel="2" x14ac:dyDescent="0.25">
      <c r="A1826" s="207" t="str">
        <f>VLOOKUP(RIGHT(E1826,3)+0,SchLocTable!$A$2:$B$47,2,FALSE)</f>
        <v>Waltersville</v>
      </c>
      <c r="B1826" s="207" t="str">
        <f>VLOOKUP(VALUE(D1826),$D$3:F$106,3,FALSE)</f>
        <v>Physical Education</v>
      </c>
      <c r="C1826" s="751" t="s">
        <v>246</v>
      </c>
      <c r="D1826" s="751" t="s">
        <v>633</v>
      </c>
      <c r="E1826" s="751" t="s">
        <v>653</v>
      </c>
      <c r="F1826" s="751" t="s">
        <v>248</v>
      </c>
      <c r="G1826" s="752">
        <v>1</v>
      </c>
      <c r="H1826" s="753">
        <v>51000</v>
      </c>
      <c r="I1826" s="754">
        <v>64218.01</v>
      </c>
      <c r="J1826" s="754">
        <v>0</v>
      </c>
      <c r="K1826" s="754">
        <v>0</v>
      </c>
      <c r="L1826" s="754">
        <v>12302.3</v>
      </c>
      <c r="M1826" s="754">
        <f t="shared" si="81"/>
        <v>12302.3</v>
      </c>
      <c r="N1826" s="756">
        <v>64218.01</v>
      </c>
      <c r="O1826" s="720">
        <f t="shared" si="82"/>
        <v>0</v>
      </c>
    </row>
    <row r="1827" spans="1:15" outlineLevel="2" x14ac:dyDescent="0.25">
      <c r="A1827" s="207" t="str">
        <f>VLOOKUP(RIGHT(E1827,3)+0,SchLocTable!$A$2:$B$47,2,FALSE)</f>
        <v>Waltersville</v>
      </c>
      <c r="B1827" s="207" t="str">
        <f>VLOOKUP(VALUE(D1827),$D$3:F$106,3,FALSE)</f>
        <v>Physical Education</v>
      </c>
      <c r="C1827" s="751" t="s">
        <v>246</v>
      </c>
      <c r="D1827" s="751" t="s">
        <v>633</v>
      </c>
      <c r="E1827" s="751" t="s">
        <v>653</v>
      </c>
      <c r="F1827" s="751" t="s">
        <v>254</v>
      </c>
      <c r="G1827" s="752" t="s">
        <v>1681</v>
      </c>
      <c r="H1827" s="753">
        <v>52360</v>
      </c>
      <c r="I1827" s="754">
        <v>902.15</v>
      </c>
      <c r="J1827" s="754">
        <v>0</v>
      </c>
      <c r="K1827" s="754">
        <v>0</v>
      </c>
      <c r="L1827" s="754">
        <v>149.37</v>
      </c>
      <c r="M1827" s="754">
        <f t="shared" si="81"/>
        <v>149.37</v>
      </c>
      <c r="N1827" s="756">
        <v>902.15</v>
      </c>
      <c r="O1827" s="720">
        <f t="shared" si="82"/>
        <v>0</v>
      </c>
    </row>
    <row r="1828" spans="1:15" outlineLevel="2" x14ac:dyDescent="0.25">
      <c r="A1828" s="207" t="str">
        <f>VLOOKUP(RIGHT(E1828,3)+0,SchLocTable!$A$2:$B$47,2,FALSE)</f>
        <v>Waltersville</v>
      </c>
      <c r="B1828" s="207" t="str">
        <f>VLOOKUP(VALUE(D1828),$D$3:F$106,3,FALSE)</f>
        <v>Physical Education</v>
      </c>
      <c r="C1828" s="751" t="s">
        <v>246</v>
      </c>
      <c r="D1828" s="751" t="s">
        <v>633</v>
      </c>
      <c r="E1828" s="751" t="s">
        <v>653</v>
      </c>
      <c r="F1828" s="751" t="s">
        <v>259</v>
      </c>
      <c r="G1828" s="752" t="s">
        <v>1681</v>
      </c>
      <c r="H1828" s="753">
        <v>52917</v>
      </c>
      <c r="I1828" s="754">
        <v>28478.1</v>
      </c>
      <c r="J1828" s="754">
        <v>0</v>
      </c>
      <c r="K1828" s="754">
        <v>0</v>
      </c>
      <c r="L1828" s="754">
        <v>6780.5</v>
      </c>
      <c r="M1828" s="754">
        <f t="shared" si="81"/>
        <v>6780.5</v>
      </c>
      <c r="N1828" s="756">
        <v>28478.1</v>
      </c>
      <c r="O1828" s="720">
        <f t="shared" si="82"/>
        <v>0</v>
      </c>
    </row>
    <row r="1829" spans="1:15" outlineLevel="2" x14ac:dyDescent="0.25">
      <c r="A1829" s="207" t="str">
        <f>VLOOKUP(RIGHT(E1829,3)+0,SchLocTable!$A$2:$B$47,2,FALSE)</f>
        <v>Claytor</v>
      </c>
      <c r="B1829" s="207" t="str">
        <f>VLOOKUP(VALUE(D1829),$D$3:F$106,3,FALSE)</f>
        <v>Physical Education</v>
      </c>
      <c r="C1829" s="755" t="s">
        <v>246</v>
      </c>
      <c r="D1829" s="751" t="s">
        <v>633</v>
      </c>
      <c r="E1829" s="751" t="s">
        <v>654</v>
      </c>
      <c r="F1829" s="751" t="s">
        <v>248</v>
      </c>
      <c r="G1829" s="752">
        <v>1</v>
      </c>
      <c r="H1829" s="753">
        <v>51000</v>
      </c>
      <c r="I1829" s="754">
        <v>93652.800000000003</v>
      </c>
      <c r="J1829" s="754">
        <v>0</v>
      </c>
      <c r="K1829" s="754">
        <v>0</v>
      </c>
      <c r="L1829" s="754">
        <v>17941.150000000001</v>
      </c>
      <c r="M1829" s="754">
        <f t="shared" si="81"/>
        <v>17941.150000000001</v>
      </c>
      <c r="N1829" s="756">
        <v>93652.800000000003</v>
      </c>
      <c r="O1829" s="720">
        <f t="shared" si="82"/>
        <v>0</v>
      </c>
    </row>
    <row r="1830" spans="1:15" outlineLevel="1" x14ac:dyDescent="0.25">
      <c r="A1830" s="207" t="str">
        <f>VLOOKUP(RIGHT(E1830,3)+0,SchLocTable!$A$2:$B$47,2,FALSE)</f>
        <v>Claytor</v>
      </c>
      <c r="B1830" s="207" t="str">
        <f>VLOOKUP(VALUE(D1830),$D$3:F$106,3,FALSE)</f>
        <v>Physical Education</v>
      </c>
      <c r="C1830" s="751" t="s">
        <v>246</v>
      </c>
      <c r="D1830" s="751" t="s">
        <v>633</v>
      </c>
      <c r="E1830" s="751" t="s">
        <v>654</v>
      </c>
      <c r="F1830" s="751" t="s">
        <v>254</v>
      </c>
      <c r="G1830" s="752" t="s">
        <v>1681</v>
      </c>
      <c r="H1830" s="753">
        <v>52360</v>
      </c>
      <c r="I1830" s="754">
        <v>1345.93</v>
      </c>
      <c r="J1830" s="754">
        <v>0</v>
      </c>
      <c r="K1830" s="754">
        <v>0</v>
      </c>
      <c r="L1830" s="754">
        <v>248.11</v>
      </c>
      <c r="M1830" s="754">
        <f t="shared" si="81"/>
        <v>248.11</v>
      </c>
      <c r="N1830" s="756">
        <v>1345.93</v>
      </c>
      <c r="O1830" s="720">
        <f t="shared" si="82"/>
        <v>0</v>
      </c>
    </row>
    <row r="1831" spans="1:15" outlineLevel="2" x14ac:dyDescent="0.25">
      <c r="A1831" s="207" t="str">
        <f>VLOOKUP(RIGHT(E1831,3)+0,SchLocTable!$A$2:$B$47,2,FALSE)</f>
        <v>Claytor</v>
      </c>
      <c r="B1831" s="207" t="str">
        <f>VLOOKUP(VALUE(D1831),$D$3:F$106,3,FALSE)</f>
        <v>Physical Education</v>
      </c>
      <c r="C1831" s="751" t="s">
        <v>246</v>
      </c>
      <c r="D1831" s="751" t="s">
        <v>633</v>
      </c>
      <c r="E1831" s="751" t="s">
        <v>654</v>
      </c>
      <c r="F1831" s="751" t="s">
        <v>259</v>
      </c>
      <c r="G1831" s="752" t="s">
        <v>1681</v>
      </c>
      <c r="H1831" s="753">
        <v>52917</v>
      </c>
      <c r="I1831" s="754">
        <v>11844</v>
      </c>
      <c r="J1831" s="754">
        <v>0</v>
      </c>
      <c r="K1831" s="754">
        <v>0</v>
      </c>
      <c r="L1831" s="754">
        <v>2820</v>
      </c>
      <c r="M1831" s="754">
        <f t="shared" si="81"/>
        <v>2820</v>
      </c>
      <c r="N1831" s="756">
        <v>11844</v>
      </c>
      <c r="O1831" s="720">
        <f t="shared" si="82"/>
        <v>0</v>
      </c>
    </row>
    <row r="1832" spans="1:15" outlineLevel="2" x14ac:dyDescent="0.25">
      <c r="A1832" s="207" t="str">
        <f>VLOOKUP(RIGHT(E1832,3)+0,SchLocTable!$A$2:$B$47,2,FALSE)</f>
        <v>Johnson</v>
      </c>
      <c r="B1832" s="207" t="str">
        <f>VLOOKUP(VALUE(D1832),$D$3:F$106,3,FALSE)</f>
        <v>Physical Education</v>
      </c>
      <c r="C1832" s="751" t="s">
        <v>246</v>
      </c>
      <c r="D1832" s="751" t="s">
        <v>633</v>
      </c>
      <c r="E1832" s="751" t="s">
        <v>655</v>
      </c>
      <c r="F1832" s="751" t="s">
        <v>248</v>
      </c>
      <c r="G1832" s="752">
        <v>1</v>
      </c>
      <c r="H1832" s="753">
        <v>51000</v>
      </c>
      <c r="I1832" s="754">
        <v>90131.39</v>
      </c>
      <c r="J1832" s="754">
        <v>0</v>
      </c>
      <c r="K1832" s="754">
        <v>0</v>
      </c>
      <c r="L1832" s="754">
        <v>17266.55</v>
      </c>
      <c r="M1832" s="754">
        <f t="shared" si="81"/>
        <v>17266.55</v>
      </c>
      <c r="N1832" s="756">
        <v>90131.39</v>
      </c>
      <c r="O1832" s="720">
        <f t="shared" si="82"/>
        <v>0</v>
      </c>
    </row>
    <row r="1833" spans="1:15" outlineLevel="2" x14ac:dyDescent="0.25">
      <c r="A1833" s="207" t="str">
        <f>VLOOKUP(RIGHT(E1833,3)+0,SchLocTable!$A$2:$B$47,2,FALSE)</f>
        <v>Johnson</v>
      </c>
      <c r="B1833" s="207" t="str">
        <f>VLOOKUP(VALUE(D1833),$D$3:F$106,3,FALSE)</f>
        <v>Physical Education</v>
      </c>
      <c r="C1833" s="755" t="s">
        <v>246</v>
      </c>
      <c r="D1833" s="751" t="s">
        <v>633</v>
      </c>
      <c r="E1833" s="751" t="s">
        <v>655</v>
      </c>
      <c r="F1833" s="751" t="s">
        <v>257</v>
      </c>
      <c r="G1833" s="752" t="s">
        <v>1681</v>
      </c>
      <c r="H1833" s="753">
        <v>51140</v>
      </c>
      <c r="I1833" s="754">
        <v>2700</v>
      </c>
      <c r="J1833" s="754">
        <v>0</v>
      </c>
      <c r="K1833" s="754">
        <v>0</v>
      </c>
      <c r="L1833" s="754">
        <v>0</v>
      </c>
      <c r="M1833" s="754">
        <f t="shared" si="81"/>
        <v>0</v>
      </c>
      <c r="N1833" s="756">
        <v>2700</v>
      </c>
      <c r="O1833" s="720">
        <f t="shared" si="82"/>
        <v>0</v>
      </c>
    </row>
    <row r="1834" spans="1:15" outlineLevel="2" x14ac:dyDescent="0.25">
      <c r="A1834" s="207" t="str">
        <f>VLOOKUP(RIGHT(E1834,3)+0,SchLocTable!$A$2:$B$47,2,FALSE)</f>
        <v>Johnson</v>
      </c>
      <c r="B1834" s="207" t="str">
        <f>VLOOKUP(VALUE(D1834),$D$3:F$106,3,FALSE)</f>
        <v>Physical Education</v>
      </c>
      <c r="C1834" s="751" t="s">
        <v>246</v>
      </c>
      <c r="D1834" s="751" t="s">
        <v>633</v>
      </c>
      <c r="E1834" s="751" t="s">
        <v>655</v>
      </c>
      <c r="F1834" s="751" t="s">
        <v>252</v>
      </c>
      <c r="G1834" s="752" t="s">
        <v>1681</v>
      </c>
      <c r="H1834" s="753">
        <v>51154</v>
      </c>
      <c r="I1834" s="754">
        <v>0</v>
      </c>
      <c r="J1834" s="754">
        <v>0</v>
      </c>
      <c r="K1834" s="754">
        <v>0</v>
      </c>
      <c r="L1834" s="754">
        <v>0</v>
      </c>
      <c r="M1834" s="754">
        <f t="shared" si="81"/>
        <v>0</v>
      </c>
      <c r="N1834" s="756">
        <v>0</v>
      </c>
      <c r="O1834" s="720">
        <f t="shared" si="82"/>
        <v>0</v>
      </c>
    </row>
    <row r="1835" spans="1:15" outlineLevel="2" x14ac:dyDescent="0.25">
      <c r="A1835" s="207" t="str">
        <f>VLOOKUP(RIGHT(E1835,3)+0,SchLocTable!$A$2:$B$47,2,FALSE)</f>
        <v>Johnson</v>
      </c>
      <c r="B1835" s="207" t="str">
        <f>VLOOKUP(VALUE(D1835),$D$3:F$106,3,FALSE)</f>
        <v>Physical Education</v>
      </c>
      <c r="C1835" s="751" t="s">
        <v>246</v>
      </c>
      <c r="D1835" s="751" t="s">
        <v>633</v>
      </c>
      <c r="E1835" s="751" t="s">
        <v>655</v>
      </c>
      <c r="F1835" s="751" t="s">
        <v>254</v>
      </c>
      <c r="G1835" s="752" t="s">
        <v>1681</v>
      </c>
      <c r="H1835" s="753">
        <v>52360</v>
      </c>
      <c r="I1835" s="754">
        <v>1294.8599999999999</v>
      </c>
      <c r="J1835" s="754">
        <v>0</v>
      </c>
      <c r="K1835" s="754">
        <v>0</v>
      </c>
      <c r="L1835" s="754">
        <v>238.32</v>
      </c>
      <c r="M1835" s="754">
        <f t="shared" si="81"/>
        <v>238.32</v>
      </c>
      <c r="N1835" s="756">
        <v>1294.8599999999999</v>
      </c>
      <c r="O1835" s="720">
        <f t="shared" si="82"/>
        <v>0</v>
      </c>
    </row>
    <row r="1836" spans="1:15" outlineLevel="1" x14ac:dyDescent="0.25">
      <c r="A1836" s="207" t="str">
        <f>VLOOKUP(RIGHT(E1836,3)+0,SchLocTable!$A$2:$B$47,2,FALSE)</f>
        <v>Johnson</v>
      </c>
      <c r="B1836" s="207" t="str">
        <f>VLOOKUP(VALUE(D1836),$D$3:F$106,3,FALSE)</f>
        <v>Physical Education</v>
      </c>
      <c r="C1836" s="751" t="s">
        <v>246</v>
      </c>
      <c r="D1836" s="751" t="s">
        <v>633</v>
      </c>
      <c r="E1836" s="751" t="s">
        <v>655</v>
      </c>
      <c r="F1836" s="751" t="s">
        <v>259</v>
      </c>
      <c r="G1836" s="752" t="s">
        <v>1681</v>
      </c>
      <c r="H1836" s="753">
        <v>52917</v>
      </c>
      <c r="I1836" s="754">
        <v>11844</v>
      </c>
      <c r="J1836" s="754">
        <v>0</v>
      </c>
      <c r="K1836" s="754">
        <v>0</v>
      </c>
      <c r="L1836" s="754">
        <v>2820</v>
      </c>
      <c r="M1836" s="754">
        <f t="shared" si="81"/>
        <v>2820</v>
      </c>
      <c r="N1836" s="756">
        <v>11844</v>
      </c>
      <c r="O1836" s="720">
        <f t="shared" si="82"/>
        <v>0</v>
      </c>
    </row>
    <row r="1837" spans="1:15" outlineLevel="2" x14ac:dyDescent="0.25">
      <c r="A1837" s="207" t="str">
        <f>VLOOKUP(RIGHT(E1837,3)+0,SchLocTable!$A$2:$B$47,2,FALSE)</f>
        <v>Winthrop</v>
      </c>
      <c r="B1837" s="207" t="str">
        <f>VLOOKUP(VALUE(D1837),$D$3:F$106,3,FALSE)</f>
        <v>Physical Education</v>
      </c>
      <c r="C1837" s="755" t="s">
        <v>246</v>
      </c>
      <c r="D1837" s="751" t="s">
        <v>633</v>
      </c>
      <c r="E1837" s="751" t="s">
        <v>656</v>
      </c>
      <c r="F1837" s="751" t="s">
        <v>248</v>
      </c>
      <c r="G1837" s="752">
        <v>1</v>
      </c>
      <c r="H1837" s="753">
        <v>51000</v>
      </c>
      <c r="I1837" s="754">
        <v>113705.95</v>
      </c>
      <c r="J1837" s="754">
        <v>0</v>
      </c>
      <c r="K1837" s="754">
        <v>0</v>
      </c>
      <c r="L1837" s="754">
        <v>21782.75</v>
      </c>
      <c r="M1837" s="754">
        <f t="shared" si="81"/>
        <v>21782.75</v>
      </c>
      <c r="N1837" s="756">
        <v>113705.95</v>
      </c>
      <c r="O1837" s="720">
        <f t="shared" si="82"/>
        <v>0</v>
      </c>
    </row>
    <row r="1838" spans="1:15" outlineLevel="2" x14ac:dyDescent="0.25">
      <c r="A1838" s="207" t="str">
        <f>VLOOKUP(RIGHT(E1838,3)+0,SchLocTable!$A$2:$B$47,2,FALSE)</f>
        <v>Winthrop</v>
      </c>
      <c r="B1838" s="207" t="str">
        <f>VLOOKUP(VALUE(D1838),$D$3:F$106,3,FALSE)</f>
        <v>Physical Education</v>
      </c>
      <c r="C1838" s="751" t="s">
        <v>246</v>
      </c>
      <c r="D1838" s="751" t="s">
        <v>633</v>
      </c>
      <c r="E1838" s="751" t="s">
        <v>656</v>
      </c>
      <c r="F1838" s="751" t="s">
        <v>257</v>
      </c>
      <c r="G1838" s="752" t="s">
        <v>1681</v>
      </c>
      <c r="H1838" s="753">
        <v>51140</v>
      </c>
      <c r="I1838" s="754">
        <v>1100</v>
      </c>
      <c r="J1838" s="754">
        <v>0</v>
      </c>
      <c r="K1838" s="754">
        <v>0</v>
      </c>
      <c r="L1838" s="754">
        <v>0</v>
      </c>
      <c r="M1838" s="754">
        <f t="shared" si="81"/>
        <v>0</v>
      </c>
      <c r="N1838" s="756">
        <v>1100</v>
      </c>
      <c r="O1838" s="720">
        <f t="shared" si="82"/>
        <v>0</v>
      </c>
    </row>
    <row r="1839" spans="1:15" outlineLevel="2" x14ac:dyDescent="0.25">
      <c r="A1839" s="207" t="str">
        <f>VLOOKUP(RIGHT(E1839,3)+0,SchLocTable!$A$2:$B$47,2,FALSE)</f>
        <v>Winthrop</v>
      </c>
      <c r="B1839" s="207" t="str">
        <f>VLOOKUP(VALUE(D1839),$D$3:F$106,3,FALSE)</f>
        <v>Physical Education</v>
      </c>
      <c r="C1839" s="751" t="s">
        <v>246</v>
      </c>
      <c r="D1839" s="751" t="s">
        <v>633</v>
      </c>
      <c r="E1839" s="751" t="s">
        <v>656</v>
      </c>
      <c r="F1839" s="751" t="s">
        <v>254</v>
      </c>
      <c r="G1839" s="752" t="s">
        <v>1681</v>
      </c>
      <c r="H1839" s="753">
        <v>52360</v>
      </c>
      <c r="I1839" s="754">
        <v>1634.29</v>
      </c>
      <c r="J1839" s="754">
        <v>0</v>
      </c>
      <c r="K1839" s="754">
        <v>0</v>
      </c>
      <c r="L1839" s="754">
        <v>301.39999999999998</v>
      </c>
      <c r="M1839" s="754">
        <f t="shared" si="81"/>
        <v>301.39999999999998</v>
      </c>
      <c r="N1839" s="756">
        <v>1634.29</v>
      </c>
      <c r="O1839" s="720">
        <f t="shared" si="82"/>
        <v>0</v>
      </c>
    </row>
    <row r="1840" spans="1:15" outlineLevel="2" x14ac:dyDescent="0.25">
      <c r="A1840" s="207" t="str">
        <f>VLOOKUP(RIGHT(E1840,3)+0,SchLocTable!$A$2:$B$47,2,FALSE)</f>
        <v>Winthrop</v>
      </c>
      <c r="B1840" s="207" t="str">
        <f>VLOOKUP(VALUE(D1840),$D$3:F$106,3,FALSE)</f>
        <v>Physical Education</v>
      </c>
      <c r="C1840" s="751" t="s">
        <v>246</v>
      </c>
      <c r="D1840" s="751" t="s">
        <v>633</v>
      </c>
      <c r="E1840" s="751" t="s">
        <v>656</v>
      </c>
      <c r="F1840" s="751" t="s">
        <v>292</v>
      </c>
      <c r="G1840" s="752" t="s">
        <v>1681</v>
      </c>
      <c r="H1840" s="753">
        <v>52385</v>
      </c>
      <c r="I1840" s="754">
        <v>0</v>
      </c>
      <c r="J1840" s="754">
        <v>0</v>
      </c>
      <c r="K1840" s="754">
        <v>0</v>
      </c>
      <c r="L1840" s="754">
        <v>0</v>
      </c>
      <c r="M1840" s="754">
        <f t="shared" si="81"/>
        <v>0</v>
      </c>
      <c r="N1840" s="756">
        <v>0</v>
      </c>
      <c r="O1840" s="720">
        <f t="shared" si="82"/>
        <v>0</v>
      </c>
    </row>
    <row r="1841" spans="1:15" outlineLevel="2" x14ac:dyDescent="0.25">
      <c r="A1841" s="207" t="str">
        <f>VLOOKUP(RIGHT(E1841,3)+0,SchLocTable!$A$2:$B$47,2,FALSE)</f>
        <v>Winthrop</v>
      </c>
      <c r="B1841" s="207" t="str">
        <f>VLOOKUP(VALUE(D1841),$D$3:F$106,3,FALSE)</f>
        <v>Physical Education</v>
      </c>
      <c r="C1841" s="751" t="s">
        <v>246</v>
      </c>
      <c r="D1841" s="751" t="s">
        <v>633</v>
      </c>
      <c r="E1841" s="751" t="s">
        <v>656</v>
      </c>
      <c r="F1841" s="751" t="s">
        <v>259</v>
      </c>
      <c r="G1841" s="752" t="s">
        <v>1681</v>
      </c>
      <c r="H1841" s="753">
        <v>52917</v>
      </c>
      <c r="I1841" s="754">
        <v>14212.59</v>
      </c>
      <c r="J1841" s="754">
        <v>0</v>
      </c>
      <c r="K1841" s="754">
        <v>0</v>
      </c>
      <c r="L1841" s="754">
        <v>3383.95</v>
      </c>
      <c r="M1841" s="754">
        <f t="shared" si="81"/>
        <v>3383.95</v>
      </c>
      <c r="N1841" s="756">
        <v>14212.59</v>
      </c>
      <c r="O1841" s="720">
        <f t="shared" si="82"/>
        <v>0</v>
      </c>
    </row>
    <row r="1842" spans="1:15" outlineLevel="2" x14ac:dyDescent="0.25">
      <c r="A1842" s="207" t="str">
        <f>VLOOKUP(RIGHT(E1842,3)+0,SchLocTable!$A$2:$B$47,2,FALSE)</f>
        <v>Discovery</v>
      </c>
      <c r="B1842" s="207" t="str">
        <f>VLOOKUP(VALUE(D1842),$D$3:F$106,3,FALSE)</f>
        <v>Physical Education</v>
      </c>
      <c r="C1842" s="755" t="s">
        <v>246</v>
      </c>
      <c r="D1842" s="751" t="s">
        <v>633</v>
      </c>
      <c r="E1842" s="751" t="s">
        <v>657</v>
      </c>
      <c r="F1842" s="751" t="s">
        <v>248</v>
      </c>
      <c r="G1842" s="752">
        <v>1</v>
      </c>
      <c r="H1842" s="753">
        <v>51000</v>
      </c>
      <c r="I1842" s="754">
        <v>90131.39</v>
      </c>
      <c r="J1842" s="754">
        <v>0</v>
      </c>
      <c r="K1842" s="754">
        <v>0</v>
      </c>
      <c r="L1842" s="754">
        <v>17266.55</v>
      </c>
      <c r="M1842" s="754">
        <f t="shared" si="81"/>
        <v>17266.55</v>
      </c>
      <c r="N1842" s="756">
        <v>90131.39</v>
      </c>
      <c r="O1842" s="720">
        <f t="shared" si="82"/>
        <v>0</v>
      </c>
    </row>
    <row r="1843" spans="1:15" outlineLevel="2" x14ac:dyDescent="0.25">
      <c r="A1843" s="207" t="str">
        <f>VLOOKUP(RIGHT(E1843,3)+0,SchLocTable!$A$2:$B$47,2,FALSE)</f>
        <v>Discovery</v>
      </c>
      <c r="B1843" s="207" t="str">
        <f>VLOOKUP(VALUE(D1843),$D$3:F$106,3,FALSE)</f>
        <v>Physical Education</v>
      </c>
      <c r="C1843" s="751" t="s">
        <v>246</v>
      </c>
      <c r="D1843" s="751" t="s">
        <v>633</v>
      </c>
      <c r="E1843" s="751" t="s">
        <v>657</v>
      </c>
      <c r="F1843" s="751" t="s">
        <v>257</v>
      </c>
      <c r="G1843" s="752" t="s">
        <v>1681</v>
      </c>
      <c r="H1843" s="753">
        <v>51140</v>
      </c>
      <c r="I1843" s="754">
        <v>900</v>
      </c>
      <c r="J1843" s="754">
        <v>0</v>
      </c>
      <c r="K1843" s="754">
        <v>0</v>
      </c>
      <c r="L1843" s="754">
        <v>0</v>
      </c>
      <c r="M1843" s="754">
        <f t="shared" si="81"/>
        <v>0</v>
      </c>
      <c r="N1843" s="756">
        <v>900</v>
      </c>
      <c r="O1843" s="720">
        <f t="shared" si="82"/>
        <v>0</v>
      </c>
    </row>
    <row r="1844" spans="1:15" outlineLevel="2" x14ac:dyDescent="0.25">
      <c r="A1844" s="207" t="str">
        <f>VLOOKUP(RIGHT(E1844,3)+0,SchLocTable!$A$2:$B$47,2,FALSE)</f>
        <v>Discovery</v>
      </c>
      <c r="B1844" s="207" t="str">
        <f>VLOOKUP(VALUE(D1844),$D$3:F$106,3,FALSE)</f>
        <v>Physical Education</v>
      </c>
      <c r="C1844" s="751" t="s">
        <v>246</v>
      </c>
      <c r="D1844" s="751" t="s">
        <v>633</v>
      </c>
      <c r="E1844" s="751" t="s">
        <v>657</v>
      </c>
      <c r="F1844" s="751" t="s">
        <v>254</v>
      </c>
      <c r="G1844" s="752" t="s">
        <v>1681</v>
      </c>
      <c r="H1844" s="753">
        <v>52360</v>
      </c>
      <c r="I1844" s="754">
        <v>1271.26</v>
      </c>
      <c r="J1844" s="754">
        <v>0</v>
      </c>
      <c r="K1844" s="754">
        <v>0</v>
      </c>
      <c r="L1844" s="754">
        <v>214.72</v>
      </c>
      <c r="M1844" s="754">
        <f t="shared" si="81"/>
        <v>214.72</v>
      </c>
      <c r="N1844" s="756">
        <v>1271.26</v>
      </c>
      <c r="O1844" s="720">
        <f t="shared" si="82"/>
        <v>0</v>
      </c>
    </row>
    <row r="1845" spans="1:15" outlineLevel="2" x14ac:dyDescent="0.25">
      <c r="A1845" s="207" t="str">
        <f>VLOOKUP(RIGHT(E1845,3)+0,SchLocTable!$A$2:$B$47,2,FALSE)</f>
        <v>Discovery</v>
      </c>
      <c r="B1845" s="207" t="str">
        <f>VLOOKUP(VALUE(D1845),$D$3:F$106,3,FALSE)</f>
        <v>Physical Education</v>
      </c>
      <c r="C1845" s="751" t="s">
        <v>246</v>
      </c>
      <c r="D1845" s="751" t="s">
        <v>633</v>
      </c>
      <c r="E1845" s="751" t="s">
        <v>657</v>
      </c>
      <c r="F1845" s="751" t="s">
        <v>259</v>
      </c>
      <c r="G1845" s="752" t="s">
        <v>1681</v>
      </c>
      <c r="H1845" s="753">
        <v>52917</v>
      </c>
      <c r="I1845" s="754">
        <v>35075.879999999997</v>
      </c>
      <c r="J1845" s="754">
        <v>0</v>
      </c>
      <c r="K1845" s="754">
        <v>0</v>
      </c>
      <c r="L1845" s="754">
        <v>8351.4</v>
      </c>
      <c r="M1845" s="754">
        <f t="shared" si="81"/>
        <v>8351.4</v>
      </c>
      <c r="N1845" s="756">
        <v>35075.879999999997</v>
      </c>
      <c r="O1845" s="720">
        <f t="shared" si="82"/>
        <v>0</v>
      </c>
    </row>
    <row r="1846" spans="1:15" outlineLevel="2" x14ac:dyDescent="0.25">
      <c r="A1846" s="207" t="str">
        <f>VLOOKUP(RIGHT(E1846,3)+0,SchLocTable!$A$2:$B$47,2,FALSE)</f>
        <v>Cross</v>
      </c>
      <c r="B1846" s="207" t="str">
        <f>VLOOKUP(VALUE(D1846),$D$3:F$106,3,FALSE)</f>
        <v>Physical Education</v>
      </c>
      <c r="C1846" s="751" t="s">
        <v>246</v>
      </c>
      <c r="D1846" s="751" t="s">
        <v>633</v>
      </c>
      <c r="E1846" s="751" t="s">
        <v>658</v>
      </c>
      <c r="F1846" s="751" t="s">
        <v>248</v>
      </c>
      <c r="G1846" s="752">
        <v>1</v>
      </c>
      <c r="H1846" s="753">
        <v>51000</v>
      </c>
      <c r="I1846" s="754">
        <v>52764.28</v>
      </c>
      <c r="J1846" s="754">
        <v>0</v>
      </c>
      <c r="K1846" s="754">
        <v>0</v>
      </c>
      <c r="L1846" s="754">
        <v>10108.1</v>
      </c>
      <c r="M1846" s="754">
        <f t="shared" si="81"/>
        <v>10108.1</v>
      </c>
      <c r="N1846" s="756">
        <v>52764.28</v>
      </c>
      <c r="O1846" s="720">
        <f t="shared" si="82"/>
        <v>0</v>
      </c>
    </row>
    <row r="1847" spans="1:15" outlineLevel="2" x14ac:dyDescent="0.25">
      <c r="A1847" s="207" t="str">
        <f>VLOOKUP(RIGHT(E1847,3)+0,SchLocTable!$A$2:$B$47,2,FALSE)</f>
        <v>Cross</v>
      </c>
      <c r="B1847" s="207" t="str">
        <f>VLOOKUP(VALUE(D1847),$D$3:F$106,3,FALSE)</f>
        <v>Physical Education</v>
      </c>
      <c r="C1847" s="751" t="s">
        <v>246</v>
      </c>
      <c r="D1847" s="751" t="s">
        <v>633</v>
      </c>
      <c r="E1847" s="751" t="s">
        <v>658</v>
      </c>
      <c r="F1847" s="751" t="s">
        <v>254</v>
      </c>
      <c r="G1847" s="752" t="s">
        <v>1681</v>
      </c>
      <c r="H1847" s="753">
        <v>52360</v>
      </c>
      <c r="I1847" s="754">
        <v>753.04</v>
      </c>
      <c r="J1847" s="754">
        <v>0</v>
      </c>
      <c r="K1847" s="754">
        <v>0</v>
      </c>
      <c r="L1847" s="754">
        <v>134.53</v>
      </c>
      <c r="M1847" s="754">
        <f t="shared" si="81"/>
        <v>134.53</v>
      </c>
      <c r="N1847" s="756">
        <v>753.04</v>
      </c>
      <c r="O1847" s="720">
        <f t="shared" si="82"/>
        <v>0</v>
      </c>
    </row>
    <row r="1848" spans="1:15" outlineLevel="2" x14ac:dyDescent="0.25">
      <c r="A1848" s="207" t="str">
        <f>VLOOKUP(RIGHT(E1848,3)+0,SchLocTable!$A$2:$B$47,2,FALSE)</f>
        <v>Cross</v>
      </c>
      <c r="B1848" s="207" t="str">
        <f>VLOOKUP(VALUE(D1848),$D$3:F$106,3,FALSE)</f>
        <v>Physical Education</v>
      </c>
      <c r="C1848" s="751" t="s">
        <v>246</v>
      </c>
      <c r="D1848" s="751" t="s">
        <v>633</v>
      </c>
      <c r="E1848" s="751" t="s">
        <v>658</v>
      </c>
      <c r="F1848" s="751" t="s">
        <v>292</v>
      </c>
      <c r="G1848" s="752" t="s">
        <v>1681</v>
      </c>
      <c r="H1848" s="753">
        <v>52385</v>
      </c>
      <c r="I1848" s="754">
        <v>0</v>
      </c>
      <c r="J1848" s="754">
        <v>0</v>
      </c>
      <c r="K1848" s="754">
        <v>0</v>
      </c>
      <c r="L1848" s="754">
        <v>0</v>
      </c>
      <c r="M1848" s="754">
        <f t="shared" si="81"/>
        <v>0</v>
      </c>
      <c r="N1848" s="756">
        <v>0</v>
      </c>
      <c r="O1848" s="720">
        <f t="shared" si="82"/>
        <v>0</v>
      </c>
    </row>
    <row r="1849" spans="1:15" outlineLevel="1" x14ac:dyDescent="0.25">
      <c r="A1849" s="207" t="str">
        <f>VLOOKUP(RIGHT(E1849,3)+0,SchLocTable!$A$2:$B$47,2,FALSE)</f>
        <v>Cross</v>
      </c>
      <c r="B1849" s="207" t="str">
        <f>VLOOKUP(VALUE(D1849),$D$3:F$106,3,FALSE)</f>
        <v>Physical Education</v>
      </c>
      <c r="C1849" s="751" t="s">
        <v>246</v>
      </c>
      <c r="D1849" s="751" t="s">
        <v>633</v>
      </c>
      <c r="E1849" s="751" t="s">
        <v>658</v>
      </c>
      <c r="F1849" s="751" t="s">
        <v>259</v>
      </c>
      <c r="G1849" s="752" t="s">
        <v>1681</v>
      </c>
      <c r="H1849" s="753">
        <v>52917</v>
      </c>
      <c r="I1849" s="754">
        <v>11844</v>
      </c>
      <c r="J1849" s="754">
        <v>0</v>
      </c>
      <c r="K1849" s="754">
        <v>0</v>
      </c>
      <c r="L1849" s="754">
        <v>2820</v>
      </c>
      <c r="M1849" s="754">
        <f t="shared" si="81"/>
        <v>2820</v>
      </c>
      <c r="N1849" s="756">
        <v>11844</v>
      </c>
      <c r="O1849" s="720">
        <f t="shared" si="82"/>
        <v>0</v>
      </c>
    </row>
    <row r="1850" spans="1:15" outlineLevel="2" x14ac:dyDescent="0.25">
      <c r="A1850" s="207" t="str">
        <f>VLOOKUP(RIGHT(E1850,3)+0,SchLocTable!$A$2:$B$47,2,FALSE)</f>
        <v>Blackham</v>
      </c>
      <c r="B1850" s="207" t="str">
        <f>VLOOKUP(VALUE(D1850),$D$3:F$106,3,FALSE)</f>
        <v>Physical Education</v>
      </c>
      <c r="C1850" s="751" t="s">
        <v>246</v>
      </c>
      <c r="D1850" s="751" t="s">
        <v>633</v>
      </c>
      <c r="E1850" s="751" t="s">
        <v>659</v>
      </c>
      <c r="F1850" s="751" t="s">
        <v>248</v>
      </c>
      <c r="G1850" s="752">
        <v>3</v>
      </c>
      <c r="H1850" s="753">
        <v>51000</v>
      </c>
      <c r="I1850" s="754">
        <v>226380.18</v>
      </c>
      <c r="J1850" s="754">
        <v>0</v>
      </c>
      <c r="K1850" s="754">
        <v>0</v>
      </c>
      <c r="L1850" s="754">
        <v>43367.85</v>
      </c>
      <c r="M1850" s="754">
        <f t="shared" si="81"/>
        <v>43367.85</v>
      </c>
      <c r="N1850" s="756">
        <v>226380.18</v>
      </c>
      <c r="O1850" s="720">
        <f t="shared" si="82"/>
        <v>0</v>
      </c>
    </row>
    <row r="1851" spans="1:15" outlineLevel="2" x14ac:dyDescent="0.25">
      <c r="A1851" s="207" t="str">
        <f>VLOOKUP(RIGHT(E1851,3)+0,SchLocTable!$A$2:$B$47,2,FALSE)</f>
        <v>Blackham</v>
      </c>
      <c r="B1851" s="207" t="str">
        <f>VLOOKUP(VALUE(D1851),$D$3:F$106,3,FALSE)</f>
        <v>Physical Education</v>
      </c>
      <c r="C1851" s="751" t="s">
        <v>246</v>
      </c>
      <c r="D1851" s="751" t="s">
        <v>633</v>
      </c>
      <c r="E1851" s="751" t="s">
        <v>659</v>
      </c>
      <c r="F1851" s="751" t="s">
        <v>254</v>
      </c>
      <c r="G1851" s="752" t="s">
        <v>1681</v>
      </c>
      <c r="H1851" s="753">
        <v>52360</v>
      </c>
      <c r="I1851" s="754">
        <v>3199.18</v>
      </c>
      <c r="J1851" s="754">
        <v>0</v>
      </c>
      <c r="K1851" s="754">
        <v>0</v>
      </c>
      <c r="L1851" s="754">
        <v>545.5</v>
      </c>
      <c r="M1851" s="754">
        <f t="shared" si="81"/>
        <v>545.5</v>
      </c>
      <c r="N1851" s="756">
        <v>3199.18</v>
      </c>
      <c r="O1851" s="720">
        <f t="shared" si="82"/>
        <v>0</v>
      </c>
    </row>
    <row r="1852" spans="1:15" outlineLevel="2" x14ac:dyDescent="0.25">
      <c r="A1852" s="207" t="str">
        <f>VLOOKUP(RIGHT(E1852,3)+0,SchLocTable!$A$2:$B$47,2,FALSE)</f>
        <v>Blackham</v>
      </c>
      <c r="B1852" s="207" t="str">
        <f>VLOOKUP(VALUE(D1852),$D$3:F$106,3,FALSE)</f>
        <v>Physical Education</v>
      </c>
      <c r="C1852" s="751" t="s">
        <v>246</v>
      </c>
      <c r="D1852" s="751" t="s">
        <v>633</v>
      </c>
      <c r="E1852" s="751" t="s">
        <v>659</v>
      </c>
      <c r="F1852" s="751" t="s">
        <v>259</v>
      </c>
      <c r="G1852" s="752" t="s">
        <v>1681</v>
      </c>
      <c r="H1852" s="753">
        <v>52917</v>
      </c>
      <c r="I1852" s="754">
        <v>81995.759999999995</v>
      </c>
      <c r="J1852" s="754">
        <v>0</v>
      </c>
      <c r="K1852" s="754">
        <v>0</v>
      </c>
      <c r="L1852" s="754">
        <v>19522.8</v>
      </c>
      <c r="M1852" s="754">
        <f t="shared" si="81"/>
        <v>19522.8</v>
      </c>
      <c r="N1852" s="756">
        <v>81995.759999999995</v>
      </c>
      <c r="O1852" s="720">
        <f t="shared" si="82"/>
        <v>0</v>
      </c>
    </row>
    <row r="1853" spans="1:15" outlineLevel="2" x14ac:dyDescent="0.25">
      <c r="A1853" s="207" t="str">
        <f>VLOOKUP(RIGHT(E1853,3)+0,SchLocTable!$A$2:$B$47,2,FALSE)</f>
        <v>Dunbar</v>
      </c>
      <c r="B1853" s="207" t="str">
        <f>VLOOKUP(VALUE(D1853),$D$3:F$106,3,FALSE)</f>
        <v>Physical Education</v>
      </c>
      <c r="C1853" s="751" t="s">
        <v>246</v>
      </c>
      <c r="D1853" s="751" t="s">
        <v>633</v>
      </c>
      <c r="E1853" s="751" t="s">
        <v>660</v>
      </c>
      <c r="F1853" s="751" t="s">
        <v>248</v>
      </c>
      <c r="G1853" s="752">
        <v>2</v>
      </c>
      <c r="H1853" s="753">
        <v>51000</v>
      </c>
      <c r="I1853" s="754">
        <v>137576.43</v>
      </c>
      <c r="J1853" s="754">
        <v>0</v>
      </c>
      <c r="K1853" s="754">
        <v>0</v>
      </c>
      <c r="L1853" s="754">
        <v>25770.31</v>
      </c>
      <c r="M1853" s="754">
        <f t="shared" si="81"/>
        <v>25770.31</v>
      </c>
      <c r="N1853" s="756">
        <v>137576.43</v>
      </c>
      <c r="O1853" s="720">
        <f t="shared" si="82"/>
        <v>0</v>
      </c>
    </row>
    <row r="1854" spans="1:15" outlineLevel="2" x14ac:dyDescent="0.25">
      <c r="A1854" s="207" t="str">
        <f>VLOOKUP(RIGHT(E1854,3)+0,SchLocTable!$A$2:$B$47,2,FALSE)</f>
        <v>Dunbar</v>
      </c>
      <c r="B1854" s="207" t="str">
        <f>VLOOKUP(VALUE(D1854),$D$3:F$106,3,FALSE)</f>
        <v>Physical Education</v>
      </c>
      <c r="C1854" s="751" t="s">
        <v>246</v>
      </c>
      <c r="D1854" s="751" t="s">
        <v>633</v>
      </c>
      <c r="E1854" s="751" t="s">
        <v>660</v>
      </c>
      <c r="F1854" s="751" t="s">
        <v>254</v>
      </c>
      <c r="G1854" s="752" t="s">
        <v>1681</v>
      </c>
      <c r="H1854" s="753">
        <v>52360</v>
      </c>
      <c r="I1854" s="754">
        <v>1961.97</v>
      </c>
      <c r="J1854" s="754">
        <v>0</v>
      </c>
      <c r="K1854" s="754">
        <v>0</v>
      </c>
      <c r="L1854" s="754">
        <v>340.78</v>
      </c>
      <c r="M1854" s="754">
        <f t="shared" si="81"/>
        <v>340.78</v>
      </c>
      <c r="N1854" s="756">
        <v>1961.97</v>
      </c>
      <c r="O1854" s="720">
        <f t="shared" si="82"/>
        <v>0</v>
      </c>
    </row>
    <row r="1855" spans="1:15" outlineLevel="2" x14ac:dyDescent="0.25">
      <c r="A1855" s="207" t="str">
        <f>VLOOKUP(RIGHT(E1855,3)+0,SchLocTable!$A$2:$B$47,2,FALSE)</f>
        <v>Dunbar</v>
      </c>
      <c r="B1855" s="207" t="str">
        <f>VLOOKUP(VALUE(D1855),$D$3:F$106,3,FALSE)</f>
        <v>Physical Education</v>
      </c>
      <c r="C1855" s="751" t="s">
        <v>246</v>
      </c>
      <c r="D1855" s="751" t="s">
        <v>633</v>
      </c>
      <c r="E1855" s="751" t="s">
        <v>660</v>
      </c>
      <c r="F1855" s="751" t="s">
        <v>292</v>
      </c>
      <c r="G1855" s="752" t="s">
        <v>1681</v>
      </c>
      <c r="H1855" s="753">
        <v>52385</v>
      </c>
      <c r="I1855" s="754">
        <v>2876.77</v>
      </c>
      <c r="J1855" s="754">
        <v>0</v>
      </c>
      <c r="K1855" s="754">
        <v>0</v>
      </c>
      <c r="L1855" s="754">
        <v>538.42999999999995</v>
      </c>
      <c r="M1855" s="754">
        <f t="shared" ref="M1855:M1918" si="83">SUM(J1855:L1855)</f>
        <v>538.42999999999995</v>
      </c>
      <c r="N1855" s="756">
        <v>2876.77</v>
      </c>
      <c r="O1855" s="720">
        <f t="shared" ref="O1855:O1918" si="84">I1855-N1855</f>
        <v>0</v>
      </c>
    </row>
    <row r="1856" spans="1:15" outlineLevel="2" x14ac:dyDescent="0.25">
      <c r="A1856" s="207" t="str">
        <f>VLOOKUP(RIGHT(E1856,3)+0,SchLocTable!$A$2:$B$47,2,FALSE)</f>
        <v>Dunbar</v>
      </c>
      <c r="B1856" s="207" t="str">
        <f>VLOOKUP(VALUE(D1856),$D$3:F$106,3,FALSE)</f>
        <v>Physical Education</v>
      </c>
      <c r="C1856" s="755" t="s">
        <v>246</v>
      </c>
      <c r="D1856" s="751" t="s">
        <v>633</v>
      </c>
      <c r="E1856" s="751" t="s">
        <v>660</v>
      </c>
      <c r="F1856" s="751" t="s">
        <v>259</v>
      </c>
      <c r="G1856" s="752" t="s">
        <v>1681</v>
      </c>
      <c r="H1856" s="753">
        <v>52917</v>
      </c>
      <c r="I1856" s="754">
        <v>39705.83</v>
      </c>
      <c r="J1856" s="754">
        <v>0</v>
      </c>
      <c r="K1856" s="754">
        <v>0</v>
      </c>
      <c r="L1856" s="754">
        <v>7703.48</v>
      </c>
      <c r="M1856" s="754">
        <f t="shared" si="83"/>
        <v>7703.48</v>
      </c>
      <c r="N1856" s="756">
        <v>39705.83</v>
      </c>
      <c r="O1856" s="720">
        <f t="shared" si="84"/>
        <v>0</v>
      </c>
    </row>
    <row r="1857" spans="1:15" outlineLevel="2" x14ac:dyDescent="0.25">
      <c r="A1857" s="207" t="str">
        <f>VLOOKUP(RIGHT(E1857,3)+0,SchLocTable!$A$2:$B$47,2,FALSE)</f>
        <v>Curiale</v>
      </c>
      <c r="B1857" s="207" t="str">
        <f>VLOOKUP(VALUE(D1857),$D$3:F$106,3,FALSE)</f>
        <v>Physical Education</v>
      </c>
      <c r="C1857" s="751" t="s">
        <v>246</v>
      </c>
      <c r="D1857" s="751" t="s">
        <v>633</v>
      </c>
      <c r="E1857" s="751" t="s">
        <v>661</v>
      </c>
      <c r="F1857" s="751" t="s">
        <v>248</v>
      </c>
      <c r="G1857" s="752">
        <v>2</v>
      </c>
      <c r="H1857" s="753">
        <v>51000</v>
      </c>
      <c r="I1857" s="754">
        <v>163352.07</v>
      </c>
      <c r="J1857" s="754">
        <v>0</v>
      </c>
      <c r="K1857" s="754">
        <v>0</v>
      </c>
      <c r="L1857" s="754">
        <v>31293.5</v>
      </c>
      <c r="M1857" s="754">
        <f t="shared" si="83"/>
        <v>31293.5</v>
      </c>
      <c r="N1857" s="756">
        <v>163352.07</v>
      </c>
      <c r="O1857" s="720">
        <f t="shared" si="84"/>
        <v>0</v>
      </c>
    </row>
    <row r="1858" spans="1:15" outlineLevel="2" x14ac:dyDescent="0.25">
      <c r="A1858" s="207" t="str">
        <f>VLOOKUP(RIGHT(E1858,3)+0,SchLocTable!$A$2:$B$47,2,FALSE)</f>
        <v>Curiale</v>
      </c>
      <c r="B1858" s="207" t="str">
        <f>VLOOKUP(VALUE(D1858),$D$3:F$106,3,FALSE)</f>
        <v>Physical Education</v>
      </c>
      <c r="C1858" s="751" t="s">
        <v>246</v>
      </c>
      <c r="D1858" s="751" t="s">
        <v>633</v>
      </c>
      <c r="E1858" s="751" t="s">
        <v>661</v>
      </c>
      <c r="F1858" s="751" t="s">
        <v>257</v>
      </c>
      <c r="G1858" s="752" t="s">
        <v>1681</v>
      </c>
      <c r="H1858" s="753">
        <v>51140</v>
      </c>
      <c r="I1858" s="754">
        <v>900</v>
      </c>
      <c r="J1858" s="754">
        <v>0</v>
      </c>
      <c r="K1858" s="754">
        <v>0</v>
      </c>
      <c r="L1858" s="754">
        <v>0</v>
      </c>
      <c r="M1858" s="754">
        <f t="shared" si="83"/>
        <v>0</v>
      </c>
      <c r="N1858" s="756">
        <v>900</v>
      </c>
      <c r="O1858" s="720">
        <f t="shared" si="84"/>
        <v>0</v>
      </c>
    </row>
    <row r="1859" spans="1:15" outlineLevel="2" x14ac:dyDescent="0.25">
      <c r="A1859" s="207" t="str">
        <f>VLOOKUP(RIGHT(E1859,3)+0,SchLocTable!$A$2:$B$47,2,FALSE)</f>
        <v>Curiale</v>
      </c>
      <c r="B1859" s="207" t="str">
        <f>VLOOKUP(VALUE(D1859),$D$3:F$106,3,FALSE)</f>
        <v>Physical Education</v>
      </c>
      <c r="C1859" s="751" t="s">
        <v>246</v>
      </c>
      <c r="D1859" s="751" t="s">
        <v>633</v>
      </c>
      <c r="E1859" s="751" t="s">
        <v>661</v>
      </c>
      <c r="F1859" s="751" t="s">
        <v>254</v>
      </c>
      <c r="G1859" s="752" t="s">
        <v>1681</v>
      </c>
      <c r="H1859" s="753">
        <v>52360</v>
      </c>
      <c r="I1859" s="754">
        <v>2297.31</v>
      </c>
      <c r="J1859" s="754">
        <v>0</v>
      </c>
      <c r="K1859" s="754">
        <v>0</v>
      </c>
      <c r="L1859" s="754">
        <v>382.46</v>
      </c>
      <c r="M1859" s="754">
        <f t="shared" si="83"/>
        <v>382.46</v>
      </c>
      <c r="N1859" s="756">
        <v>2297.31</v>
      </c>
      <c r="O1859" s="720">
        <f t="shared" si="84"/>
        <v>0</v>
      </c>
    </row>
    <row r="1860" spans="1:15" outlineLevel="2" x14ac:dyDescent="0.25">
      <c r="A1860" s="207" t="str">
        <f>VLOOKUP(RIGHT(E1860,3)+0,SchLocTable!$A$2:$B$47,2,FALSE)</f>
        <v>Curiale</v>
      </c>
      <c r="B1860" s="207" t="str">
        <f>VLOOKUP(VALUE(D1860),$D$3:F$106,3,FALSE)</f>
        <v>Physical Education</v>
      </c>
      <c r="C1860" s="751" t="s">
        <v>246</v>
      </c>
      <c r="D1860" s="751" t="s">
        <v>633</v>
      </c>
      <c r="E1860" s="751" t="s">
        <v>661</v>
      </c>
      <c r="F1860" s="751" t="s">
        <v>259</v>
      </c>
      <c r="G1860" s="752" t="s">
        <v>1681</v>
      </c>
      <c r="H1860" s="753">
        <v>52917</v>
      </c>
      <c r="I1860" s="754">
        <v>70151.759999999995</v>
      </c>
      <c r="J1860" s="754">
        <v>0</v>
      </c>
      <c r="K1860" s="754">
        <v>0</v>
      </c>
      <c r="L1860" s="754">
        <v>16702.8</v>
      </c>
      <c r="M1860" s="754">
        <f t="shared" si="83"/>
        <v>16702.8</v>
      </c>
      <c r="N1860" s="756">
        <v>70151.759999999995</v>
      </c>
      <c r="O1860" s="720">
        <f t="shared" si="84"/>
        <v>0</v>
      </c>
    </row>
    <row r="1861" spans="1:15" outlineLevel="2" x14ac:dyDescent="0.25">
      <c r="A1861" s="207" t="str">
        <f>VLOOKUP(RIGHT(E1861,3)+0,SchLocTable!$A$2:$B$47,2,FALSE)</f>
        <v>Bassick HS</v>
      </c>
      <c r="B1861" s="207" t="str">
        <f>VLOOKUP(VALUE(D1861),$D$3:F$106,3,FALSE)</f>
        <v>Physical Education</v>
      </c>
      <c r="C1861" s="751" t="s">
        <v>246</v>
      </c>
      <c r="D1861" s="751" t="s">
        <v>633</v>
      </c>
      <c r="E1861" s="751" t="s">
        <v>662</v>
      </c>
      <c r="F1861" s="751" t="s">
        <v>248</v>
      </c>
      <c r="G1861" s="752">
        <v>3</v>
      </c>
      <c r="H1861" s="753">
        <v>51000</v>
      </c>
      <c r="I1861" s="754">
        <v>275730.32</v>
      </c>
      <c r="J1861" s="754">
        <v>0</v>
      </c>
      <c r="K1861" s="754">
        <v>0</v>
      </c>
      <c r="L1861" s="754">
        <v>52821.9</v>
      </c>
      <c r="M1861" s="754">
        <f t="shared" si="83"/>
        <v>52821.9</v>
      </c>
      <c r="N1861" s="756">
        <v>275730.32</v>
      </c>
      <c r="O1861" s="720">
        <f t="shared" si="84"/>
        <v>0</v>
      </c>
    </row>
    <row r="1862" spans="1:15" outlineLevel="2" x14ac:dyDescent="0.25">
      <c r="A1862" s="207" t="str">
        <f>VLOOKUP(RIGHT(E1862,3)+0,SchLocTable!$A$2:$B$47,2,FALSE)</f>
        <v>Bassick HS</v>
      </c>
      <c r="B1862" s="207" t="str">
        <f>VLOOKUP(VALUE(D1862),$D$3:F$106,3,FALSE)</f>
        <v>Physical Education</v>
      </c>
      <c r="C1862" s="751" t="s">
        <v>246</v>
      </c>
      <c r="D1862" s="751" t="s">
        <v>633</v>
      </c>
      <c r="E1862" s="751" t="s">
        <v>662</v>
      </c>
      <c r="F1862" s="751" t="s">
        <v>257</v>
      </c>
      <c r="G1862" s="752" t="s">
        <v>1681</v>
      </c>
      <c r="H1862" s="753">
        <v>51140</v>
      </c>
      <c r="I1862" s="754">
        <v>2200</v>
      </c>
      <c r="J1862" s="754">
        <v>0</v>
      </c>
      <c r="K1862" s="754">
        <v>0</v>
      </c>
      <c r="L1862" s="754">
        <v>0</v>
      </c>
      <c r="M1862" s="754">
        <f t="shared" si="83"/>
        <v>0</v>
      </c>
      <c r="N1862" s="756">
        <v>2200</v>
      </c>
      <c r="O1862" s="720">
        <f t="shared" si="84"/>
        <v>0</v>
      </c>
    </row>
    <row r="1863" spans="1:15" outlineLevel="2" x14ac:dyDescent="0.25">
      <c r="A1863" s="207" t="str">
        <f>VLOOKUP(RIGHT(E1863,3)+0,SchLocTable!$A$2:$B$47,2,FALSE)</f>
        <v>Bassick HS</v>
      </c>
      <c r="B1863" s="207" t="str">
        <f>VLOOKUP(VALUE(D1863),$D$3:F$106,3,FALSE)</f>
        <v>Physical Education</v>
      </c>
      <c r="C1863" s="751" t="s">
        <v>246</v>
      </c>
      <c r="D1863" s="751" t="s">
        <v>633</v>
      </c>
      <c r="E1863" s="751" t="s">
        <v>662</v>
      </c>
      <c r="F1863" s="751" t="s">
        <v>254</v>
      </c>
      <c r="G1863" s="752" t="s">
        <v>1681</v>
      </c>
      <c r="H1863" s="753">
        <v>52360</v>
      </c>
      <c r="I1863" s="754">
        <v>3891.15</v>
      </c>
      <c r="J1863" s="754">
        <v>0</v>
      </c>
      <c r="K1863" s="754">
        <v>0</v>
      </c>
      <c r="L1863" s="754">
        <v>658.98</v>
      </c>
      <c r="M1863" s="754">
        <f t="shared" si="83"/>
        <v>658.98</v>
      </c>
      <c r="N1863" s="756">
        <v>3891.15</v>
      </c>
      <c r="O1863" s="720">
        <f t="shared" si="84"/>
        <v>0</v>
      </c>
    </row>
    <row r="1864" spans="1:15" outlineLevel="2" x14ac:dyDescent="0.25">
      <c r="A1864" s="207" t="str">
        <f>VLOOKUP(RIGHT(E1864,3)+0,SchLocTable!$A$2:$B$47,2,FALSE)</f>
        <v>Bassick HS</v>
      </c>
      <c r="B1864" s="207" t="str">
        <f>VLOOKUP(VALUE(D1864),$D$3:F$106,3,FALSE)</f>
        <v>Physical Education</v>
      </c>
      <c r="C1864" s="755" t="s">
        <v>246</v>
      </c>
      <c r="D1864" s="751" t="s">
        <v>633</v>
      </c>
      <c r="E1864" s="751" t="s">
        <v>662</v>
      </c>
      <c r="F1864" s="751" t="s">
        <v>259</v>
      </c>
      <c r="G1864" s="752" t="s">
        <v>1681</v>
      </c>
      <c r="H1864" s="753">
        <v>52917</v>
      </c>
      <c r="I1864" s="754">
        <v>105227.64</v>
      </c>
      <c r="J1864" s="754">
        <v>0</v>
      </c>
      <c r="K1864" s="754">
        <v>0</v>
      </c>
      <c r="L1864" s="754">
        <v>25054.2</v>
      </c>
      <c r="M1864" s="754">
        <f t="shared" si="83"/>
        <v>25054.2</v>
      </c>
      <c r="N1864" s="756">
        <v>105227.64</v>
      </c>
      <c r="O1864" s="720">
        <f t="shared" si="84"/>
        <v>0</v>
      </c>
    </row>
    <row r="1865" spans="1:15" outlineLevel="2" x14ac:dyDescent="0.25">
      <c r="A1865" s="207" t="str">
        <f>VLOOKUP(RIGHT(E1865,3)+0,SchLocTable!$A$2:$B$47,2,FALSE)</f>
        <v>Central HS</v>
      </c>
      <c r="B1865" s="207" t="str">
        <f>VLOOKUP(VALUE(D1865),$D$3:F$106,3,FALSE)</f>
        <v>Physical Education</v>
      </c>
      <c r="C1865" s="751" t="s">
        <v>246</v>
      </c>
      <c r="D1865" s="751" t="s">
        <v>633</v>
      </c>
      <c r="E1865" s="751" t="s">
        <v>663</v>
      </c>
      <c r="F1865" s="751" t="s">
        <v>248</v>
      </c>
      <c r="G1865" s="752">
        <v>4</v>
      </c>
      <c r="H1865" s="753">
        <v>51000</v>
      </c>
      <c r="I1865" s="754">
        <v>291647.40000000002</v>
      </c>
      <c r="J1865" s="754">
        <v>0</v>
      </c>
      <c r="K1865" s="754">
        <v>0</v>
      </c>
      <c r="L1865" s="754">
        <v>62467.1</v>
      </c>
      <c r="M1865" s="754">
        <f t="shared" si="83"/>
        <v>62467.1</v>
      </c>
      <c r="N1865" s="756">
        <v>291647.40000000002</v>
      </c>
      <c r="O1865" s="720">
        <f t="shared" si="84"/>
        <v>0</v>
      </c>
    </row>
    <row r="1866" spans="1:15" outlineLevel="2" x14ac:dyDescent="0.25">
      <c r="A1866" s="207" t="str">
        <f>VLOOKUP(RIGHT(E1866,3)+0,SchLocTable!$A$2:$B$47,2,FALSE)</f>
        <v>Central HS</v>
      </c>
      <c r="B1866" s="207" t="str">
        <f>VLOOKUP(VALUE(D1866),$D$3:F$106,3,FALSE)</f>
        <v>Physical Education</v>
      </c>
      <c r="C1866" s="751" t="s">
        <v>246</v>
      </c>
      <c r="D1866" s="751" t="s">
        <v>633</v>
      </c>
      <c r="E1866" s="751" t="s">
        <v>663</v>
      </c>
      <c r="F1866" s="751" t="s">
        <v>257</v>
      </c>
      <c r="G1866" s="752" t="s">
        <v>1681</v>
      </c>
      <c r="H1866" s="753">
        <v>51140</v>
      </c>
      <c r="I1866" s="754">
        <v>1800</v>
      </c>
      <c r="J1866" s="754">
        <v>0</v>
      </c>
      <c r="K1866" s="754">
        <v>0</v>
      </c>
      <c r="L1866" s="754">
        <v>0</v>
      </c>
      <c r="M1866" s="754">
        <f t="shared" si="83"/>
        <v>0</v>
      </c>
      <c r="N1866" s="756">
        <v>1800</v>
      </c>
      <c r="O1866" s="720">
        <f t="shared" si="84"/>
        <v>0</v>
      </c>
    </row>
    <row r="1867" spans="1:15" outlineLevel="2" x14ac:dyDescent="0.25">
      <c r="A1867" s="207" t="str">
        <f>VLOOKUP(RIGHT(E1867,3)+0,SchLocTable!$A$2:$B$47,2,FALSE)</f>
        <v>Central HS</v>
      </c>
      <c r="B1867" s="207" t="str">
        <f>VLOOKUP(VALUE(D1867),$D$3:F$106,3,FALSE)</f>
        <v>Physical Education</v>
      </c>
      <c r="C1867" s="751" t="s">
        <v>246</v>
      </c>
      <c r="D1867" s="751" t="s">
        <v>633</v>
      </c>
      <c r="E1867" s="751" t="s">
        <v>663</v>
      </c>
      <c r="F1867" s="751" t="s">
        <v>252</v>
      </c>
      <c r="G1867" s="752" t="s">
        <v>1681</v>
      </c>
      <c r="H1867" s="753">
        <v>51154</v>
      </c>
      <c r="I1867" s="754">
        <v>0</v>
      </c>
      <c r="J1867" s="754">
        <v>0</v>
      </c>
      <c r="K1867" s="754">
        <v>0</v>
      </c>
      <c r="L1867" s="754">
        <v>0</v>
      </c>
      <c r="M1867" s="754">
        <f t="shared" si="83"/>
        <v>0</v>
      </c>
      <c r="N1867" s="756">
        <v>0</v>
      </c>
      <c r="O1867" s="720">
        <f t="shared" si="84"/>
        <v>0</v>
      </c>
    </row>
    <row r="1868" spans="1:15" outlineLevel="2" x14ac:dyDescent="0.25">
      <c r="A1868" s="207" t="str">
        <f>VLOOKUP(RIGHT(E1868,3)+0,SchLocTable!$A$2:$B$47,2,FALSE)</f>
        <v>Central HS</v>
      </c>
      <c r="B1868" s="207" t="str">
        <f>VLOOKUP(VALUE(D1868),$D$3:F$106,3,FALSE)</f>
        <v>Physical Education</v>
      </c>
      <c r="C1868" s="751" t="s">
        <v>246</v>
      </c>
      <c r="D1868" s="751" t="s">
        <v>633</v>
      </c>
      <c r="E1868" s="751" t="s">
        <v>663</v>
      </c>
      <c r="F1868" s="751" t="s">
        <v>254</v>
      </c>
      <c r="G1868" s="752" t="s">
        <v>1681</v>
      </c>
      <c r="H1868" s="753">
        <v>52360</v>
      </c>
      <c r="I1868" s="754">
        <v>4167.75</v>
      </c>
      <c r="J1868" s="754">
        <v>0</v>
      </c>
      <c r="K1868" s="754">
        <v>0</v>
      </c>
      <c r="L1868" s="754">
        <v>844.64</v>
      </c>
      <c r="M1868" s="754">
        <f t="shared" si="83"/>
        <v>844.64</v>
      </c>
      <c r="N1868" s="756">
        <v>4167.75</v>
      </c>
      <c r="O1868" s="720">
        <f t="shared" si="84"/>
        <v>0</v>
      </c>
    </row>
    <row r="1869" spans="1:15" outlineLevel="2" x14ac:dyDescent="0.25">
      <c r="A1869" s="207" t="str">
        <f>VLOOKUP(RIGHT(E1869,3)+0,SchLocTable!$A$2:$B$47,2,FALSE)</f>
        <v>Central HS</v>
      </c>
      <c r="B1869" s="207" t="str">
        <f>VLOOKUP(VALUE(D1869),$D$3:F$106,3,FALSE)</f>
        <v>Physical Education</v>
      </c>
      <c r="C1869" s="751" t="s">
        <v>246</v>
      </c>
      <c r="D1869" s="751" t="s">
        <v>633</v>
      </c>
      <c r="E1869" s="751" t="s">
        <v>663</v>
      </c>
      <c r="F1869" s="751" t="s">
        <v>259</v>
      </c>
      <c r="G1869" s="752" t="s">
        <v>1681</v>
      </c>
      <c r="H1869" s="753">
        <v>52917</v>
      </c>
      <c r="I1869" s="754">
        <v>67267.320000000007</v>
      </c>
      <c r="J1869" s="754">
        <v>0</v>
      </c>
      <c r="K1869" s="754">
        <v>0</v>
      </c>
      <c r="L1869" s="754">
        <v>13470.84</v>
      </c>
      <c r="M1869" s="754">
        <f t="shared" si="83"/>
        <v>13470.84</v>
      </c>
      <c r="N1869" s="756">
        <v>67267.320000000007</v>
      </c>
      <c r="O1869" s="720">
        <f t="shared" si="84"/>
        <v>0</v>
      </c>
    </row>
    <row r="1870" spans="1:15" outlineLevel="2" x14ac:dyDescent="0.25">
      <c r="A1870" s="207" t="str">
        <f>VLOOKUP(RIGHT(E1870,3)+0,SchLocTable!$A$2:$B$47,2,FALSE)</f>
        <v>Harding HS</v>
      </c>
      <c r="B1870" s="207" t="str">
        <f>VLOOKUP(VALUE(D1870),$D$3:F$106,3,FALSE)</f>
        <v>Physical Education</v>
      </c>
      <c r="C1870" s="751" t="s">
        <v>246</v>
      </c>
      <c r="D1870" s="751" t="s">
        <v>633</v>
      </c>
      <c r="E1870" s="751" t="s">
        <v>664</v>
      </c>
      <c r="F1870" s="751" t="s">
        <v>248</v>
      </c>
      <c r="G1870" s="752">
        <v>4</v>
      </c>
      <c r="H1870" s="753">
        <v>51000</v>
      </c>
      <c r="I1870" s="754">
        <v>325130.57</v>
      </c>
      <c r="J1870" s="754">
        <v>0</v>
      </c>
      <c r="K1870" s="754">
        <v>0</v>
      </c>
      <c r="L1870" s="754">
        <v>62285.55</v>
      </c>
      <c r="M1870" s="754">
        <f t="shared" si="83"/>
        <v>62285.55</v>
      </c>
      <c r="N1870" s="756">
        <v>325130.57</v>
      </c>
      <c r="O1870" s="720">
        <f t="shared" si="84"/>
        <v>0</v>
      </c>
    </row>
    <row r="1871" spans="1:15" outlineLevel="2" x14ac:dyDescent="0.25">
      <c r="A1871" s="207" t="str">
        <f>VLOOKUP(RIGHT(E1871,3)+0,SchLocTable!$A$2:$B$47,2,FALSE)</f>
        <v>Harding HS</v>
      </c>
      <c r="B1871" s="207" t="str">
        <f>VLOOKUP(VALUE(D1871),$D$3:F$106,3,FALSE)</f>
        <v>Physical Education</v>
      </c>
      <c r="C1871" s="751" t="s">
        <v>246</v>
      </c>
      <c r="D1871" s="751" t="s">
        <v>633</v>
      </c>
      <c r="E1871" s="751" t="s">
        <v>664</v>
      </c>
      <c r="F1871" s="751" t="s">
        <v>257</v>
      </c>
      <c r="G1871" s="752" t="s">
        <v>1681</v>
      </c>
      <c r="H1871" s="753">
        <v>51140</v>
      </c>
      <c r="I1871" s="754">
        <v>1800</v>
      </c>
      <c r="J1871" s="754">
        <v>0</v>
      </c>
      <c r="K1871" s="754">
        <v>0</v>
      </c>
      <c r="L1871" s="754">
        <v>0</v>
      </c>
      <c r="M1871" s="754">
        <f t="shared" si="83"/>
        <v>0</v>
      </c>
      <c r="N1871" s="756">
        <v>1800</v>
      </c>
      <c r="O1871" s="720">
        <f t="shared" si="84"/>
        <v>0</v>
      </c>
    </row>
    <row r="1872" spans="1:15" outlineLevel="2" x14ac:dyDescent="0.25">
      <c r="A1872" s="207" t="str">
        <f>VLOOKUP(RIGHT(E1872,3)+0,SchLocTable!$A$2:$B$47,2,FALSE)</f>
        <v>Harding HS</v>
      </c>
      <c r="B1872" s="207" t="str">
        <f>VLOOKUP(VALUE(D1872),$D$3:F$106,3,FALSE)</f>
        <v>Physical Education</v>
      </c>
      <c r="C1872" s="751" t="s">
        <v>246</v>
      </c>
      <c r="D1872" s="751" t="s">
        <v>633</v>
      </c>
      <c r="E1872" s="751" t="s">
        <v>664</v>
      </c>
      <c r="F1872" s="751" t="s">
        <v>254</v>
      </c>
      <c r="G1872" s="752" t="s">
        <v>1681</v>
      </c>
      <c r="H1872" s="753">
        <v>52360</v>
      </c>
      <c r="I1872" s="754">
        <v>4618.74</v>
      </c>
      <c r="J1872" s="754">
        <v>0</v>
      </c>
      <c r="K1872" s="754">
        <v>0</v>
      </c>
      <c r="L1872" s="754">
        <v>807.49</v>
      </c>
      <c r="M1872" s="754">
        <f t="shared" si="83"/>
        <v>807.49</v>
      </c>
      <c r="N1872" s="756">
        <v>4618.74</v>
      </c>
      <c r="O1872" s="720">
        <f t="shared" si="84"/>
        <v>0</v>
      </c>
    </row>
    <row r="1873" spans="1:15" outlineLevel="2" x14ac:dyDescent="0.25">
      <c r="A1873" s="207" t="str">
        <f>VLOOKUP(RIGHT(E1873,3)+0,SchLocTable!$A$2:$B$47,2,FALSE)</f>
        <v>Harding HS</v>
      </c>
      <c r="B1873" s="207" t="str">
        <f>VLOOKUP(VALUE(D1873),$D$3:F$106,3,FALSE)</f>
        <v>Physical Education</v>
      </c>
      <c r="C1873" s="755" t="s">
        <v>246</v>
      </c>
      <c r="D1873" s="751" t="s">
        <v>633</v>
      </c>
      <c r="E1873" s="751" t="s">
        <v>664</v>
      </c>
      <c r="F1873" s="751" t="s">
        <v>259</v>
      </c>
      <c r="G1873" s="752" t="s">
        <v>1681</v>
      </c>
      <c r="H1873" s="753">
        <v>52917</v>
      </c>
      <c r="I1873" s="754">
        <v>94279.08</v>
      </c>
      <c r="J1873" s="754">
        <v>0</v>
      </c>
      <c r="K1873" s="754">
        <v>0</v>
      </c>
      <c r="L1873" s="754">
        <v>22447.4</v>
      </c>
      <c r="M1873" s="754">
        <f t="shared" si="83"/>
        <v>22447.4</v>
      </c>
      <c r="N1873" s="756">
        <v>94279.08</v>
      </c>
      <c r="O1873" s="720">
        <f t="shared" si="84"/>
        <v>0</v>
      </c>
    </row>
    <row r="1874" spans="1:15" outlineLevel="2" x14ac:dyDescent="0.25">
      <c r="A1874" s="207" t="str">
        <f>VLOOKUP(RIGHT(E1874,3)+0,SchLocTable!$A$2:$B$47,2,FALSE)</f>
        <v>Physical Science HS</v>
      </c>
      <c r="B1874" s="207" t="str">
        <f>VLOOKUP(VALUE(D1874),$D$3:F$106,3,FALSE)</f>
        <v>Health</v>
      </c>
      <c r="C1874" s="751" t="s">
        <v>246</v>
      </c>
      <c r="D1874" s="751" t="s">
        <v>665</v>
      </c>
      <c r="E1874" s="751" t="s">
        <v>666</v>
      </c>
      <c r="F1874" s="751" t="s">
        <v>248</v>
      </c>
      <c r="G1874" s="752">
        <v>1</v>
      </c>
      <c r="H1874" s="753">
        <v>51000</v>
      </c>
      <c r="I1874" s="754">
        <v>84260.72</v>
      </c>
      <c r="J1874" s="754">
        <v>0</v>
      </c>
      <c r="K1874" s="754">
        <v>0</v>
      </c>
      <c r="L1874" s="754">
        <v>16141.9</v>
      </c>
      <c r="M1874" s="754">
        <f t="shared" si="83"/>
        <v>16141.9</v>
      </c>
      <c r="N1874" s="756">
        <v>84260.72</v>
      </c>
      <c r="O1874" s="720">
        <f t="shared" si="84"/>
        <v>0</v>
      </c>
    </row>
    <row r="1875" spans="1:15" outlineLevel="2" x14ac:dyDescent="0.25">
      <c r="A1875" s="207" t="str">
        <f>VLOOKUP(RIGHT(E1875,3)+0,SchLocTable!$A$2:$B$47,2,FALSE)</f>
        <v>Physical Science HS</v>
      </c>
      <c r="B1875" s="207" t="str">
        <f>VLOOKUP(VALUE(D1875),$D$3:F$106,3,FALSE)</f>
        <v>Health</v>
      </c>
      <c r="C1875" s="751" t="s">
        <v>246</v>
      </c>
      <c r="D1875" s="751" t="s">
        <v>665</v>
      </c>
      <c r="E1875" s="751" t="s">
        <v>666</v>
      </c>
      <c r="F1875" s="751" t="s">
        <v>254</v>
      </c>
      <c r="G1875" s="752" t="s">
        <v>1681</v>
      </c>
      <c r="H1875" s="753">
        <v>52360</v>
      </c>
      <c r="I1875" s="754">
        <v>1186.1300000000001</v>
      </c>
      <c r="J1875" s="754">
        <v>0</v>
      </c>
      <c r="K1875" s="754">
        <v>0</v>
      </c>
      <c r="L1875" s="754">
        <v>198.41</v>
      </c>
      <c r="M1875" s="754">
        <f t="shared" si="83"/>
        <v>198.41</v>
      </c>
      <c r="N1875" s="756">
        <v>1186.1300000000001</v>
      </c>
      <c r="O1875" s="720">
        <f t="shared" si="84"/>
        <v>0</v>
      </c>
    </row>
    <row r="1876" spans="1:15" outlineLevel="2" x14ac:dyDescent="0.25">
      <c r="A1876" s="207" t="str">
        <f>VLOOKUP(RIGHT(E1876,3)+0,SchLocTable!$A$2:$B$47,2,FALSE)</f>
        <v>Physical Science HS</v>
      </c>
      <c r="B1876" s="207" t="str">
        <f>VLOOKUP(VALUE(D1876),$D$3:F$106,3,FALSE)</f>
        <v>Health</v>
      </c>
      <c r="C1876" s="751" t="s">
        <v>246</v>
      </c>
      <c r="D1876" s="751" t="s">
        <v>665</v>
      </c>
      <c r="E1876" s="751" t="s">
        <v>666</v>
      </c>
      <c r="F1876" s="751" t="s">
        <v>259</v>
      </c>
      <c r="G1876" s="752" t="s">
        <v>1681</v>
      </c>
      <c r="H1876" s="753">
        <v>52917</v>
      </c>
      <c r="I1876" s="754">
        <v>35075.879999999997</v>
      </c>
      <c r="J1876" s="754">
        <v>0</v>
      </c>
      <c r="K1876" s="754">
        <v>0</v>
      </c>
      <c r="L1876" s="754">
        <v>8351.4</v>
      </c>
      <c r="M1876" s="754">
        <f t="shared" si="83"/>
        <v>8351.4</v>
      </c>
      <c r="N1876" s="756">
        <v>35075.879999999997</v>
      </c>
      <c r="O1876" s="720">
        <f t="shared" si="84"/>
        <v>0</v>
      </c>
    </row>
    <row r="1877" spans="1:15" outlineLevel="2" x14ac:dyDescent="0.25">
      <c r="A1877" s="207" t="str">
        <f>VLOOKUP(RIGHT(E1877,3)+0,SchLocTable!$A$2:$B$47,2,FALSE)</f>
        <v>Roosevelt</v>
      </c>
      <c r="B1877" s="207" t="str">
        <f>VLOOKUP(VALUE(D1877),$D$3:F$106,3,FALSE)</f>
        <v>Health</v>
      </c>
      <c r="C1877" s="751" t="s">
        <v>246</v>
      </c>
      <c r="D1877" s="751" t="s">
        <v>665</v>
      </c>
      <c r="E1877" s="751" t="s">
        <v>1753</v>
      </c>
      <c r="F1877" s="751" t="s">
        <v>248</v>
      </c>
      <c r="G1877" s="752">
        <v>1</v>
      </c>
      <c r="H1877" s="753">
        <v>51000</v>
      </c>
      <c r="I1877" s="754">
        <v>103153.2</v>
      </c>
      <c r="J1877" s="754">
        <v>0</v>
      </c>
      <c r="K1877" s="754">
        <v>0</v>
      </c>
      <c r="L1877" s="754">
        <v>19761.150000000001</v>
      </c>
      <c r="M1877" s="754">
        <f t="shared" si="83"/>
        <v>19761.150000000001</v>
      </c>
      <c r="N1877" s="756">
        <v>103153.2</v>
      </c>
      <c r="O1877" s="720">
        <f t="shared" si="84"/>
        <v>0</v>
      </c>
    </row>
    <row r="1878" spans="1:15" outlineLevel="2" x14ac:dyDescent="0.25">
      <c r="A1878" s="207" t="str">
        <f>VLOOKUP(RIGHT(E1878,3)+0,SchLocTable!$A$2:$B$47,2,FALSE)</f>
        <v>Roosevelt</v>
      </c>
      <c r="B1878" s="207" t="str">
        <f>VLOOKUP(VALUE(D1878),$D$3:F$106,3,FALSE)</f>
        <v>Health</v>
      </c>
      <c r="C1878" s="751" t="s">
        <v>246</v>
      </c>
      <c r="D1878" s="751" t="s">
        <v>665</v>
      </c>
      <c r="E1878" s="751" t="s">
        <v>1753</v>
      </c>
      <c r="F1878" s="751" t="s">
        <v>257</v>
      </c>
      <c r="G1878" s="752" t="s">
        <v>1681</v>
      </c>
      <c r="H1878" s="753">
        <v>51140</v>
      </c>
      <c r="I1878" s="754">
        <v>1200</v>
      </c>
      <c r="J1878" s="754">
        <v>0</v>
      </c>
      <c r="K1878" s="754">
        <v>0</v>
      </c>
      <c r="L1878" s="754">
        <v>0</v>
      </c>
      <c r="M1878" s="754">
        <f t="shared" si="83"/>
        <v>0</v>
      </c>
      <c r="N1878" s="756">
        <v>1200</v>
      </c>
      <c r="O1878" s="720">
        <f t="shared" si="84"/>
        <v>0</v>
      </c>
    </row>
    <row r="1879" spans="1:15" outlineLevel="2" x14ac:dyDescent="0.25">
      <c r="A1879" s="207" t="str">
        <f>VLOOKUP(RIGHT(E1879,3)+0,SchLocTable!$A$2:$B$47,2,FALSE)</f>
        <v>Roosevelt</v>
      </c>
      <c r="B1879" s="207" t="str">
        <f>VLOOKUP(VALUE(D1879),$D$3:F$106,3,FALSE)</f>
        <v>Health</v>
      </c>
      <c r="C1879" s="751" t="s">
        <v>246</v>
      </c>
      <c r="D1879" s="751" t="s">
        <v>665</v>
      </c>
      <c r="E1879" s="751" t="s">
        <v>1753</v>
      </c>
      <c r="F1879" s="751" t="s">
        <v>254</v>
      </c>
      <c r="G1879" s="752" t="s">
        <v>1681</v>
      </c>
      <c r="H1879" s="753">
        <v>52360</v>
      </c>
      <c r="I1879" s="754">
        <v>1460.07</v>
      </c>
      <c r="J1879" s="754">
        <v>0</v>
      </c>
      <c r="K1879" s="754">
        <v>0</v>
      </c>
      <c r="L1879" s="754">
        <v>250.89</v>
      </c>
      <c r="M1879" s="754">
        <f t="shared" si="83"/>
        <v>250.89</v>
      </c>
      <c r="N1879" s="756">
        <v>1460.07</v>
      </c>
      <c r="O1879" s="720">
        <f t="shared" si="84"/>
        <v>0</v>
      </c>
    </row>
    <row r="1880" spans="1:15" outlineLevel="2" x14ac:dyDescent="0.25">
      <c r="A1880" s="207" t="str">
        <f>VLOOKUP(RIGHT(E1880,3)+0,SchLocTable!$A$2:$B$47,2,FALSE)</f>
        <v>Roosevelt</v>
      </c>
      <c r="B1880" s="207" t="str">
        <f>VLOOKUP(VALUE(D1880),$D$3:F$106,3,FALSE)</f>
        <v>Health</v>
      </c>
      <c r="C1880" s="755" t="s">
        <v>246</v>
      </c>
      <c r="D1880" s="751" t="s">
        <v>665</v>
      </c>
      <c r="E1880" s="751" t="s">
        <v>1753</v>
      </c>
      <c r="F1880" s="751" t="s">
        <v>259</v>
      </c>
      <c r="G1880" s="752" t="s">
        <v>1681</v>
      </c>
      <c r="H1880" s="753">
        <v>52917</v>
      </c>
      <c r="I1880" s="754">
        <v>35075.879999999997</v>
      </c>
      <c r="J1880" s="754">
        <v>0</v>
      </c>
      <c r="K1880" s="754">
        <v>0</v>
      </c>
      <c r="L1880" s="754">
        <v>8351.4</v>
      </c>
      <c r="M1880" s="754">
        <f t="shared" si="83"/>
        <v>8351.4</v>
      </c>
      <c r="N1880" s="756">
        <v>35075.879999999997</v>
      </c>
      <c r="O1880" s="720">
        <f t="shared" si="84"/>
        <v>0</v>
      </c>
    </row>
    <row r="1881" spans="1:15" outlineLevel="2" x14ac:dyDescent="0.25">
      <c r="A1881" s="207" t="str">
        <f>VLOOKUP(RIGHT(E1881,3)+0,SchLocTable!$A$2:$B$47,2,FALSE)</f>
        <v>Bassick HS</v>
      </c>
      <c r="B1881" s="207" t="str">
        <f>VLOOKUP(VALUE(D1881),$D$3:F$106,3,FALSE)</f>
        <v>Health</v>
      </c>
      <c r="C1881" s="751" t="s">
        <v>246</v>
      </c>
      <c r="D1881" s="751" t="s">
        <v>665</v>
      </c>
      <c r="E1881" s="751" t="s">
        <v>667</v>
      </c>
      <c r="F1881" s="751" t="s">
        <v>248</v>
      </c>
      <c r="G1881" s="752">
        <v>2</v>
      </c>
      <c r="H1881" s="753">
        <v>51000</v>
      </c>
      <c r="I1881" s="754">
        <v>168238.51</v>
      </c>
      <c r="J1881" s="754">
        <v>0</v>
      </c>
      <c r="K1881" s="754">
        <v>0</v>
      </c>
      <c r="L1881" s="754">
        <v>32229.599999999999</v>
      </c>
      <c r="M1881" s="754">
        <f t="shared" si="83"/>
        <v>32229.599999999999</v>
      </c>
      <c r="N1881" s="756">
        <v>168238.51</v>
      </c>
      <c r="O1881" s="720">
        <f t="shared" si="84"/>
        <v>0</v>
      </c>
    </row>
    <row r="1882" spans="1:15" outlineLevel="2" x14ac:dyDescent="0.25">
      <c r="A1882" s="207" t="str">
        <f>VLOOKUP(RIGHT(E1882,3)+0,SchLocTable!$A$2:$B$47,2,FALSE)</f>
        <v>Bassick HS</v>
      </c>
      <c r="B1882" s="207" t="str">
        <f>VLOOKUP(VALUE(D1882),$D$3:F$106,3,FALSE)</f>
        <v>Health</v>
      </c>
      <c r="C1882" s="751" t="s">
        <v>246</v>
      </c>
      <c r="D1882" s="751" t="s">
        <v>665</v>
      </c>
      <c r="E1882" s="751" t="s">
        <v>667</v>
      </c>
      <c r="F1882" s="751" t="s">
        <v>257</v>
      </c>
      <c r="G1882" s="752" t="s">
        <v>1681</v>
      </c>
      <c r="H1882" s="753">
        <v>51140</v>
      </c>
      <c r="I1882" s="754">
        <v>1200</v>
      </c>
      <c r="J1882" s="754">
        <v>0</v>
      </c>
      <c r="K1882" s="754">
        <v>0</v>
      </c>
      <c r="L1882" s="754">
        <v>0</v>
      </c>
      <c r="M1882" s="754">
        <f t="shared" si="83"/>
        <v>0</v>
      </c>
      <c r="N1882" s="756">
        <v>1200</v>
      </c>
      <c r="O1882" s="720">
        <f t="shared" si="84"/>
        <v>0</v>
      </c>
    </row>
    <row r="1883" spans="1:15" outlineLevel="2" x14ac:dyDescent="0.25">
      <c r="A1883" s="207" t="str">
        <f>VLOOKUP(RIGHT(E1883,3)+0,SchLocTable!$A$2:$B$47,2,FALSE)</f>
        <v>Bassick HS</v>
      </c>
      <c r="B1883" s="207" t="str">
        <f>VLOOKUP(VALUE(D1883),$D$3:F$106,3,FALSE)</f>
        <v>Health</v>
      </c>
      <c r="C1883" s="751" t="s">
        <v>246</v>
      </c>
      <c r="D1883" s="751" t="s">
        <v>665</v>
      </c>
      <c r="E1883" s="751" t="s">
        <v>667</v>
      </c>
      <c r="F1883" s="751" t="s">
        <v>254</v>
      </c>
      <c r="G1883" s="752" t="s">
        <v>1681</v>
      </c>
      <c r="H1883" s="753">
        <v>52360</v>
      </c>
      <c r="I1883" s="754">
        <v>2388.87</v>
      </c>
      <c r="J1883" s="754">
        <v>0</v>
      </c>
      <c r="K1883" s="754">
        <v>0</v>
      </c>
      <c r="L1883" s="754">
        <v>416.74</v>
      </c>
      <c r="M1883" s="754">
        <f t="shared" si="83"/>
        <v>416.74</v>
      </c>
      <c r="N1883" s="756">
        <v>2388.87</v>
      </c>
      <c r="O1883" s="720">
        <f t="shared" si="84"/>
        <v>0</v>
      </c>
    </row>
    <row r="1884" spans="1:15" outlineLevel="2" x14ac:dyDescent="0.25">
      <c r="A1884" s="207" t="str">
        <f>VLOOKUP(RIGHT(E1884,3)+0,SchLocTable!$A$2:$B$47,2,FALSE)</f>
        <v>Bassick HS</v>
      </c>
      <c r="B1884" s="207" t="str">
        <f>VLOOKUP(VALUE(D1884),$D$3:F$106,3,FALSE)</f>
        <v>Health</v>
      </c>
      <c r="C1884" s="751" t="s">
        <v>246</v>
      </c>
      <c r="D1884" s="751" t="s">
        <v>665</v>
      </c>
      <c r="E1884" s="751" t="s">
        <v>667</v>
      </c>
      <c r="F1884" s="751" t="s">
        <v>259</v>
      </c>
      <c r="G1884" s="752" t="s">
        <v>1681</v>
      </c>
      <c r="H1884" s="753">
        <v>52917</v>
      </c>
      <c r="I1884" s="754">
        <v>46919.88</v>
      </c>
      <c r="J1884" s="754">
        <v>0</v>
      </c>
      <c r="K1884" s="754">
        <v>0</v>
      </c>
      <c r="L1884" s="754">
        <v>11171.4</v>
      </c>
      <c r="M1884" s="754">
        <f t="shared" si="83"/>
        <v>11171.4</v>
      </c>
      <c r="N1884" s="756">
        <v>46919.88</v>
      </c>
      <c r="O1884" s="720">
        <f t="shared" si="84"/>
        <v>0</v>
      </c>
    </row>
    <row r="1885" spans="1:15" outlineLevel="2" x14ac:dyDescent="0.25">
      <c r="A1885" s="207" t="str">
        <f>VLOOKUP(RIGHT(E1885,3)+0,SchLocTable!$A$2:$B$47,2,FALSE)</f>
        <v>Central HS</v>
      </c>
      <c r="B1885" s="207" t="str">
        <f>VLOOKUP(VALUE(D1885),$D$3:F$106,3,FALSE)</f>
        <v>Health</v>
      </c>
      <c r="C1885" s="751" t="s">
        <v>246</v>
      </c>
      <c r="D1885" s="751" t="s">
        <v>665</v>
      </c>
      <c r="E1885" s="751" t="s">
        <v>668</v>
      </c>
      <c r="F1885" s="751" t="s">
        <v>248</v>
      </c>
      <c r="G1885" s="752">
        <v>1</v>
      </c>
      <c r="H1885" s="753">
        <v>51000</v>
      </c>
      <c r="I1885" s="754">
        <v>103153.2</v>
      </c>
      <c r="J1885" s="754">
        <v>0</v>
      </c>
      <c r="K1885" s="754">
        <v>0</v>
      </c>
      <c r="L1885" s="754">
        <v>19761.150000000001</v>
      </c>
      <c r="M1885" s="754">
        <f t="shared" si="83"/>
        <v>19761.150000000001</v>
      </c>
      <c r="N1885" s="756">
        <v>103153.2</v>
      </c>
      <c r="O1885" s="720">
        <f t="shared" si="84"/>
        <v>0</v>
      </c>
    </row>
    <row r="1886" spans="1:15" outlineLevel="2" x14ac:dyDescent="0.25">
      <c r="A1886" s="207" t="str">
        <f>VLOOKUP(RIGHT(E1886,3)+0,SchLocTable!$A$2:$B$47,2,FALSE)</f>
        <v>Central HS</v>
      </c>
      <c r="B1886" s="207" t="str">
        <f>VLOOKUP(VALUE(D1886),$D$3:F$106,3,FALSE)</f>
        <v>Health</v>
      </c>
      <c r="C1886" s="755" t="s">
        <v>246</v>
      </c>
      <c r="D1886" s="751" t="s">
        <v>665</v>
      </c>
      <c r="E1886" s="751" t="s">
        <v>668</v>
      </c>
      <c r="F1886" s="751" t="s">
        <v>257</v>
      </c>
      <c r="G1886" s="752" t="s">
        <v>1681</v>
      </c>
      <c r="H1886" s="753">
        <v>51140</v>
      </c>
      <c r="I1886" s="754">
        <v>900</v>
      </c>
      <c r="J1886" s="754">
        <v>0</v>
      </c>
      <c r="K1886" s="754">
        <v>0</v>
      </c>
      <c r="L1886" s="754">
        <v>0</v>
      </c>
      <c r="M1886" s="754">
        <f t="shared" si="83"/>
        <v>0</v>
      </c>
      <c r="N1886" s="756">
        <v>900</v>
      </c>
      <c r="O1886" s="720">
        <f t="shared" si="84"/>
        <v>0</v>
      </c>
    </row>
    <row r="1887" spans="1:15" outlineLevel="2" x14ac:dyDescent="0.25">
      <c r="A1887" s="207" t="str">
        <f>VLOOKUP(RIGHT(E1887,3)+0,SchLocTable!$A$2:$B$47,2,FALSE)</f>
        <v>Central HS</v>
      </c>
      <c r="B1887" s="207" t="str">
        <f>VLOOKUP(VALUE(D1887),$D$3:F$106,3,FALSE)</f>
        <v>Health</v>
      </c>
      <c r="C1887" s="751" t="s">
        <v>246</v>
      </c>
      <c r="D1887" s="751" t="s">
        <v>665</v>
      </c>
      <c r="E1887" s="751" t="s">
        <v>668</v>
      </c>
      <c r="F1887" s="751" t="s">
        <v>254</v>
      </c>
      <c r="G1887" s="752" t="s">
        <v>1681</v>
      </c>
      <c r="H1887" s="753">
        <v>52360</v>
      </c>
      <c r="I1887" s="754">
        <v>1460.07</v>
      </c>
      <c r="J1887" s="754">
        <v>0</v>
      </c>
      <c r="K1887" s="754">
        <v>0</v>
      </c>
      <c r="L1887" s="754">
        <v>250.89</v>
      </c>
      <c r="M1887" s="754">
        <f t="shared" si="83"/>
        <v>250.89</v>
      </c>
      <c r="N1887" s="756">
        <v>1460.07</v>
      </c>
      <c r="O1887" s="720">
        <f t="shared" si="84"/>
        <v>0</v>
      </c>
    </row>
    <row r="1888" spans="1:15" outlineLevel="2" x14ac:dyDescent="0.25">
      <c r="A1888" s="207" t="str">
        <f>VLOOKUP(RIGHT(E1888,3)+0,SchLocTable!$A$2:$B$47,2,FALSE)</f>
        <v>Central HS</v>
      </c>
      <c r="B1888" s="207" t="str">
        <f>VLOOKUP(VALUE(D1888),$D$3:F$106,3,FALSE)</f>
        <v>Health</v>
      </c>
      <c r="C1888" s="751" t="s">
        <v>246</v>
      </c>
      <c r="D1888" s="751" t="s">
        <v>665</v>
      </c>
      <c r="E1888" s="751" t="s">
        <v>668</v>
      </c>
      <c r="F1888" s="751" t="s">
        <v>259</v>
      </c>
      <c r="G1888" s="752" t="s">
        <v>1681</v>
      </c>
      <c r="H1888" s="753">
        <v>52917</v>
      </c>
      <c r="I1888" s="754">
        <v>35075.879999999997</v>
      </c>
      <c r="J1888" s="754">
        <v>0</v>
      </c>
      <c r="K1888" s="754">
        <v>0</v>
      </c>
      <c r="L1888" s="754">
        <v>8351.4</v>
      </c>
      <c r="M1888" s="754">
        <f t="shared" si="83"/>
        <v>8351.4</v>
      </c>
      <c r="N1888" s="756">
        <v>35075.879999999997</v>
      </c>
      <c r="O1888" s="720">
        <f t="shared" si="84"/>
        <v>0</v>
      </c>
    </row>
    <row r="1889" spans="1:15" outlineLevel="2" x14ac:dyDescent="0.25">
      <c r="A1889" s="207" t="str">
        <f>VLOOKUP(RIGHT(E1889,3)+0,SchLocTable!$A$2:$B$47,2,FALSE)</f>
        <v>Harding HS</v>
      </c>
      <c r="B1889" s="207" t="str">
        <f>VLOOKUP(VALUE(D1889),$D$3:F$106,3,FALSE)</f>
        <v>Health</v>
      </c>
      <c r="C1889" s="751" t="s">
        <v>246</v>
      </c>
      <c r="D1889" s="751" t="s">
        <v>665</v>
      </c>
      <c r="E1889" s="751" t="s">
        <v>669</v>
      </c>
      <c r="F1889" s="751" t="s">
        <v>248</v>
      </c>
      <c r="G1889" s="752">
        <v>2</v>
      </c>
      <c r="H1889" s="753">
        <v>51000</v>
      </c>
      <c r="I1889" s="754">
        <v>129275.57</v>
      </c>
      <c r="J1889" s="754">
        <v>0</v>
      </c>
      <c r="K1889" s="754">
        <v>0</v>
      </c>
      <c r="L1889" s="754">
        <v>23633.25</v>
      </c>
      <c r="M1889" s="754">
        <f t="shared" si="83"/>
        <v>23633.25</v>
      </c>
      <c r="N1889" s="756">
        <v>129275.57</v>
      </c>
      <c r="O1889" s="720">
        <f t="shared" si="84"/>
        <v>0</v>
      </c>
    </row>
    <row r="1890" spans="1:15" outlineLevel="2" x14ac:dyDescent="0.25">
      <c r="A1890" s="207" t="str">
        <f>VLOOKUP(RIGHT(E1890,3)+0,SchLocTable!$A$2:$B$47,2,FALSE)</f>
        <v>Harding HS</v>
      </c>
      <c r="B1890" s="207" t="str">
        <f>VLOOKUP(VALUE(D1890),$D$3:F$106,3,FALSE)</f>
        <v>Health</v>
      </c>
      <c r="C1890" s="751" t="s">
        <v>246</v>
      </c>
      <c r="D1890" s="751" t="s">
        <v>665</v>
      </c>
      <c r="E1890" s="751" t="s">
        <v>669</v>
      </c>
      <c r="F1890" s="751" t="s">
        <v>254</v>
      </c>
      <c r="G1890" s="752" t="s">
        <v>1681</v>
      </c>
      <c r="H1890" s="753">
        <v>52360</v>
      </c>
      <c r="I1890" s="754">
        <v>1838.84</v>
      </c>
      <c r="J1890" s="754">
        <v>0</v>
      </c>
      <c r="K1890" s="754">
        <v>0</v>
      </c>
      <c r="L1890" s="754">
        <v>307.02999999999997</v>
      </c>
      <c r="M1890" s="754">
        <f t="shared" si="83"/>
        <v>307.02999999999997</v>
      </c>
      <c r="N1890" s="756">
        <v>1838.84</v>
      </c>
      <c r="O1890" s="720">
        <f t="shared" si="84"/>
        <v>0</v>
      </c>
    </row>
    <row r="1891" spans="1:15" outlineLevel="2" x14ac:dyDescent="0.25">
      <c r="A1891" s="207" t="str">
        <f>VLOOKUP(RIGHT(E1891,3)+0,SchLocTable!$A$2:$B$47,2,FALSE)</f>
        <v>Harding HS</v>
      </c>
      <c r="B1891" s="207" t="str">
        <f>VLOOKUP(VALUE(D1891),$D$3:F$106,3,FALSE)</f>
        <v>Health</v>
      </c>
      <c r="C1891" s="751" t="s">
        <v>246</v>
      </c>
      <c r="D1891" s="751" t="s">
        <v>665</v>
      </c>
      <c r="E1891" s="751" t="s">
        <v>669</v>
      </c>
      <c r="F1891" s="751" t="s">
        <v>292</v>
      </c>
      <c r="G1891" s="752" t="s">
        <v>1681</v>
      </c>
      <c r="H1891" s="753">
        <v>52385</v>
      </c>
      <c r="I1891" s="754">
        <v>3036.45</v>
      </c>
      <c r="J1891" s="754">
        <v>0</v>
      </c>
      <c r="K1891" s="754">
        <v>0</v>
      </c>
      <c r="L1891" s="754">
        <v>511.5</v>
      </c>
      <c r="M1891" s="754">
        <f t="shared" si="83"/>
        <v>511.5</v>
      </c>
      <c r="N1891" s="756">
        <v>3036.45</v>
      </c>
      <c r="O1891" s="720">
        <f t="shared" si="84"/>
        <v>0</v>
      </c>
    </row>
    <row r="1892" spans="1:15" outlineLevel="2" x14ac:dyDescent="0.25">
      <c r="A1892" s="207" t="str">
        <f>VLOOKUP(RIGHT(E1892,3)+0,SchLocTable!$A$2:$B$47,2,FALSE)</f>
        <v>Harding HS</v>
      </c>
      <c r="B1892" s="207" t="str">
        <f>VLOOKUP(VALUE(D1892),$D$3:F$106,3,FALSE)</f>
        <v>Health</v>
      </c>
      <c r="C1892" s="751" t="s">
        <v>246</v>
      </c>
      <c r="D1892" s="751" t="s">
        <v>665</v>
      </c>
      <c r="E1892" s="751" t="s">
        <v>669</v>
      </c>
      <c r="F1892" s="751" t="s">
        <v>259</v>
      </c>
      <c r="G1892" s="752" t="s">
        <v>1681</v>
      </c>
      <c r="H1892" s="753">
        <v>52917</v>
      </c>
      <c r="I1892" s="754">
        <v>35075.879999999997</v>
      </c>
      <c r="J1892" s="754">
        <v>0</v>
      </c>
      <c r="K1892" s="754">
        <v>0</v>
      </c>
      <c r="L1892" s="754">
        <v>8351.4</v>
      </c>
      <c r="M1892" s="754">
        <f t="shared" si="83"/>
        <v>8351.4</v>
      </c>
      <c r="N1892" s="756">
        <v>35075.879999999997</v>
      </c>
      <c r="O1892" s="720">
        <f t="shared" si="84"/>
        <v>0</v>
      </c>
    </row>
    <row r="1893" spans="1:15" outlineLevel="2" x14ac:dyDescent="0.25">
      <c r="A1893" s="207" t="e">
        <f>VLOOKUP(RIGHT(E1893,3)+0,SchLocTable!$A$2:$B$47,2,FALSE)</f>
        <v>#N/A</v>
      </c>
      <c r="B1893" s="207" t="str">
        <f>VLOOKUP(VALUE(D1893),$D$3:F$106,3,FALSE)</f>
        <v>Technology Education</v>
      </c>
      <c r="C1893" s="751" t="s">
        <v>246</v>
      </c>
      <c r="D1893" s="751" t="s">
        <v>670</v>
      </c>
      <c r="E1893" s="751" t="s">
        <v>671</v>
      </c>
      <c r="F1893" s="751" t="s">
        <v>672</v>
      </c>
      <c r="G1893" s="752" t="s">
        <v>1681</v>
      </c>
      <c r="H1893" s="753">
        <v>54540</v>
      </c>
      <c r="I1893" s="754">
        <v>4760</v>
      </c>
      <c r="J1893" s="754">
        <v>0</v>
      </c>
      <c r="K1893" s="754">
        <v>0</v>
      </c>
      <c r="L1893" s="754">
        <v>4687.7</v>
      </c>
      <c r="M1893" s="754">
        <f t="shared" si="83"/>
        <v>4687.7</v>
      </c>
      <c r="N1893" s="756">
        <v>4760</v>
      </c>
      <c r="O1893" s="720">
        <f t="shared" si="84"/>
        <v>0</v>
      </c>
    </row>
    <row r="1894" spans="1:15" outlineLevel="2" x14ac:dyDescent="0.25">
      <c r="A1894" s="207" t="e">
        <f>VLOOKUP(RIGHT(E1894,3)+0,SchLocTable!$A$2:$B$47,2,FALSE)</f>
        <v>#N/A</v>
      </c>
      <c r="B1894" s="207" t="str">
        <f>VLOOKUP(VALUE(D1894),$D$3:F$106,3,FALSE)</f>
        <v>Technology Education</v>
      </c>
      <c r="C1894" s="751" t="s">
        <v>246</v>
      </c>
      <c r="D1894" s="751" t="s">
        <v>670</v>
      </c>
      <c r="E1894" s="751" t="s">
        <v>671</v>
      </c>
      <c r="F1894" s="751" t="s">
        <v>371</v>
      </c>
      <c r="G1894" s="752" t="s">
        <v>1681</v>
      </c>
      <c r="H1894" s="753">
        <v>54580</v>
      </c>
      <c r="I1894" s="754">
        <v>6080</v>
      </c>
      <c r="J1894" s="754">
        <v>813.38</v>
      </c>
      <c r="K1894" s="754">
        <v>0</v>
      </c>
      <c r="L1894" s="754">
        <v>3775.78</v>
      </c>
      <c r="M1894" s="754">
        <f t="shared" si="83"/>
        <v>4589.16</v>
      </c>
      <c r="N1894" s="756">
        <v>6080</v>
      </c>
      <c r="O1894" s="720">
        <f t="shared" si="84"/>
        <v>0</v>
      </c>
    </row>
    <row r="1895" spans="1:15" outlineLevel="2" x14ac:dyDescent="0.25">
      <c r="A1895" s="207" t="e">
        <f>VLOOKUP(RIGHT(E1895,3)+0,SchLocTable!$A$2:$B$47,2,FALSE)</f>
        <v>#N/A</v>
      </c>
      <c r="B1895" s="207" t="str">
        <f>VLOOKUP(VALUE(D1895),$D$3:F$106,3,FALSE)</f>
        <v>Technology Education</v>
      </c>
      <c r="C1895" s="755" t="s">
        <v>246</v>
      </c>
      <c r="D1895" s="751" t="s">
        <v>670</v>
      </c>
      <c r="E1895" s="751" t="s">
        <v>671</v>
      </c>
      <c r="F1895" s="751" t="s">
        <v>673</v>
      </c>
      <c r="G1895" s="752" t="s">
        <v>1681</v>
      </c>
      <c r="H1895" s="753">
        <v>54640</v>
      </c>
      <c r="I1895" s="754">
        <v>2135</v>
      </c>
      <c r="J1895" s="754">
        <v>0</v>
      </c>
      <c r="K1895" s="754">
        <v>0</v>
      </c>
      <c r="L1895" s="754">
        <v>0</v>
      </c>
      <c r="M1895" s="754">
        <f t="shared" si="83"/>
        <v>0</v>
      </c>
      <c r="N1895" s="756">
        <v>2135</v>
      </c>
      <c r="O1895" s="720">
        <f t="shared" si="84"/>
        <v>0</v>
      </c>
    </row>
    <row r="1896" spans="1:15" outlineLevel="2" x14ac:dyDescent="0.25">
      <c r="A1896" s="207" t="e">
        <f>VLOOKUP(RIGHT(E1896,3)+0,SchLocTable!$A$2:$B$47,2,FALSE)</f>
        <v>#N/A</v>
      </c>
      <c r="B1896" s="207" t="str">
        <f>VLOOKUP(VALUE(D1896),$D$3:F$106,3,FALSE)</f>
        <v>Technology Education</v>
      </c>
      <c r="C1896" s="751" t="s">
        <v>246</v>
      </c>
      <c r="D1896" s="751" t="s">
        <v>670</v>
      </c>
      <c r="E1896" s="751" t="s">
        <v>671</v>
      </c>
      <c r="F1896" s="751" t="s">
        <v>372</v>
      </c>
      <c r="G1896" s="752" t="s">
        <v>1681</v>
      </c>
      <c r="H1896" s="753">
        <v>54675</v>
      </c>
      <c r="I1896" s="754">
        <v>75</v>
      </c>
      <c r="J1896" s="754">
        <v>0</v>
      </c>
      <c r="K1896" s="754">
        <v>0</v>
      </c>
      <c r="L1896" s="754">
        <v>0</v>
      </c>
      <c r="M1896" s="754">
        <f t="shared" si="83"/>
        <v>0</v>
      </c>
      <c r="N1896" s="756">
        <v>75</v>
      </c>
      <c r="O1896" s="720">
        <f t="shared" si="84"/>
        <v>0</v>
      </c>
    </row>
    <row r="1897" spans="1:15" outlineLevel="2" x14ac:dyDescent="0.25">
      <c r="A1897" s="207" t="e">
        <f>VLOOKUP(RIGHT(E1897,3)+0,SchLocTable!$A$2:$B$47,2,FALSE)</f>
        <v>#N/A</v>
      </c>
      <c r="B1897" s="207" t="str">
        <f>VLOOKUP(VALUE(D1897),$D$3:F$106,3,FALSE)</f>
        <v>Technology Education</v>
      </c>
      <c r="C1897" s="751" t="s">
        <v>246</v>
      </c>
      <c r="D1897" s="751" t="s">
        <v>670</v>
      </c>
      <c r="E1897" s="751" t="s">
        <v>671</v>
      </c>
      <c r="F1897" s="751" t="s">
        <v>675</v>
      </c>
      <c r="G1897" s="752" t="s">
        <v>1681</v>
      </c>
      <c r="H1897" s="753">
        <v>55035</v>
      </c>
      <c r="I1897" s="754">
        <v>5106</v>
      </c>
      <c r="J1897" s="754">
        <v>2041.56</v>
      </c>
      <c r="K1897" s="754">
        <v>0</v>
      </c>
      <c r="L1897" s="754">
        <v>0</v>
      </c>
      <c r="M1897" s="754">
        <f t="shared" si="83"/>
        <v>2041.56</v>
      </c>
      <c r="N1897" s="756">
        <v>5106</v>
      </c>
      <c r="O1897" s="720">
        <f t="shared" si="84"/>
        <v>0</v>
      </c>
    </row>
    <row r="1898" spans="1:15" outlineLevel="2" x14ac:dyDescent="0.25">
      <c r="A1898" s="207" t="e">
        <f>VLOOKUP(RIGHT(E1898,3)+0,SchLocTable!$A$2:$B$47,2,FALSE)</f>
        <v>#N/A</v>
      </c>
      <c r="B1898" s="207" t="str">
        <f>VLOOKUP(VALUE(D1898),$D$3:F$106,3,FALSE)</f>
        <v>Technology Education</v>
      </c>
      <c r="C1898" s="751" t="s">
        <v>246</v>
      </c>
      <c r="D1898" s="751" t="s">
        <v>670</v>
      </c>
      <c r="E1898" s="751" t="s">
        <v>671</v>
      </c>
      <c r="F1898" s="751" t="s">
        <v>382</v>
      </c>
      <c r="G1898" s="752" t="s">
        <v>1681</v>
      </c>
      <c r="H1898" s="753">
        <v>56180</v>
      </c>
      <c r="I1898" s="754">
        <v>0</v>
      </c>
      <c r="J1898" s="754">
        <v>0</v>
      </c>
      <c r="K1898" s="754">
        <v>0</v>
      </c>
      <c r="L1898" s="754">
        <v>0</v>
      </c>
      <c r="M1898" s="754">
        <f t="shared" si="83"/>
        <v>0</v>
      </c>
      <c r="N1898" s="756">
        <v>0</v>
      </c>
      <c r="O1898" s="720">
        <f t="shared" si="84"/>
        <v>0</v>
      </c>
    </row>
    <row r="1899" spans="1:15" outlineLevel="2" x14ac:dyDescent="0.25">
      <c r="A1899" s="207" t="str">
        <f>VLOOKUP(RIGHT(E1899,3)+0,SchLocTable!$A$2:$B$47,2,FALSE)</f>
        <v>Physical Science HS</v>
      </c>
      <c r="B1899" s="207" t="str">
        <f>VLOOKUP(VALUE(D1899),$D$3:F$106,3,FALSE)</f>
        <v>Technology Education</v>
      </c>
      <c r="C1899" s="751" t="s">
        <v>246</v>
      </c>
      <c r="D1899" s="751" t="s">
        <v>670</v>
      </c>
      <c r="E1899" s="751" t="s">
        <v>1754</v>
      </c>
      <c r="F1899" s="751" t="s">
        <v>248</v>
      </c>
      <c r="G1899" s="752">
        <v>1</v>
      </c>
      <c r="H1899" s="753">
        <v>51000</v>
      </c>
      <c r="I1899" s="754">
        <v>60745.66</v>
      </c>
      <c r="J1899" s="754">
        <v>0</v>
      </c>
      <c r="K1899" s="754">
        <v>0</v>
      </c>
      <c r="L1899" s="754">
        <v>11637.1</v>
      </c>
      <c r="M1899" s="754">
        <f t="shared" si="83"/>
        <v>11637.1</v>
      </c>
      <c r="N1899" s="756">
        <v>60745.66</v>
      </c>
      <c r="O1899" s="720">
        <f t="shared" si="84"/>
        <v>0</v>
      </c>
    </row>
    <row r="1900" spans="1:15" outlineLevel="2" x14ac:dyDescent="0.25">
      <c r="A1900" s="207" t="str">
        <f>VLOOKUP(RIGHT(E1900,3)+0,SchLocTable!$A$2:$B$47,2,FALSE)</f>
        <v>Physical Science HS</v>
      </c>
      <c r="B1900" s="207" t="str">
        <f>VLOOKUP(VALUE(D1900),$D$3:F$106,3,FALSE)</f>
        <v>Technology Education</v>
      </c>
      <c r="C1900" s="751" t="s">
        <v>246</v>
      </c>
      <c r="D1900" s="751" t="s">
        <v>670</v>
      </c>
      <c r="E1900" s="751" t="s">
        <v>1754</v>
      </c>
      <c r="F1900" s="751" t="s">
        <v>254</v>
      </c>
      <c r="G1900" s="752" t="s">
        <v>1681</v>
      </c>
      <c r="H1900" s="753">
        <v>52360</v>
      </c>
      <c r="I1900" s="754">
        <v>845.16</v>
      </c>
      <c r="J1900" s="754">
        <v>0</v>
      </c>
      <c r="K1900" s="754">
        <v>0</v>
      </c>
      <c r="L1900" s="754">
        <v>133.09</v>
      </c>
      <c r="M1900" s="754">
        <f t="shared" si="83"/>
        <v>133.09</v>
      </c>
      <c r="N1900" s="756">
        <v>845.16</v>
      </c>
      <c r="O1900" s="720">
        <f t="shared" si="84"/>
        <v>0</v>
      </c>
    </row>
    <row r="1901" spans="1:15" outlineLevel="2" x14ac:dyDescent="0.25">
      <c r="A1901" s="207" t="str">
        <f>VLOOKUP(RIGHT(E1901,3)+0,SchLocTable!$A$2:$B$47,2,FALSE)</f>
        <v>Physical Science HS</v>
      </c>
      <c r="B1901" s="207" t="str">
        <f>VLOOKUP(VALUE(D1901),$D$3:F$106,3,FALSE)</f>
        <v>Technology Education</v>
      </c>
      <c r="C1901" s="751" t="s">
        <v>246</v>
      </c>
      <c r="D1901" s="751" t="s">
        <v>670</v>
      </c>
      <c r="E1901" s="751" t="s">
        <v>1754</v>
      </c>
      <c r="F1901" s="751" t="s">
        <v>292</v>
      </c>
      <c r="G1901" s="752" t="s">
        <v>1681</v>
      </c>
      <c r="H1901" s="753">
        <v>52385</v>
      </c>
      <c r="I1901" s="754">
        <v>0</v>
      </c>
      <c r="J1901" s="754">
        <v>0</v>
      </c>
      <c r="K1901" s="754">
        <v>0</v>
      </c>
      <c r="L1901" s="754">
        <v>0</v>
      </c>
      <c r="M1901" s="754">
        <f t="shared" si="83"/>
        <v>0</v>
      </c>
      <c r="N1901" s="756">
        <v>0</v>
      </c>
      <c r="O1901" s="720">
        <f t="shared" si="84"/>
        <v>0</v>
      </c>
    </row>
    <row r="1902" spans="1:15" outlineLevel="2" x14ac:dyDescent="0.25">
      <c r="A1902" s="207" t="str">
        <f>VLOOKUP(RIGHT(E1902,3)+0,SchLocTable!$A$2:$B$47,2,FALSE)</f>
        <v>Physical Science HS</v>
      </c>
      <c r="B1902" s="207" t="str">
        <f>VLOOKUP(VALUE(D1902),$D$3:F$106,3,FALSE)</f>
        <v>Technology Education</v>
      </c>
      <c r="C1902" s="755" t="s">
        <v>246</v>
      </c>
      <c r="D1902" s="751" t="s">
        <v>670</v>
      </c>
      <c r="E1902" s="751" t="s">
        <v>1754</v>
      </c>
      <c r="F1902" s="751" t="s">
        <v>259</v>
      </c>
      <c r="G1902" s="752" t="s">
        <v>1681</v>
      </c>
      <c r="H1902" s="753">
        <v>52917</v>
      </c>
      <c r="I1902" s="754">
        <v>35075.879999999997</v>
      </c>
      <c r="J1902" s="754">
        <v>0</v>
      </c>
      <c r="K1902" s="754">
        <v>0</v>
      </c>
      <c r="L1902" s="754">
        <v>8351.4</v>
      </c>
      <c r="M1902" s="754">
        <f t="shared" si="83"/>
        <v>8351.4</v>
      </c>
      <c r="N1902" s="756">
        <v>35075.879999999997</v>
      </c>
      <c r="O1902" s="720">
        <f t="shared" si="84"/>
        <v>0</v>
      </c>
    </row>
    <row r="1903" spans="1:15" outlineLevel="2" x14ac:dyDescent="0.25">
      <c r="A1903" s="207" t="str">
        <f>VLOOKUP(RIGHT(E1903,3)+0,SchLocTable!$A$2:$B$47,2,FALSE)</f>
        <v>Info Tech HS</v>
      </c>
      <c r="B1903" s="207" t="str">
        <f>VLOOKUP(VALUE(D1903),$D$3:F$106,3,FALSE)</f>
        <v>Technology Education</v>
      </c>
      <c r="C1903" s="751" t="s">
        <v>246</v>
      </c>
      <c r="D1903" s="751" t="s">
        <v>670</v>
      </c>
      <c r="E1903" s="751" t="s">
        <v>1755</v>
      </c>
      <c r="F1903" s="751" t="s">
        <v>248</v>
      </c>
      <c r="G1903" s="752">
        <v>1</v>
      </c>
      <c r="H1903" s="753">
        <v>51000</v>
      </c>
      <c r="I1903" s="754">
        <v>103153.2</v>
      </c>
      <c r="J1903" s="754">
        <v>0</v>
      </c>
      <c r="K1903" s="754">
        <v>0</v>
      </c>
      <c r="L1903" s="754">
        <v>19761.150000000001</v>
      </c>
      <c r="M1903" s="754">
        <f t="shared" si="83"/>
        <v>19761.150000000001</v>
      </c>
      <c r="N1903" s="756">
        <v>103153.2</v>
      </c>
      <c r="O1903" s="720">
        <f t="shared" si="84"/>
        <v>0</v>
      </c>
    </row>
    <row r="1904" spans="1:15" outlineLevel="2" x14ac:dyDescent="0.25">
      <c r="A1904" s="207" t="str">
        <f>VLOOKUP(RIGHT(E1904,3)+0,SchLocTable!$A$2:$B$47,2,FALSE)</f>
        <v>Info Tech HS</v>
      </c>
      <c r="B1904" s="207" t="str">
        <f>VLOOKUP(VALUE(D1904),$D$3:F$106,3,FALSE)</f>
        <v>Technology Education</v>
      </c>
      <c r="C1904" s="751" t="s">
        <v>246</v>
      </c>
      <c r="D1904" s="751" t="s">
        <v>670</v>
      </c>
      <c r="E1904" s="751" t="s">
        <v>1755</v>
      </c>
      <c r="F1904" s="751" t="s">
        <v>254</v>
      </c>
      <c r="G1904" s="752" t="s">
        <v>1681</v>
      </c>
      <c r="H1904" s="753">
        <v>52360</v>
      </c>
      <c r="I1904" s="754">
        <v>1495.71</v>
      </c>
      <c r="J1904" s="754">
        <v>0</v>
      </c>
      <c r="K1904" s="754">
        <v>0</v>
      </c>
      <c r="L1904" s="754">
        <v>286.52999999999997</v>
      </c>
      <c r="M1904" s="754">
        <f t="shared" si="83"/>
        <v>286.52999999999997</v>
      </c>
      <c r="N1904" s="756">
        <v>1495.71</v>
      </c>
      <c r="O1904" s="720">
        <f t="shared" si="84"/>
        <v>0</v>
      </c>
    </row>
    <row r="1905" spans="1:15" outlineLevel="2" x14ac:dyDescent="0.25">
      <c r="A1905" s="207" t="str">
        <f>VLOOKUP(RIGHT(E1905,3)+0,SchLocTable!$A$2:$B$47,2,FALSE)</f>
        <v>Bassick HS</v>
      </c>
      <c r="B1905" s="207" t="str">
        <f>VLOOKUP(VALUE(D1905),$D$3:F$106,3,FALSE)</f>
        <v>Technology Education</v>
      </c>
      <c r="C1905" s="755" t="s">
        <v>246</v>
      </c>
      <c r="D1905" s="751" t="s">
        <v>670</v>
      </c>
      <c r="E1905" s="751" t="s">
        <v>676</v>
      </c>
      <c r="F1905" s="751" t="s">
        <v>248</v>
      </c>
      <c r="G1905" s="752">
        <v>2.4</v>
      </c>
      <c r="H1905" s="753">
        <v>51000</v>
      </c>
      <c r="I1905" s="754">
        <v>218320.23</v>
      </c>
      <c r="J1905" s="754">
        <v>0</v>
      </c>
      <c r="K1905" s="754">
        <v>0</v>
      </c>
      <c r="L1905" s="754">
        <v>46604.55</v>
      </c>
      <c r="M1905" s="754">
        <f t="shared" si="83"/>
        <v>46604.55</v>
      </c>
      <c r="N1905" s="756">
        <v>218320.23</v>
      </c>
      <c r="O1905" s="720">
        <f t="shared" si="84"/>
        <v>0</v>
      </c>
    </row>
    <row r="1906" spans="1:15" outlineLevel="2" x14ac:dyDescent="0.25">
      <c r="A1906" s="207" t="str">
        <f>VLOOKUP(RIGHT(E1906,3)+0,SchLocTable!$A$2:$B$47,2,FALSE)</f>
        <v>Bassick HS</v>
      </c>
      <c r="B1906" s="207" t="str">
        <f>VLOOKUP(VALUE(D1906),$D$3:F$106,3,FALSE)</f>
        <v>Technology Education</v>
      </c>
      <c r="C1906" s="751" t="s">
        <v>246</v>
      </c>
      <c r="D1906" s="751" t="s">
        <v>670</v>
      </c>
      <c r="E1906" s="751" t="s">
        <v>676</v>
      </c>
      <c r="F1906" s="751" t="s">
        <v>257</v>
      </c>
      <c r="G1906" s="752" t="s">
        <v>1681</v>
      </c>
      <c r="H1906" s="753">
        <v>51140</v>
      </c>
      <c r="I1906" s="754">
        <v>1300</v>
      </c>
      <c r="J1906" s="754">
        <v>0</v>
      </c>
      <c r="K1906" s="754">
        <v>0</v>
      </c>
      <c r="L1906" s="754">
        <v>0</v>
      </c>
      <c r="M1906" s="754">
        <f t="shared" si="83"/>
        <v>0</v>
      </c>
      <c r="N1906" s="756">
        <v>1300</v>
      </c>
      <c r="O1906" s="720">
        <f t="shared" si="84"/>
        <v>0</v>
      </c>
    </row>
    <row r="1907" spans="1:15" outlineLevel="2" x14ac:dyDescent="0.25">
      <c r="A1907" s="207" t="str">
        <f>VLOOKUP(RIGHT(E1907,3)+0,SchLocTable!$A$2:$B$47,2,FALSE)</f>
        <v>Bassick HS</v>
      </c>
      <c r="B1907" s="207" t="str">
        <f>VLOOKUP(VALUE(D1907),$D$3:F$106,3,FALSE)</f>
        <v>Technology Education</v>
      </c>
      <c r="C1907" s="751" t="s">
        <v>246</v>
      </c>
      <c r="D1907" s="751" t="s">
        <v>670</v>
      </c>
      <c r="E1907" s="751" t="s">
        <v>676</v>
      </c>
      <c r="F1907" s="751" t="s">
        <v>254</v>
      </c>
      <c r="G1907" s="752" t="s">
        <v>1681</v>
      </c>
      <c r="H1907" s="753">
        <v>52360</v>
      </c>
      <c r="I1907" s="754">
        <v>3120.97</v>
      </c>
      <c r="J1907" s="754">
        <v>0</v>
      </c>
      <c r="K1907" s="754">
        <v>0</v>
      </c>
      <c r="L1907" s="754">
        <v>631.09</v>
      </c>
      <c r="M1907" s="754">
        <f t="shared" si="83"/>
        <v>631.09</v>
      </c>
      <c r="N1907" s="756">
        <v>3120.97</v>
      </c>
      <c r="O1907" s="720">
        <f t="shared" si="84"/>
        <v>0</v>
      </c>
    </row>
    <row r="1908" spans="1:15" outlineLevel="2" x14ac:dyDescent="0.25">
      <c r="A1908" s="207" t="str">
        <f>VLOOKUP(RIGHT(E1908,3)+0,SchLocTable!$A$2:$B$47,2,FALSE)</f>
        <v>Bassick HS</v>
      </c>
      <c r="B1908" s="207" t="str">
        <f>VLOOKUP(VALUE(D1908),$D$3:F$106,3,FALSE)</f>
        <v>Technology Education</v>
      </c>
      <c r="C1908" s="751" t="s">
        <v>246</v>
      </c>
      <c r="D1908" s="751" t="s">
        <v>670</v>
      </c>
      <c r="E1908" s="751" t="s">
        <v>676</v>
      </c>
      <c r="F1908" s="751" t="s">
        <v>292</v>
      </c>
      <c r="G1908" s="752" t="s">
        <v>1681</v>
      </c>
      <c r="H1908" s="753">
        <v>52385</v>
      </c>
      <c r="I1908" s="754">
        <v>0</v>
      </c>
      <c r="J1908" s="754">
        <v>0</v>
      </c>
      <c r="K1908" s="754">
        <v>0</v>
      </c>
      <c r="L1908" s="754">
        <v>0</v>
      </c>
      <c r="M1908" s="754">
        <f t="shared" si="83"/>
        <v>0</v>
      </c>
      <c r="N1908" s="756">
        <v>0</v>
      </c>
      <c r="O1908" s="720">
        <f t="shared" si="84"/>
        <v>0</v>
      </c>
    </row>
    <row r="1909" spans="1:15" outlineLevel="2" x14ac:dyDescent="0.25">
      <c r="A1909" s="207" t="str">
        <f>VLOOKUP(RIGHT(E1909,3)+0,SchLocTable!$A$2:$B$47,2,FALSE)</f>
        <v>Bassick HS</v>
      </c>
      <c r="B1909" s="207" t="str">
        <f>VLOOKUP(VALUE(D1909),$D$3:F$106,3,FALSE)</f>
        <v>Technology Education</v>
      </c>
      <c r="C1909" s="751" t="s">
        <v>246</v>
      </c>
      <c r="D1909" s="751" t="s">
        <v>670</v>
      </c>
      <c r="E1909" s="751" t="s">
        <v>676</v>
      </c>
      <c r="F1909" s="751" t="s">
        <v>259</v>
      </c>
      <c r="G1909" s="752" t="s">
        <v>1681</v>
      </c>
      <c r="H1909" s="753">
        <v>52917</v>
      </c>
      <c r="I1909" s="754">
        <v>40322.1</v>
      </c>
      <c r="J1909" s="754">
        <v>0</v>
      </c>
      <c r="K1909" s="754">
        <v>0</v>
      </c>
      <c r="L1909" s="754">
        <v>9600.5</v>
      </c>
      <c r="M1909" s="754">
        <f t="shared" si="83"/>
        <v>9600.5</v>
      </c>
      <c r="N1909" s="756">
        <v>40322.1</v>
      </c>
      <c r="O1909" s="720">
        <f t="shared" si="84"/>
        <v>0</v>
      </c>
    </row>
    <row r="1910" spans="1:15" outlineLevel="2" x14ac:dyDescent="0.25">
      <c r="A1910" s="207" t="str">
        <f>VLOOKUP(RIGHT(E1910,3)+0,SchLocTable!$A$2:$B$47,2,FALSE)</f>
        <v>Central HS</v>
      </c>
      <c r="B1910" s="207" t="str">
        <f>VLOOKUP(VALUE(D1910),$D$3:F$106,3,FALSE)</f>
        <v>Technology Education</v>
      </c>
      <c r="C1910" s="751" t="s">
        <v>246</v>
      </c>
      <c r="D1910" s="751" t="s">
        <v>670</v>
      </c>
      <c r="E1910" s="751" t="s">
        <v>677</v>
      </c>
      <c r="F1910" s="751" t="s">
        <v>248</v>
      </c>
      <c r="G1910" s="752">
        <v>1</v>
      </c>
      <c r="H1910" s="753">
        <v>51000</v>
      </c>
      <c r="I1910" s="754">
        <v>103153.2</v>
      </c>
      <c r="J1910" s="754">
        <v>0</v>
      </c>
      <c r="K1910" s="754">
        <v>0</v>
      </c>
      <c r="L1910" s="754">
        <v>19761.150000000001</v>
      </c>
      <c r="M1910" s="754">
        <f t="shared" si="83"/>
        <v>19761.150000000001</v>
      </c>
      <c r="N1910" s="756">
        <v>103153.2</v>
      </c>
      <c r="O1910" s="720">
        <f t="shared" si="84"/>
        <v>0</v>
      </c>
    </row>
    <row r="1911" spans="1:15" outlineLevel="2" x14ac:dyDescent="0.25">
      <c r="A1911" s="207" t="str">
        <f>VLOOKUP(RIGHT(E1911,3)+0,SchLocTable!$A$2:$B$47,2,FALSE)</f>
        <v>Central HS</v>
      </c>
      <c r="B1911" s="207" t="str">
        <f>VLOOKUP(VALUE(D1911),$D$3:F$106,3,FALSE)</f>
        <v>Technology Education</v>
      </c>
      <c r="C1911" s="751" t="s">
        <v>246</v>
      </c>
      <c r="D1911" s="751" t="s">
        <v>670</v>
      </c>
      <c r="E1911" s="751" t="s">
        <v>677</v>
      </c>
      <c r="F1911" s="751" t="s">
        <v>254</v>
      </c>
      <c r="G1911" s="752" t="s">
        <v>1681</v>
      </c>
      <c r="H1911" s="753">
        <v>52360</v>
      </c>
      <c r="I1911" s="754">
        <v>1460.07</v>
      </c>
      <c r="J1911" s="754">
        <v>0</v>
      </c>
      <c r="K1911" s="754">
        <v>0</v>
      </c>
      <c r="L1911" s="754">
        <v>250.89</v>
      </c>
      <c r="M1911" s="754">
        <f t="shared" si="83"/>
        <v>250.89</v>
      </c>
      <c r="N1911" s="756">
        <v>1460.07</v>
      </c>
      <c r="O1911" s="720">
        <f t="shared" si="84"/>
        <v>0</v>
      </c>
    </row>
    <row r="1912" spans="1:15" outlineLevel="2" x14ac:dyDescent="0.25">
      <c r="A1912" s="207" t="str">
        <f>VLOOKUP(RIGHT(E1912,3)+0,SchLocTable!$A$2:$B$47,2,FALSE)</f>
        <v>Central HS</v>
      </c>
      <c r="B1912" s="207" t="str">
        <f>VLOOKUP(VALUE(D1912),$D$3:F$106,3,FALSE)</f>
        <v>Technology Education</v>
      </c>
      <c r="C1912" s="751" t="s">
        <v>246</v>
      </c>
      <c r="D1912" s="751" t="s">
        <v>670</v>
      </c>
      <c r="E1912" s="751" t="s">
        <v>677</v>
      </c>
      <c r="F1912" s="751" t="s">
        <v>259</v>
      </c>
      <c r="G1912" s="752" t="s">
        <v>1681</v>
      </c>
      <c r="H1912" s="753">
        <v>52917</v>
      </c>
      <c r="I1912" s="754">
        <v>35075.879999999997</v>
      </c>
      <c r="J1912" s="754">
        <v>0</v>
      </c>
      <c r="K1912" s="754">
        <v>0</v>
      </c>
      <c r="L1912" s="754">
        <v>8351.4</v>
      </c>
      <c r="M1912" s="754">
        <f t="shared" si="83"/>
        <v>8351.4</v>
      </c>
      <c r="N1912" s="756">
        <v>35075.879999999997</v>
      </c>
      <c r="O1912" s="720">
        <f t="shared" si="84"/>
        <v>0</v>
      </c>
    </row>
    <row r="1913" spans="1:15" outlineLevel="2" x14ac:dyDescent="0.25">
      <c r="A1913" s="207" t="str">
        <f>VLOOKUP(RIGHT(E1913,3)+0,SchLocTable!$A$2:$B$47,2,FALSE)</f>
        <v>Harding HS</v>
      </c>
      <c r="B1913" s="207" t="str">
        <f>VLOOKUP(VALUE(D1913),$D$3:F$106,3,FALSE)</f>
        <v>Technology Education</v>
      </c>
      <c r="C1913" s="751" t="s">
        <v>246</v>
      </c>
      <c r="D1913" s="751" t="s">
        <v>670</v>
      </c>
      <c r="E1913" s="751" t="s">
        <v>678</v>
      </c>
      <c r="F1913" s="751" t="s">
        <v>248</v>
      </c>
      <c r="G1913" s="752">
        <v>1</v>
      </c>
      <c r="H1913" s="753">
        <v>51000</v>
      </c>
      <c r="I1913" s="754">
        <v>93652.800000000003</v>
      </c>
      <c r="J1913" s="754">
        <v>0</v>
      </c>
      <c r="K1913" s="754">
        <v>0</v>
      </c>
      <c r="L1913" s="754">
        <v>17941.150000000001</v>
      </c>
      <c r="M1913" s="754">
        <f t="shared" si="83"/>
        <v>17941.150000000001</v>
      </c>
      <c r="N1913" s="756">
        <v>93652.800000000003</v>
      </c>
      <c r="O1913" s="720">
        <f t="shared" si="84"/>
        <v>0</v>
      </c>
    </row>
    <row r="1914" spans="1:15" outlineLevel="2" x14ac:dyDescent="0.25">
      <c r="A1914" s="207" t="str">
        <f>VLOOKUP(RIGHT(E1914,3)+0,SchLocTable!$A$2:$B$47,2,FALSE)</f>
        <v>Harding HS</v>
      </c>
      <c r="B1914" s="207" t="str">
        <f>VLOOKUP(VALUE(D1914),$D$3:F$106,3,FALSE)</f>
        <v>Technology Education</v>
      </c>
      <c r="C1914" s="751" t="s">
        <v>246</v>
      </c>
      <c r="D1914" s="751" t="s">
        <v>670</v>
      </c>
      <c r="E1914" s="751" t="s">
        <v>678</v>
      </c>
      <c r="F1914" s="751" t="s">
        <v>254</v>
      </c>
      <c r="G1914" s="752" t="s">
        <v>1681</v>
      </c>
      <c r="H1914" s="753">
        <v>52360</v>
      </c>
      <c r="I1914" s="754">
        <v>1322.32</v>
      </c>
      <c r="J1914" s="754">
        <v>0</v>
      </c>
      <c r="K1914" s="754">
        <v>0</v>
      </c>
      <c r="L1914" s="754">
        <v>224.5</v>
      </c>
      <c r="M1914" s="754">
        <f t="shared" si="83"/>
        <v>224.5</v>
      </c>
      <c r="N1914" s="756">
        <v>1322.32</v>
      </c>
      <c r="O1914" s="720">
        <f t="shared" si="84"/>
        <v>0</v>
      </c>
    </row>
    <row r="1915" spans="1:15" outlineLevel="2" x14ac:dyDescent="0.25">
      <c r="A1915" s="207" t="str">
        <f>VLOOKUP(RIGHT(E1915,3)+0,SchLocTable!$A$2:$B$47,2,FALSE)</f>
        <v>Harding HS</v>
      </c>
      <c r="B1915" s="207" t="str">
        <f>VLOOKUP(VALUE(D1915),$D$3:F$106,3,FALSE)</f>
        <v>Technology Education</v>
      </c>
      <c r="C1915" s="755" t="s">
        <v>246</v>
      </c>
      <c r="D1915" s="751" t="s">
        <v>670</v>
      </c>
      <c r="E1915" s="751" t="s">
        <v>678</v>
      </c>
      <c r="F1915" s="751" t="s">
        <v>292</v>
      </c>
      <c r="G1915" s="752" t="s">
        <v>1681</v>
      </c>
      <c r="H1915" s="753">
        <v>52385</v>
      </c>
      <c r="I1915" s="754">
        <v>0</v>
      </c>
      <c r="J1915" s="754">
        <v>0</v>
      </c>
      <c r="K1915" s="754">
        <v>0</v>
      </c>
      <c r="L1915" s="754">
        <v>0</v>
      </c>
      <c r="M1915" s="754">
        <f t="shared" si="83"/>
        <v>0</v>
      </c>
      <c r="N1915" s="756">
        <v>0</v>
      </c>
      <c r="O1915" s="720">
        <f t="shared" si="84"/>
        <v>0</v>
      </c>
    </row>
    <row r="1916" spans="1:15" outlineLevel="2" x14ac:dyDescent="0.25">
      <c r="A1916" s="207" t="str">
        <f>VLOOKUP(RIGHT(E1916,3)+0,SchLocTable!$A$2:$B$47,2,FALSE)</f>
        <v>Harding HS</v>
      </c>
      <c r="B1916" s="207" t="str">
        <f>VLOOKUP(VALUE(D1916),$D$3:F$106,3,FALSE)</f>
        <v>Technology Education</v>
      </c>
      <c r="C1916" s="751" t="s">
        <v>246</v>
      </c>
      <c r="D1916" s="751" t="s">
        <v>670</v>
      </c>
      <c r="E1916" s="751" t="s">
        <v>678</v>
      </c>
      <c r="F1916" s="751" t="s">
        <v>259</v>
      </c>
      <c r="G1916" s="752" t="s">
        <v>1681</v>
      </c>
      <c r="H1916" s="753">
        <v>52917</v>
      </c>
      <c r="I1916" s="754">
        <v>35075.879999999997</v>
      </c>
      <c r="J1916" s="754">
        <v>0</v>
      </c>
      <c r="K1916" s="754">
        <v>0</v>
      </c>
      <c r="L1916" s="754">
        <v>8351.4</v>
      </c>
      <c r="M1916" s="754">
        <f t="shared" si="83"/>
        <v>8351.4</v>
      </c>
      <c r="N1916" s="756">
        <v>35075.879999999997</v>
      </c>
      <c r="O1916" s="720">
        <f t="shared" si="84"/>
        <v>0</v>
      </c>
    </row>
    <row r="1917" spans="1:15" outlineLevel="2" x14ac:dyDescent="0.25">
      <c r="A1917" s="207" t="e">
        <f>VLOOKUP(RIGHT(E1917,3)+0,SchLocTable!$A$2:$B$47,2,FALSE)</f>
        <v>#N/A</v>
      </c>
      <c r="B1917" s="207" t="str">
        <f>VLOOKUP(VALUE(D1917),$D$3:F$106,3,FALSE)</f>
        <v>Business Education</v>
      </c>
      <c r="C1917" s="751" t="s">
        <v>246</v>
      </c>
      <c r="D1917" s="751" t="s">
        <v>679</v>
      </c>
      <c r="E1917" s="751" t="s">
        <v>1869</v>
      </c>
      <c r="F1917" s="751" t="s">
        <v>257</v>
      </c>
      <c r="G1917" s="752" t="s">
        <v>1681</v>
      </c>
      <c r="H1917" s="753">
        <v>51140</v>
      </c>
      <c r="I1917" s="754">
        <v>1100</v>
      </c>
      <c r="J1917" s="754">
        <v>0</v>
      </c>
      <c r="K1917" s="754">
        <v>0</v>
      </c>
      <c r="L1917" s="754">
        <v>0</v>
      </c>
      <c r="M1917" s="754">
        <f t="shared" si="83"/>
        <v>0</v>
      </c>
      <c r="N1917" s="756">
        <v>1100</v>
      </c>
      <c r="O1917" s="720">
        <f t="shared" si="84"/>
        <v>0</v>
      </c>
    </row>
    <row r="1918" spans="1:15" outlineLevel="2" x14ac:dyDescent="0.25">
      <c r="A1918" s="207" t="e">
        <f>VLOOKUP(RIGHT(E1918,3)+0,SchLocTable!$A$2:$B$47,2,FALSE)</f>
        <v>#N/A</v>
      </c>
      <c r="B1918" s="207" t="str">
        <f>VLOOKUP(VALUE(D1918),$D$3:F$106,3,FALSE)</f>
        <v>Business Education</v>
      </c>
      <c r="C1918" s="751" t="s">
        <v>246</v>
      </c>
      <c r="D1918" s="751" t="s">
        <v>679</v>
      </c>
      <c r="E1918" s="751" t="s">
        <v>1869</v>
      </c>
      <c r="F1918" s="751" t="s">
        <v>254</v>
      </c>
      <c r="G1918" s="752" t="s">
        <v>1681</v>
      </c>
      <c r="H1918" s="753">
        <v>52360</v>
      </c>
      <c r="I1918" s="754">
        <v>0</v>
      </c>
      <c r="J1918" s="754">
        <v>0</v>
      </c>
      <c r="K1918" s="754">
        <v>0</v>
      </c>
      <c r="L1918" s="754">
        <v>0</v>
      </c>
      <c r="M1918" s="754">
        <f t="shared" si="83"/>
        <v>0</v>
      </c>
      <c r="N1918" s="756">
        <v>0</v>
      </c>
      <c r="O1918" s="720">
        <f t="shared" si="84"/>
        <v>0</v>
      </c>
    </row>
    <row r="1919" spans="1:15" outlineLevel="2" x14ac:dyDescent="0.25">
      <c r="A1919" s="207" t="str">
        <f>VLOOKUP(RIGHT(E1919,3)+0,SchLocTable!$A$2:$B$47,2,FALSE)</f>
        <v>Info Tech HS</v>
      </c>
      <c r="B1919" s="207" t="str">
        <f>VLOOKUP(VALUE(D1919),$D$3:F$106,3,FALSE)</f>
        <v>Business Education</v>
      </c>
      <c r="C1919" s="751" t="s">
        <v>246</v>
      </c>
      <c r="D1919" s="751" t="s">
        <v>679</v>
      </c>
      <c r="E1919" s="751" t="s">
        <v>2003</v>
      </c>
      <c r="F1919" s="751" t="s">
        <v>248</v>
      </c>
      <c r="G1919" s="752">
        <v>1</v>
      </c>
      <c r="H1919" s="753">
        <v>51000</v>
      </c>
      <c r="I1919" s="754">
        <v>49225</v>
      </c>
      <c r="J1919" s="754">
        <v>0</v>
      </c>
      <c r="K1919" s="754">
        <v>0</v>
      </c>
      <c r="L1919" s="754">
        <v>8500</v>
      </c>
      <c r="M1919" s="754">
        <f t="shared" ref="M1919:M1982" si="85">SUM(J1919:L1919)</f>
        <v>8500</v>
      </c>
      <c r="N1919" s="756">
        <v>49225</v>
      </c>
      <c r="O1919" s="720">
        <f t="shared" ref="O1919:O1982" si="86">I1919-N1919</f>
        <v>0</v>
      </c>
    </row>
    <row r="1920" spans="1:15" outlineLevel="2" x14ac:dyDescent="0.25">
      <c r="A1920" s="207" t="str">
        <f>VLOOKUP(RIGHT(E1920,3)+0,SchLocTable!$A$2:$B$47,2,FALSE)</f>
        <v>Info Tech HS</v>
      </c>
      <c r="B1920" s="207" t="str">
        <f>VLOOKUP(VALUE(D1920),$D$3:F$106,3,FALSE)</f>
        <v>Business Education</v>
      </c>
      <c r="C1920" s="751" t="s">
        <v>246</v>
      </c>
      <c r="D1920" s="751" t="s">
        <v>679</v>
      </c>
      <c r="E1920" s="751" t="s">
        <v>2003</v>
      </c>
      <c r="F1920" s="751" t="s">
        <v>254</v>
      </c>
      <c r="G1920" s="752" t="s">
        <v>1681</v>
      </c>
      <c r="H1920" s="753">
        <v>52360</v>
      </c>
      <c r="I1920" s="754">
        <v>704.12</v>
      </c>
      <c r="J1920" s="754">
        <v>0</v>
      </c>
      <c r="K1920" s="754">
        <v>0</v>
      </c>
      <c r="L1920" s="754">
        <v>113.61</v>
      </c>
      <c r="M1920" s="754">
        <f t="shared" si="85"/>
        <v>113.61</v>
      </c>
      <c r="N1920" s="756">
        <v>704.12</v>
      </c>
      <c r="O1920" s="720">
        <f t="shared" si="86"/>
        <v>0</v>
      </c>
    </row>
    <row r="1921" spans="1:15" outlineLevel="2" x14ac:dyDescent="0.25">
      <c r="A1921" s="207" t="str">
        <f>VLOOKUP(RIGHT(E1921,3)+0,SchLocTable!$A$2:$B$47,2,FALSE)</f>
        <v>Info Tech HS</v>
      </c>
      <c r="B1921" s="207" t="str">
        <f>VLOOKUP(VALUE(D1921),$D$3:F$106,3,FALSE)</f>
        <v>Business Education</v>
      </c>
      <c r="C1921" s="751" t="s">
        <v>246</v>
      </c>
      <c r="D1921" s="751" t="s">
        <v>679</v>
      </c>
      <c r="E1921" s="751" t="s">
        <v>2003</v>
      </c>
      <c r="F1921" s="751" t="s">
        <v>292</v>
      </c>
      <c r="G1921" s="752" t="s">
        <v>1681</v>
      </c>
      <c r="H1921" s="753">
        <v>52385</v>
      </c>
      <c r="I1921" s="754">
        <v>2824.11</v>
      </c>
      <c r="J1921" s="754">
        <v>0</v>
      </c>
      <c r="K1921" s="754">
        <v>0</v>
      </c>
      <c r="L1921" s="754">
        <v>485.77</v>
      </c>
      <c r="M1921" s="754">
        <f t="shared" si="85"/>
        <v>485.77</v>
      </c>
      <c r="N1921" s="756">
        <v>2824.11</v>
      </c>
      <c r="O1921" s="720">
        <f t="shared" si="86"/>
        <v>0</v>
      </c>
    </row>
    <row r="1922" spans="1:15" outlineLevel="2" x14ac:dyDescent="0.25">
      <c r="A1922" s="207" t="str">
        <f>VLOOKUP(RIGHT(E1922,3)+0,SchLocTable!$A$2:$B$47,2,FALSE)</f>
        <v>Info Tech HS</v>
      </c>
      <c r="B1922" s="207" t="str">
        <f>VLOOKUP(VALUE(D1922),$D$3:F$106,3,FALSE)</f>
        <v>Business Education</v>
      </c>
      <c r="C1922" s="751" t="s">
        <v>246</v>
      </c>
      <c r="D1922" s="751" t="s">
        <v>679</v>
      </c>
      <c r="E1922" s="751" t="s">
        <v>2003</v>
      </c>
      <c r="F1922" s="751" t="s">
        <v>259</v>
      </c>
      <c r="G1922" s="752" t="s">
        <v>1681</v>
      </c>
      <c r="H1922" s="753">
        <v>52917</v>
      </c>
      <c r="I1922" s="754">
        <v>12506.83</v>
      </c>
      <c r="J1922" s="754">
        <v>0</v>
      </c>
      <c r="K1922" s="754">
        <v>0</v>
      </c>
      <c r="L1922" s="754">
        <v>2263.6799999999998</v>
      </c>
      <c r="M1922" s="754">
        <f t="shared" si="85"/>
        <v>2263.6799999999998</v>
      </c>
      <c r="N1922" s="756">
        <v>12506.83</v>
      </c>
      <c r="O1922" s="720">
        <f t="shared" si="86"/>
        <v>0</v>
      </c>
    </row>
    <row r="1923" spans="1:15" outlineLevel="2" x14ac:dyDescent="0.25">
      <c r="A1923" s="207" t="str">
        <f>VLOOKUP(RIGHT(E1923,3)+0,SchLocTable!$A$2:$B$47,2,FALSE)</f>
        <v>BMA HS</v>
      </c>
      <c r="B1923" s="207" t="str">
        <f>VLOOKUP(VALUE(D1923),$D$3:F$106,3,FALSE)</f>
        <v>Business Education</v>
      </c>
      <c r="C1923" s="751" t="s">
        <v>246</v>
      </c>
      <c r="D1923" s="751" t="s">
        <v>679</v>
      </c>
      <c r="E1923" s="751" t="s">
        <v>2004</v>
      </c>
      <c r="F1923" s="751" t="s">
        <v>248</v>
      </c>
      <c r="G1923" s="752">
        <v>1</v>
      </c>
      <c r="H1923" s="753">
        <v>51000</v>
      </c>
      <c r="I1923" s="754">
        <v>52764.28</v>
      </c>
      <c r="J1923" s="754">
        <v>0</v>
      </c>
      <c r="K1923" s="754">
        <v>0</v>
      </c>
      <c r="L1923" s="754">
        <v>10108.1</v>
      </c>
      <c r="M1923" s="754">
        <f t="shared" si="85"/>
        <v>10108.1</v>
      </c>
      <c r="N1923" s="756">
        <v>52764.28</v>
      </c>
      <c r="O1923" s="720">
        <f t="shared" si="86"/>
        <v>0</v>
      </c>
    </row>
    <row r="1924" spans="1:15" outlineLevel="2" x14ac:dyDescent="0.25">
      <c r="A1924" s="207" t="str">
        <f>VLOOKUP(RIGHT(E1924,3)+0,SchLocTable!$A$2:$B$47,2,FALSE)</f>
        <v>BMA HS</v>
      </c>
      <c r="B1924" s="207" t="str">
        <f>VLOOKUP(VALUE(D1924),$D$3:F$106,3,FALSE)</f>
        <v>Business Education</v>
      </c>
      <c r="C1924" s="751" t="s">
        <v>246</v>
      </c>
      <c r="D1924" s="751" t="s">
        <v>679</v>
      </c>
      <c r="E1924" s="751" t="s">
        <v>2004</v>
      </c>
      <c r="F1924" s="751" t="s">
        <v>254</v>
      </c>
      <c r="G1924" s="752" t="s">
        <v>1681</v>
      </c>
      <c r="H1924" s="753">
        <v>52360</v>
      </c>
      <c r="I1924" s="754">
        <v>753.03</v>
      </c>
      <c r="J1924" s="754">
        <v>0</v>
      </c>
      <c r="K1924" s="754">
        <v>0</v>
      </c>
      <c r="L1924" s="754">
        <v>134.52000000000001</v>
      </c>
      <c r="M1924" s="754">
        <f t="shared" si="85"/>
        <v>134.52000000000001</v>
      </c>
      <c r="N1924" s="756">
        <v>753.03</v>
      </c>
      <c r="O1924" s="720">
        <f t="shared" si="86"/>
        <v>0</v>
      </c>
    </row>
    <row r="1925" spans="1:15" outlineLevel="2" x14ac:dyDescent="0.25">
      <c r="A1925" s="207" t="str">
        <f>VLOOKUP(RIGHT(E1925,3)+0,SchLocTable!$A$2:$B$47,2,FALSE)</f>
        <v>BMA HS</v>
      </c>
      <c r="B1925" s="207" t="str">
        <f>VLOOKUP(VALUE(D1925),$D$3:F$106,3,FALSE)</f>
        <v>Business Education</v>
      </c>
      <c r="C1925" s="755" t="s">
        <v>246</v>
      </c>
      <c r="D1925" s="751" t="s">
        <v>679</v>
      </c>
      <c r="E1925" s="751" t="s">
        <v>2004</v>
      </c>
      <c r="F1925" s="751" t="s">
        <v>292</v>
      </c>
      <c r="G1925" s="752" t="s">
        <v>1681</v>
      </c>
      <c r="H1925" s="753">
        <v>52385</v>
      </c>
      <c r="I1925" s="754">
        <v>0</v>
      </c>
      <c r="J1925" s="754">
        <v>0</v>
      </c>
      <c r="K1925" s="754">
        <v>0</v>
      </c>
      <c r="L1925" s="754">
        <v>0</v>
      </c>
      <c r="M1925" s="754">
        <f t="shared" si="85"/>
        <v>0</v>
      </c>
      <c r="N1925" s="756">
        <v>0</v>
      </c>
      <c r="O1925" s="720">
        <f t="shared" si="86"/>
        <v>0</v>
      </c>
    </row>
    <row r="1926" spans="1:15" outlineLevel="2" x14ac:dyDescent="0.25">
      <c r="A1926" s="207" t="str">
        <f>VLOOKUP(RIGHT(E1926,3)+0,SchLocTable!$A$2:$B$47,2,FALSE)</f>
        <v>BMA HS</v>
      </c>
      <c r="B1926" s="207" t="str">
        <f>VLOOKUP(VALUE(D1926),$D$3:F$106,3,FALSE)</f>
        <v>Business Education</v>
      </c>
      <c r="C1926" s="751" t="s">
        <v>246</v>
      </c>
      <c r="D1926" s="751" t="s">
        <v>679</v>
      </c>
      <c r="E1926" s="751" t="s">
        <v>2004</v>
      </c>
      <c r="F1926" s="751" t="s">
        <v>259</v>
      </c>
      <c r="G1926" s="752" t="s">
        <v>1681</v>
      </c>
      <c r="H1926" s="753">
        <v>52917</v>
      </c>
      <c r="I1926" s="754">
        <v>2820</v>
      </c>
      <c r="J1926" s="754">
        <v>0</v>
      </c>
      <c r="K1926" s="754">
        <v>0</v>
      </c>
      <c r="L1926" s="754">
        <v>2820</v>
      </c>
      <c r="M1926" s="754">
        <f t="shared" si="85"/>
        <v>2820</v>
      </c>
      <c r="N1926" s="756">
        <v>2820</v>
      </c>
      <c r="O1926" s="720">
        <f t="shared" si="86"/>
        <v>0</v>
      </c>
    </row>
    <row r="1927" spans="1:15" outlineLevel="2" x14ac:dyDescent="0.25">
      <c r="A1927" s="207" t="str">
        <f>VLOOKUP(RIGHT(E1927,3)+0,SchLocTable!$A$2:$B$47,2,FALSE)</f>
        <v>Bassick HS</v>
      </c>
      <c r="B1927" s="207" t="str">
        <f>VLOOKUP(VALUE(D1927),$D$3:F$106,3,FALSE)</f>
        <v>Business Education</v>
      </c>
      <c r="C1927" s="751" t="s">
        <v>246</v>
      </c>
      <c r="D1927" s="751" t="s">
        <v>679</v>
      </c>
      <c r="E1927" s="751" t="s">
        <v>680</v>
      </c>
      <c r="F1927" s="751" t="s">
        <v>248</v>
      </c>
      <c r="G1927" s="752">
        <v>1</v>
      </c>
      <c r="H1927" s="753">
        <v>51000</v>
      </c>
      <c r="I1927" s="754">
        <v>64218.01</v>
      </c>
      <c r="J1927" s="754">
        <v>0</v>
      </c>
      <c r="K1927" s="754">
        <v>0</v>
      </c>
      <c r="L1927" s="754">
        <v>12302.3</v>
      </c>
      <c r="M1927" s="754">
        <f t="shared" si="85"/>
        <v>12302.3</v>
      </c>
      <c r="N1927" s="756">
        <v>64218.01</v>
      </c>
      <c r="O1927" s="720">
        <f t="shared" si="86"/>
        <v>0</v>
      </c>
    </row>
    <row r="1928" spans="1:15" outlineLevel="2" x14ac:dyDescent="0.25">
      <c r="A1928" s="207" t="str">
        <f>VLOOKUP(RIGHT(E1928,3)+0,SchLocTable!$A$2:$B$47,2,FALSE)</f>
        <v>Bassick HS</v>
      </c>
      <c r="B1928" s="207" t="str">
        <f>VLOOKUP(VALUE(D1928),$D$3:F$106,3,FALSE)</f>
        <v>Business Education</v>
      </c>
      <c r="C1928" s="751" t="s">
        <v>246</v>
      </c>
      <c r="D1928" s="751" t="s">
        <v>679</v>
      </c>
      <c r="E1928" s="751" t="s">
        <v>680</v>
      </c>
      <c r="F1928" s="751" t="s">
        <v>257</v>
      </c>
      <c r="G1928" s="752" t="s">
        <v>1681</v>
      </c>
      <c r="H1928" s="753">
        <v>51140</v>
      </c>
      <c r="I1928" s="754">
        <v>2400</v>
      </c>
      <c r="J1928" s="754">
        <v>0</v>
      </c>
      <c r="K1928" s="754">
        <v>0</v>
      </c>
      <c r="L1928" s="754">
        <v>0</v>
      </c>
      <c r="M1928" s="754">
        <f t="shared" si="85"/>
        <v>0</v>
      </c>
      <c r="N1928" s="756">
        <v>2400</v>
      </c>
      <c r="O1928" s="720">
        <f t="shared" si="86"/>
        <v>0</v>
      </c>
    </row>
    <row r="1929" spans="1:15" outlineLevel="2" x14ac:dyDescent="0.25">
      <c r="A1929" s="207" t="str">
        <f>VLOOKUP(RIGHT(E1929,3)+0,SchLocTable!$A$2:$B$47,2,FALSE)</f>
        <v>Bassick HS</v>
      </c>
      <c r="B1929" s="207" t="str">
        <f>VLOOKUP(VALUE(D1929),$D$3:F$106,3,FALSE)</f>
        <v>Business Education</v>
      </c>
      <c r="C1929" s="751" t="s">
        <v>246</v>
      </c>
      <c r="D1929" s="751" t="s">
        <v>679</v>
      </c>
      <c r="E1929" s="751" t="s">
        <v>680</v>
      </c>
      <c r="F1929" s="751" t="s">
        <v>252</v>
      </c>
      <c r="G1929" s="752" t="s">
        <v>1681</v>
      </c>
      <c r="H1929" s="753">
        <v>51154</v>
      </c>
      <c r="I1929" s="754">
        <v>0</v>
      </c>
      <c r="J1929" s="754">
        <v>0</v>
      </c>
      <c r="K1929" s="754">
        <v>0</v>
      </c>
      <c r="L1929" s="754">
        <v>0</v>
      </c>
      <c r="M1929" s="754">
        <f t="shared" si="85"/>
        <v>0</v>
      </c>
      <c r="N1929" s="756">
        <v>0</v>
      </c>
      <c r="O1929" s="720">
        <f t="shared" si="86"/>
        <v>0</v>
      </c>
    </row>
    <row r="1930" spans="1:15" outlineLevel="2" x14ac:dyDescent="0.25">
      <c r="A1930" s="207" t="str">
        <f>VLOOKUP(RIGHT(E1930,3)+0,SchLocTable!$A$2:$B$47,2,FALSE)</f>
        <v>Bassick HS</v>
      </c>
      <c r="B1930" s="207" t="str">
        <f>VLOOKUP(VALUE(D1930),$D$3:F$106,3,FALSE)</f>
        <v>Business Education</v>
      </c>
      <c r="C1930" s="751" t="s">
        <v>246</v>
      </c>
      <c r="D1930" s="751" t="s">
        <v>679</v>
      </c>
      <c r="E1930" s="751" t="s">
        <v>680</v>
      </c>
      <c r="F1930" s="751" t="s">
        <v>254</v>
      </c>
      <c r="G1930" s="752" t="s">
        <v>1681</v>
      </c>
      <c r="H1930" s="753">
        <v>52360</v>
      </c>
      <c r="I1930" s="754">
        <v>919.12</v>
      </c>
      <c r="J1930" s="754">
        <v>0</v>
      </c>
      <c r="K1930" s="754">
        <v>0</v>
      </c>
      <c r="L1930" s="754">
        <v>166.34</v>
      </c>
      <c r="M1930" s="754">
        <f t="shared" si="85"/>
        <v>166.34</v>
      </c>
      <c r="N1930" s="756">
        <v>919.12</v>
      </c>
      <c r="O1930" s="720">
        <f t="shared" si="86"/>
        <v>0</v>
      </c>
    </row>
    <row r="1931" spans="1:15" outlineLevel="2" x14ac:dyDescent="0.25">
      <c r="A1931" s="207" t="str">
        <f>VLOOKUP(RIGHT(E1931,3)+0,SchLocTable!$A$2:$B$47,2,FALSE)</f>
        <v>Bassick HS</v>
      </c>
      <c r="B1931" s="207" t="str">
        <f>VLOOKUP(VALUE(D1931),$D$3:F$106,3,FALSE)</f>
        <v>Business Education</v>
      </c>
      <c r="C1931" s="751" t="s">
        <v>246</v>
      </c>
      <c r="D1931" s="751" t="s">
        <v>679</v>
      </c>
      <c r="E1931" s="751" t="s">
        <v>680</v>
      </c>
      <c r="F1931" s="751" t="s">
        <v>259</v>
      </c>
      <c r="G1931" s="752" t="s">
        <v>1681</v>
      </c>
      <c r="H1931" s="753">
        <v>52917</v>
      </c>
      <c r="I1931" s="754">
        <v>11844</v>
      </c>
      <c r="J1931" s="754">
        <v>0</v>
      </c>
      <c r="K1931" s="754">
        <v>0</v>
      </c>
      <c r="L1931" s="754">
        <v>2820</v>
      </c>
      <c r="M1931" s="754">
        <f t="shared" si="85"/>
        <v>2820</v>
      </c>
      <c r="N1931" s="756">
        <v>11844</v>
      </c>
      <c r="O1931" s="720">
        <f t="shared" si="86"/>
        <v>0</v>
      </c>
    </row>
    <row r="1932" spans="1:15" outlineLevel="1" x14ac:dyDescent="0.25">
      <c r="A1932" s="207" t="str">
        <f>VLOOKUP(RIGHT(E1932,3)+0,SchLocTable!$A$2:$B$47,2,FALSE)</f>
        <v>Harding HS</v>
      </c>
      <c r="B1932" s="207" t="str">
        <f>VLOOKUP(VALUE(D1932),$D$3:F$106,3,FALSE)</f>
        <v>Business Education</v>
      </c>
      <c r="C1932" s="751" t="s">
        <v>246</v>
      </c>
      <c r="D1932" s="751" t="s">
        <v>679</v>
      </c>
      <c r="E1932" s="751" t="s">
        <v>2115</v>
      </c>
      <c r="F1932" s="751" t="s">
        <v>248</v>
      </c>
      <c r="G1932" s="752">
        <v>1</v>
      </c>
      <c r="H1932" s="753">
        <v>51000</v>
      </c>
      <c r="I1932" s="754">
        <v>103153.2</v>
      </c>
      <c r="J1932" s="754">
        <v>0</v>
      </c>
      <c r="K1932" s="754">
        <v>0</v>
      </c>
      <c r="L1932" s="754">
        <v>19761.150000000001</v>
      </c>
      <c r="M1932" s="754">
        <f t="shared" si="85"/>
        <v>19761.150000000001</v>
      </c>
      <c r="N1932" s="756">
        <v>103153.2</v>
      </c>
      <c r="O1932" s="720">
        <f t="shared" si="86"/>
        <v>0</v>
      </c>
    </row>
    <row r="1933" spans="1:15" outlineLevel="2" x14ac:dyDescent="0.25">
      <c r="A1933" s="207" t="str">
        <f>VLOOKUP(RIGHT(E1933,3)+0,SchLocTable!$A$2:$B$47,2,FALSE)</f>
        <v>Harding HS</v>
      </c>
      <c r="B1933" s="207" t="str">
        <f>VLOOKUP(VALUE(D1933),$D$3:F$106,3,FALSE)</f>
        <v>Business Education</v>
      </c>
      <c r="C1933" s="751" t="s">
        <v>246</v>
      </c>
      <c r="D1933" s="751" t="s">
        <v>679</v>
      </c>
      <c r="E1933" s="751" t="s">
        <v>2115</v>
      </c>
      <c r="F1933" s="751" t="s">
        <v>257</v>
      </c>
      <c r="G1933" s="752" t="s">
        <v>1681</v>
      </c>
      <c r="H1933" s="753">
        <v>51140</v>
      </c>
      <c r="I1933" s="754">
        <v>1200</v>
      </c>
      <c r="J1933" s="754">
        <v>0</v>
      </c>
      <c r="K1933" s="754">
        <v>0</v>
      </c>
      <c r="L1933" s="754">
        <v>0</v>
      </c>
      <c r="M1933" s="754">
        <f t="shared" si="85"/>
        <v>0</v>
      </c>
      <c r="N1933" s="756">
        <v>1200</v>
      </c>
      <c r="O1933" s="720">
        <f t="shared" si="86"/>
        <v>0</v>
      </c>
    </row>
    <row r="1934" spans="1:15" outlineLevel="2" x14ac:dyDescent="0.25">
      <c r="A1934" s="207" t="str">
        <f>VLOOKUP(RIGHT(E1934,3)+0,SchLocTable!$A$2:$B$47,2,FALSE)</f>
        <v>Harding HS</v>
      </c>
      <c r="B1934" s="207" t="str">
        <f>VLOOKUP(VALUE(D1934),$D$3:F$106,3,FALSE)</f>
        <v>Business Education</v>
      </c>
      <c r="C1934" s="751" t="s">
        <v>246</v>
      </c>
      <c r="D1934" s="751" t="s">
        <v>679</v>
      </c>
      <c r="E1934" s="751" t="s">
        <v>2115</v>
      </c>
      <c r="F1934" s="751" t="s">
        <v>254</v>
      </c>
      <c r="G1934" s="752" t="s">
        <v>1681</v>
      </c>
      <c r="H1934" s="753">
        <v>52360</v>
      </c>
      <c r="I1934" s="754">
        <v>1483.68</v>
      </c>
      <c r="J1934" s="754">
        <v>0</v>
      </c>
      <c r="K1934" s="754">
        <v>0</v>
      </c>
      <c r="L1934" s="754">
        <v>274.5</v>
      </c>
      <c r="M1934" s="754">
        <f t="shared" si="85"/>
        <v>274.5</v>
      </c>
      <c r="N1934" s="756">
        <v>1483.68</v>
      </c>
      <c r="O1934" s="720">
        <f t="shared" si="86"/>
        <v>0</v>
      </c>
    </row>
    <row r="1935" spans="1:15" outlineLevel="2" x14ac:dyDescent="0.25">
      <c r="A1935" s="207" t="str">
        <f>VLOOKUP(RIGHT(E1935,3)+0,SchLocTable!$A$2:$B$47,2,FALSE)</f>
        <v>Harding HS</v>
      </c>
      <c r="B1935" s="207" t="str">
        <f>VLOOKUP(VALUE(D1935),$D$3:F$106,3,FALSE)</f>
        <v>Business Education</v>
      </c>
      <c r="C1935" s="751" t="s">
        <v>246</v>
      </c>
      <c r="D1935" s="751" t="s">
        <v>679</v>
      </c>
      <c r="E1935" s="751" t="s">
        <v>2115</v>
      </c>
      <c r="F1935" s="751" t="s">
        <v>259</v>
      </c>
      <c r="G1935" s="752" t="s">
        <v>1681</v>
      </c>
      <c r="H1935" s="753">
        <v>52917</v>
      </c>
      <c r="I1935" s="754">
        <v>2820</v>
      </c>
      <c r="J1935" s="754">
        <v>0</v>
      </c>
      <c r="K1935" s="754">
        <v>0</v>
      </c>
      <c r="L1935" s="754">
        <v>2820</v>
      </c>
      <c r="M1935" s="754">
        <f t="shared" si="85"/>
        <v>2820</v>
      </c>
      <c r="N1935" s="756">
        <v>2820</v>
      </c>
      <c r="O1935" s="720">
        <f t="shared" si="86"/>
        <v>0</v>
      </c>
    </row>
    <row r="1936" spans="1:15" outlineLevel="2" x14ac:dyDescent="0.25">
      <c r="A1936" s="207" t="e">
        <f>VLOOKUP(RIGHT(E1936,3)+0,SchLocTable!$A$2:$B$47,2,FALSE)</f>
        <v>#N/A</v>
      </c>
      <c r="B1936" s="207" t="str">
        <f>VLOOKUP(VALUE(D1936),$D$3:F$106,3,FALSE)</f>
        <v>Talented &amp; Gifted</v>
      </c>
      <c r="C1936" s="751" t="s">
        <v>246</v>
      </c>
      <c r="D1936" s="751" t="s">
        <v>681</v>
      </c>
      <c r="E1936" s="751" t="s">
        <v>1756</v>
      </c>
      <c r="F1936" s="751" t="s">
        <v>248</v>
      </c>
      <c r="G1936" s="752" t="s">
        <v>1681</v>
      </c>
      <c r="H1936" s="753">
        <v>51000</v>
      </c>
      <c r="I1936" s="754">
        <v>0</v>
      </c>
      <c r="J1936" s="754">
        <v>0</v>
      </c>
      <c r="K1936" s="754">
        <v>0</v>
      </c>
      <c r="L1936" s="754">
        <v>0</v>
      </c>
      <c r="M1936" s="754">
        <f t="shared" si="85"/>
        <v>0</v>
      </c>
      <c r="N1936" s="756">
        <v>0</v>
      </c>
      <c r="O1936" s="720">
        <f t="shared" si="86"/>
        <v>0</v>
      </c>
    </row>
    <row r="1937" spans="1:15" outlineLevel="2" x14ac:dyDescent="0.25">
      <c r="A1937" s="207" t="e">
        <f>VLOOKUP(RIGHT(E1937,3)+0,SchLocTable!$A$2:$B$47,2,FALSE)</f>
        <v>#N/A</v>
      </c>
      <c r="B1937" s="207" t="str">
        <f>VLOOKUP(VALUE(D1937),$D$3:F$106,3,FALSE)</f>
        <v>Talented &amp; Gifted</v>
      </c>
      <c r="C1937" s="751" t="s">
        <v>246</v>
      </c>
      <c r="D1937" s="751" t="s">
        <v>681</v>
      </c>
      <c r="E1937" s="751" t="s">
        <v>1756</v>
      </c>
      <c r="F1937" s="751" t="s">
        <v>254</v>
      </c>
      <c r="G1937" s="752" t="s">
        <v>1681</v>
      </c>
      <c r="H1937" s="753">
        <v>52360</v>
      </c>
      <c r="I1937" s="754">
        <v>0</v>
      </c>
      <c r="J1937" s="754">
        <v>0</v>
      </c>
      <c r="K1937" s="754">
        <v>0</v>
      </c>
      <c r="L1937" s="754">
        <v>0</v>
      </c>
      <c r="M1937" s="754">
        <f t="shared" si="85"/>
        <v>0</v>
      </c>
      <c r="N1937" s="756">
        <v>0</v>
      </c>
      <c r="O1937" s="720">
        <f t="shared" si="86"/>
        <v>0</v>
      </c>
    </row>
    <row r="1938" spans="1:15" outlineLevel="2" x14ac:dyDescent="0.25">
      <c r="A1938" s="207" t="str">
        <f>VLOOKUP(RIGHT(E1938,3)+0,SchLocTable!$A$2:$B$47,2,FALSE)</f>
        <v>Winthrop</v>
      </c>
      <c r="B1938" s="207" t="str">
        <f>VLOOKUP(VALUE(D1938),$D$3:F$106,3,FALSE)</f>
        <v>Talented &amp; Gifted</v>
      </c>
      <c r="C1938" s="755" t="s">
        <v>246</v>
      </c>
      <c r="D1938" s="751" t="s">
        <v>681</v>
      </c>
      <c r="E1938" s="751" t="s">
        <v>682</v>
      </c>
      <c r="F1938" s="751" t="s">
        <v>248</v>
      </c>
      <c r="G1938" s="752">
        <v>2</v>
      </c>
      <c r="H1938" s="753">
        <v>51000</v>
      </c>
      <c r="I1938" s="754">
        <v>206306.41</v>
      </c>
      <c r="J1938" s="754">
        <v>0</v>
      </c>
      <c r="K1938" s="754">
        <v>0</v>
      </c>
      <c r="L1938" s="754">
        <v>39522.300000000003</v>
      </c>
      <c r="M1938" s="754">
        <f t="shared" si="85"/>
        <v>39522.300000000003</v>
      </c>
      <c r="N1938" s="756">
        <v>206306.41</v>
      </c>
      <c r="O1938" s="720">
        <f t="shared" si="86"/>
        <v>0</v>
      </c>
    </row>
    <row r="1939" spans="1:15" outlineLevel="2" x14ac:dyDescent="0.25">
      <c r="A1939" s="207" t="str">
        <f>VLOOKUP(RIGHT(E1939,3)+0,SchLocTable!$A$2:$B$47,2,FALSE)</f>
        <v>Winthrop</v>
      </c>
      <c r="B1939" s="207" t="str">
        <f>VLOOKUP(VALUE(D1939),$D$3:F$106,3,FALSE)</f>
        <v>Talented &amp; Gifted</v>
      </c>
      <c r="C1939" s="751" t="s">
        <v>246</v>
      </c>
      <c r="D1939" s="751" t="s">
        <v>681</v>
      </c>
      <c r="E1939" s="751" t="s">
        <v>682</v>
      </c>
      <c r="F1939" s="751" t="s">
        <v>257</v>
      </c>
      <c r="G1939" s="752" t="s">
        <v>1681</v>
      </c>
      <c r="H1939" s="753">
        <v>51140</v>
      </c>
      <c r="I1939" s="754">
        <v>2100</v>
      </c>
      <c r="J1939" s="754">
        <v>0</v>
      </c>
      <c r="K1939" s="754">
        <v>0</v>
      </c>
      <c r="L1939" s="754">
        <v>0</v>
      </c>
      <c r="M1939" s="754">
        <f t="shared" si="85"/>
        <v>0</v>
      </c>
      <c r="N1939" s="756">
        <v>2100</v>
      </c>
      <c r="O1939" s="720">
        <f t="shared" si="86"/>
        <v>0</v>
      </c>
    </row>
    <row r="1940" spans="1:15" outlineLevel="1" x14ac:dyDescent="0.25">
      <c r="A1940" s="207" t="str">
        <f>VLOOKUP(RIGHT(E1940,3)+0,SchLocTable!$A$2:$B$47,2,FALSE)</f>
        <v>Winthrop</v>
      </c>
      <c r="B1940" s="207" t="str">
        <f>VLOOKUP(VALUE(D1940),$D$3:F$106,3,FALSE)</f>
        <v>Talented &amp; Gifted</v>
      </c>
      <c r="C1940" s="751" t="s">
        <v>246</v>
      </c>
      <c r="D1940" s="751" t="s">
        <v>681</v>
      </c>
      <c r="E1940" s="751" t="s">
        <v>682</v>
      </c>
      <c r="F1940" s="751" t="s">
        <v>254</v>
      </c>
      <c r="G1940" s="752" t="s">
        <v>1681</v>
      </c>
      <c r="H1940" s="753">
        <v>52360</v>
      </c>
      <c r="I1940" s="754">
        <v>2920.15</v>
      </c>
      <c r="J1940" s="754">
        <v>0</v>
      </c>
      <c r="K1940" s="754">
        <v>0</v>
      </c>
      <c r="L1940" s="754">
        <v>501.78</v>
      </c>
      <c r="M1940" s="754">
        <f t="shared" si="85"/>
        <v>501.78</v>
      </c>
      <c r="N1940" s="756">
        <v>2920.15</v>
      </c>
      <c r="O1940" s="720">
        <f t="shared" si="86"/>
        <v>0</v>
      </c>
    </row>
    <row r="1941" spans="1:15" outlineLevel="2" x14ac:dyDescent="0.25">
      <c r="A1941" s="207" t="str">
        <f>VLOOKUP(RIGHT(E1941,3)+0,SchLocTable!$A$2:$B$47,2,FALSE)</f>
        <v>Winthrop</v>
      </c>
      <c r="B1941" s="207" t="str">
        <f>VLOOKUP(VALUE(D1941),$D$3:F$106,3,FALSE)</f>
        <v>Talented &amp; Gifted</v>
      </c>
      <c r="C1941" s="751" t="s">
        <v>246</v>
      </c>
      <c r="D1941" s="751" t="s">
        <v>681</v>
      </c>
      <c r="E1941" s="751" t="s">
        <v>682</v>
      </c>
      <c r="F1941" s="751" t="s">
        <v>259</v>
      </c>
      <c r="G1941" s="752" t="s">
        <v>1681</v>
      </c>
      <c r="H1941" s="753">
        <v>52917</v>
      </c>
      <c r="I1941" s="754">
        <v>70151.759999999995</v>
      </c>
      <c r="J1941" s="754">
        <v>0</v>
      </c>
      <c r="K1941" s="754">
        <v>0</v>
      </c>
      <c r="L1941" s="754">
        <v>16702.8</v>
      </c>
      <c r="M1941" s="754">
        <f t="shared" si="85"/>
        <v>16702.8</v>
      </c>
      <c r="N1941" s="756">
        <v>70151.759999999995</v>
      </c>
      <c r="O1941" s="720">
        <f t="shared" si="86"/>
        <v>0</v>
      </c>
    </row>
    <row r="1942" spans="1:15" outlineLevel="2" x14ac:dyDescent="0.25">
      <c r="A1942" s="207" t="e">
        <f>VLOOKUP(RIGHT(E1942,3)+0,SchLocTable!$A$2:$B$47,2,FALSE)</f>
        <v>#N/A</v>
      </c>
      <c r="B1942" s="207" t="str">
        <f>VLOOKUP(VALUE(D1942),$D$3:F$106,3,FALSE)</f>
        <v>Homebound</v>
      </c>
      <c r="C1942" s="751" t="s">
        <v>246</v>
      </c>
      <c r="D1942" s="751" t="s">
        <v>683</v>
      </c>
      <c r="E1942" s="751" t="s">
        <v>684</v>
      </c>
      <c r="F1942" s="751" t="s">
        <v>685</v>
      </c>
      <c r="G1942" s="752" t="s">
        <v>1681</v>
      </c>
      <c r="H1942" s="753">
        <v>51026</v>
      </c>
      <c r="I1942" s="754">
        <v>8816.5</v>
      </c>
      <c r="J1942" s="754">
        <v>0</v>
      </c>
      <c r="K1942" s="754">
        <v>0</v>
      </c>
      <c r="L1942" s="754">
        <v>693</v>
      </c>
      <c r="M1942" s="754">
        <f t="shared" si="85"/>
        <v>693</v>
      </c>
      <c r="N1942" s="756">
        <v>8816.5</v>
      </c>
      <c r="O1942" s="720">
        <f t="shared" si="86"/>
        <v>0</v>
      </c>
    </row>
    <row r="1943" spans="1:15" outlineLevel="2" x14ac:dyDescent="0.25">
      <c r="A1943" s="207" t="e">
        <f>VLOOKUP(RIGHT(E1943,3)+0,SchLocTable!$A$2:$B$47,2,FALSE)</f>
        <v>#N/A</v>
      </c>
      <c r="B1943" s="207" t="str">
        <f>VLOOKUP(VALUE(D1943),$D$3:F$106,3,FALSE)</f>
        <v>Homebound</v>
      </c>
      <c r="C1943" s="751" t="s">
        <v>246</v>
      </c>
      <c r="D1943" s="751" t="s">
        <v>683</v>
      </c>
      <c r="E1943" s="751" t="s">
        <v>684</v>
      </c>
      <c r="F1943" s="751" t="s">
        <v>254</v>
      </c>
      <c r="G1943" s="752" t="s">
        <v>1681</v>
      </c>
      <c r="H1943" s="753">
        <v>52360</v>
      </c>
      <c r="I1943" s="754">
        <v>127.84</v>
      </c>
      <c r="J1943" s="754">
        <v>0</v>
      </c>
      <c r="K1943" s="754">
        <v>0</v>
      </c>
      <c r="L1943" s="754">
        <v>10.050000000000001</v>
      </c>
      <c r="M1943" s="754">
        <f t="shared" si="85"/>
        <v>10.050000000000001</v>
      </c>
      <c r="N1943" s="756">
        <v>127.84</v>
      </c>
      <c r="O1943" s="720">
        <f t="shared" si="86"/>
        <v>0</v>
      </c>
    </row>
    <row r="1944" spans="1:15" outlineLevel="2" x14ac:dyDescent="0.25">
      <c r="A1944" s="207" t="e">
        <f>VLOOKUP(RIGHT(E1944,3)+0,SchLocTable!$A$2:$B$47,2,FALSE)</f>
        <v>#N/A</v>
      </c>
      <c r="B1944" s="207" t="str">
        <f>VLOOKUP(VALUE(D1944),$D$3:F$106,3,FALSE)</f>
        <v>Special Education</v>
      </c>
      <c r="C1944" s="751" t="s">
        <v>246</v>
      </c>
      <c r="D1944" s="751" t="s">
        <v>686</v>
      </c>
      <c r="E1944" s="751" t="s">
        <v>687</v>
      </c>
      <c r="F1944" s="751" t="s">
        <v>248</v>
      </c>
      <c r="G1944" s="752">
        <v>4</v>
      </c>
      <c r="H1944" s="753">
        <v>51000</v>
      </c>
      <c r="I1944" s="754">
        <v>149486.79999999999</v>
      </c>
      <c r="J1944" s="754">
        <v>0</v>
      </c>
      <c r="K1944" s="754">
        <v>0</v>
      </c>
      <c r="L1944" s="754">
        <v>32492.38</v>
      </c>
      <c r="M1944" s="754">
        <f t="shared" si="85"/>
        <v>32492.38</v>
      </c>
      <c r="N1944" s="756">
        <v>149486.79999999999</v>
      </c>
      <c r="O1944" s="720">
        <f t="shared" si="86"/>
        <v>0</v>
      </c>
    </row>
    <row r="1945" spans="1:15" outlineLevel="2" x14ac:dyDescent="0.25">
      <c r="A1945" s="207" t="e">
        <f>VLOOKUP(RIGHT(E1945,3)+0,SchLocTable!$A$2:$B$47,2,FALSE)</f>
        <v>#N/A</v>
      </c>
      <c r="B1945" s="207" t="str">
        <f>VLOOKUP(VALUE(D1945),$D$3:F$106,3,FALSE)</f>
        <v>Special Education</v>
      </c>
      <c r="C1945" s="751" t="s">
        <v>246</v>
      </c>
      <c r="D1945" s="751" t="s">
        <v>686</v>
      </c>
      <c r="E1945" s="751" t="s">
        <v>687</v>
      </c>
      <c r="F1945" s="751" t="s">
        <v>685</v>
      </c>
      <c r="G1945" s="752" t="s">
        <v>1681</v>
      </c>
      <c r="H1945" s="753">
        <v>51026</v>
      </c>
      <c r="I1945" s="754">
        <v>0</v>
      </c>
      <c r="J1945" s="754">
        <v>0</v>
      </c>
      <c r="K1945" s="754">
        <v>0</v>
      </c>
      <c r="L1945" s="754">
        <v>0</v>
      </c>
      <c r="M1945" s="754">
        <f t="shared" si="85"/>
        <v>0</v>
      </c>
      <c r="N1945" s="756">
        <v>0</v>
      </c>
      <c r="O1945" s="720">
        <f t="shared" si="86"/>
        <v>0</v>
      </c>
    </row>
    <row r="1946" spans="1:15" outlineLevel="2" x14ac:dyDescent="0.25">
      <c r="A1946" s="207" t="e">
        <f>VLOOKUP(RIGHT(E1946,3)+0,SchLocTable!$A$2:$B$47,2,FALSE)</f>
        <v>#N/A</v>
      </c>
      <c r="B1946" s="207" t="str">
        <f>VLOOKUP(VALUE(D1946),$D$3:F$106,3,FALSE)</f>
        <v>Special Education</v>
      </c>
      <c r="C1946" s="755" t="s">
        <v>246</v>
      </c>
      <c r="D1946" s="751" t="s">
        <v>686</v>
      </c>
      <c r="E1946" s="751" t="s">
        <v>687</v>
      </c>
      <c r="F1946" s="751" t="s">
        <v>257</v>
      </c>
      <c r="G1946" s="752" t="s">
        <v>1681</v>
      </c>
      <c r="H1946" s="753">
        <v>51140</v>
      </c>
      <c r="I1946" s="754">
        <v>4000</v>
      </c>
      <c r="J1946" s="754">
        <v>0</v>
      </c>
      <c r="K1946" s="754">
        <v>0</v>
      </c>
      <c r="L1946" s="754">
        <v>0</v>
      </c>
      <c r="M1946" s="754">
        <f t="shared" si="85"/>
        <v>0</v>
      </c>
      <c r="N1946" s="756">
        <v>4000</v>
      </c>
      <c r="O1946" s="720">
        <f t="shared" si="86"/>
        <v>0</v>
      </c>
    </row>
    <row r="1947" spans="1:15" outlineLevel="2" x14ac:dyDescent="0.25">
      <c r="A1947" s="207" t="e">
        <f>VLOOKUP(RIGHT(E1947,3)+0,SchLocTable!$A$2:$B$47,2,FALSE)</f>
        <v>#N/A</v>
      </c>
      <c r="B1947" s="207" t="str">
        <f>VLOOKUP(VALUE(D1947),$D$3:F$106,3,FALSE)</f>
        <v>Special Education</v>
      </c>
      <c r="C1947" s="751" t="s">
        <v>246</v>
      </c>
      <c r="D1947" s="751" t="s">
        <v>686</v>
      </c>
      <c r="E1947" s="751" t="s">
        <v>687</v>
      </c>
      <c r="F1947" s="751" t="s">
        <v>254</v>
      </c>
      <c r="G1947" s="752" t="s">
        <v>1681</v>
      </c>
      <c r="H1947" s="753">
        <v>52360</v>
      </c>
      <c r="I1947" s="754">
        <v>2163.4</v>
      </c>
      <c r="J1947" s="754">
        <v>0</v>
      </c>
      <c r="K1947" s="754">
        <v>0</v>
      </c>
      <c r="L1947" s="754">
        <v>466.98</v>
      </c>
      <c r="M1947" s="754">
        <f t="shared" si="85"/>
        <v>466.98</v>
      </c>
      <c r="N1947" s="756">
        <v>2163.4</v>
      </c>
      <c r="O1947" s="720">
        <f t="shared" si="86"/>
        <v>0</v>
      </c>
    </row>
    <row r="1948" spans="1:15" outlineLevel="2" x14ac:dyDescent="0.25">
      <c r="A1948" s="207" t="e">
        <f>VLOOKUP(RIGHT(E1948,3)+0,SchLocTable!$A$2:$B$47,2,FALSE)</f>
        <v>#N/A</v>
      </c>
      <c r="B1948" s="207" t="str">
        <f>VLOOKUP(VALUE(D1948),$D$3:F$106,3,FALSE)</f>
        <v>Special Education</v>
      </c>
      <c r="C1948" s="755" t="s">
        <v>246</v>
      </c>
      <c r="D1948" s="751" t="s">
        <v>686</v>
      </c>
      <c r="E1948" s="751" t="s">
        <v>687</v>
      </c>
      <c r="F1948" s="751" t="s">
        <v>259</v>
      </c>
      <c r="G1948" s="752" t="s">
        <v>1681</v>
      </c>
      <c r="H1948" s="753">
        <v>52917</v>
      </c>
      <c r="I1948" s="754">
        <v>731.46</v>
      </c>
      <c r="J1948" s="754">
        <v>0</v>
      </c>
      <c r="K1948" s="754">
        <v>0</v>
      </c>
      <c r="L1948" s="754">
        <v>731.46</v>
      </c>
      <c r="M1948" s="754">
        <f t="shared" si="85"/>
        <v>731.46</v>
      </c>
      <c r="N1948" s="756">
        <v>731.46</v>
      </c>
      <c r="O1948" s="720">
        <f t="shared" si="86"/>
        <v>0</v>
      </c>
    </row>
    <row r="1949" spans="1:15" outlineLevel="2" x14ac:dyDescent="0.25">
      <c r="A1949" s="207" t="e">
        <f>VLOOKUP(RIGHT(E1949,3)+0,SchLocTable!$A$2:$B$47,2,FALSE)</f>
        <v>#N/A</v>
      </c>
      <c r="B1949" s="207" t="str">
        <f>VLOOKUP(VALUE(D1949),$D$3:F$106,3,FALSE)</f>
        <v>Special Education</v>
      </c>
      <c r="C1949" s="751" t="s">
        <v>246</v>
      </c>
      <c r="D1949" s="751" t="s">
        <v>686</v>
      </c>
      <c r="E1949" s="751" t="s">
        <v>687</v>
      </c>
      <c r="F1949" s="751" t="s">
        <v>371</v>
      </c>
      <c r="G1949" s="752" t="s">
        <v>1681</v>
      </c>
      <c r="H1949" s="753">
        <v>54580</v>
      </c>
      <c r="I1949" s="754">
        <v>1141.58</v>
      </c>
      <c r="J1949" s="754">
        <v>0</v>
      </c>
      <c r="K1949" s="754">
        <v>0</v>
      </c>
      <c r="L1949" s="754">
        <v>0</v>
      </c>
      <c r="M1949" s="754">
        <f t="shared" si="85"/>
        <v>0</v>
      </c>
      <c r="N1949" s="756">
        <v>1141.58</v>
      </c>
      <c r="O1949" s="720">
        <f t="shared" si="86"/>
        <v>0</v>
      </c>
    </row>
    <row r="1950" spans="1:15" outlineLevel="2" x14ac:dyDescent="0.25">
      <c r="A1950" s="207" t="e">
        <f>VLOOKUP(RIGHT(E1950,3)+0,SchLocTable!$A$2:$B$47,2,FALSE)</f>
        <v>#N/A</v>
      </c>
      <c r="B1950" s="207" t="str">
        <f>VLOOKUP(VALUE(D1950),$D$3:F$106,3,FALSE)</f>
        <v>Special Education</v>
      </c>
      <c r="C1950" s="751" t="s">
        <v>246</v>
      </c>
      <c r="D1950" s="751" t="s">
        <v>686</v>
      </c>
      <c r="E1950" s="751" t="s">
        <v>687</v>
      </c>
      <c r="F1950" s="751" t="s">
        <v>372</v>
      </c>
      <c r="G1950" s="752" t="s">
        <v>1681</v>
      </c>
      <c r="H1950" s="753">
        <v>54675</v>
      </c>
      <c r="I1950" s="754">
        <v>1055</v>
      </c>
      <c r="J1950" s="754">
        <v>0</v>
      </c>
      <c r="K1950" s="754">
        <v>0</v>
      </c>
      <c r="L1950" s="754">
        <v>0</v>
      </c>
      <c r="M1950" s="754">
        <f t="shared" si="85"/>
        <v>0</v>
      </c>
      <c r="N1950" s="756">
        <v>1055</v>
      </c>
      <c r="O1950" s="720">
        <f t="shared" si="86"/>
        <v>0</v>
      </c>
    </row>
    <row r="1951" spans="1:15" outlineLevel="2" x14ac:dyDescent="0.25">
      <c r="A1951" s="207" t="e">
        <f>VLOOKUP(RIGHT(E1951,3)+0,SchLocTable!$A$2:$B$47,2,FALSE)</f>
        <v>#N/A</v>
      </c>
      <c r="B1951" s="207" t="str">
        <f>VLOOKUP(VALUE(D1951),$D$3:F$106,3,FALSE)</f>
        <v>Special Education</v>
      </c>
      <c r="C1951" s="751" t="s">
        <v>246</v>
      </c>
      <c r="D1951" s="751" t="s">
        <v>686</v>
      </c>
      <c r="E1951" s="751" t="s">
        <v>687</v>
      </c>
      <c r="F1951" s="751" t="s">
        <v>688</v>
      </c>
      <c r="G1951" s="752" t="s">
        <v>1681</v>
      </c>
      <c r="H1951" s="753">
        <v>55540</v>
      </c>
      <c r="I1951" s="754">
        <v>10126472.449999999</v>
      </c>
      <c r="J1951" s="754">
        <v>4845784.74</v>
      </c>
      <c r="K1951" s="754">
        <v>0</v>
      </c>
      <c r="L1951" s="754">
        <v>1456424.91</v>
      </c>
      <c r="M1951" s="754">
        <f t="shared" si="85"/>
        <v>6302209.6500000004</v>
      </c>
      <c r="N1951" s="756">
        <v>23182439.829999998</v>
      </c>
      <c r="O1951" s="720">
        <f t="shared" si="86"/>
        <v>-13055967.379999999</v>
      </c>
    </row>
    <row r="1952" spans="1:15" outlineLevel="2" x14ac:dyDescent="0.25">
      <c r="A1952" s="207" t="e">
        <f>VLOOKUP(RIGHT(E1952,3)+0,SchLocTable!$A$2:$B$47,2,FALSE)</f>
        <v>#N/A</v>
      </c>
      <c r="B1952" s="207" t="str">
        <f>VLOOKUP(VALUE(D1952),$D$3:F$106,3,FALSE)</f>
        <v>Special Education</v>
      </c>
      <c r="C1952" s="751" t="s">
        <v>246</v>
      </c>
      <c r="D1952" s="751" t="s">
        <v>686</v>
      </c>
      <c r="E1952" s="751" t="s">
        <v>687</v>
      </c>
      <c r="F1952" s="751" t="s">
        <v>323</v>
      </c>
      <c r="G1952" s="752" t="s">
        <v>1681</v>
      </c>
      <c r="H1952" s="753">
        <v>56115</v>
      </c>
      <c r="I1952" s="754">
        <v>300000</v>
      </c>
      <c r="J1952" s="754">
        <v>300000</v>
      </c>
      <c r="K1952" s="754">
        <v>0</v>
      </c>
      <c r="L1952" s="754">
        <v>0</v>
      </c>
      <c r="M1952" s="754">
        <f t="shared" si="85"/>
        <v>300000</v>
      </c>
      <c r="N1952" s="756">
        <v>1900000</v>
      </c>
      <c r="O1952" s="720">
        <f t="shared" si="86"/>
        <v>-1600000</v>
      </c>
    </row>
    <row r="1953" spans="1:15" outlineLevel="2" x14ac:dyDescent="0.25">
      <c r="A1953" s="207" t="e">
        <f>VLOOKUP(RIGHT(E1953,3)+0,SchLocTable!$A$2:$B$47,2,FALSE)</f>
        <v>#N/A</v>
      </c>
      <c r="B1953" s="207" t="str">
        <f>VLOOKUP(VALUE(D1953),$D$3:F$106,3,FALSE)</f>
        <v>Special Education</v>
      </c>
      <c r="C1953" s="751" t="s">
        <v>246</v>
      </c>
      <c r="D1953" s="751" t="s">
        <v>686</v>
      </c>
      <c r="E1953" s="751" t="s">
        <v>687</v>
      </c>
      <c r="F1953" s="751" t="s">
        <v>689</v>
      </c>
      <c r="G1953" s="752" t="s">
        <v>1681</v>
      </c>
      <c r="H1953" s="753">
        <v>56130</v>
      </c>
      <c r="I1953" s="754">
        <v>50000</v>
      </c>
      <c r="J1953" s="754">
        <v>42272</v>
      </c>
      <c r="K1953" s="754">
        <v>0</v>
      </c>
      <c r="L1953" s="754">
        <v>7728</v>
      </c>
      <c r="M1953" s="754">
        <f t="shared" si="85"/>
        <v>50000</v>
      </c>
      <c r="N1953" s="756">
        <v>50000</v>
      </c>
      <c r="O1953" s="720">
        <f t="shared" si="86"/>
        <v>0</v>
      </c>
    </row>
    <row r="1954" spans="1:15" outlineLevel="1" x14ac:dyDescent="0.25">
      <c r="A1954" s="207" t="e">
        <f>VLOOKUP(RIGHT(E1954,3)+0,SchLocTable!$A$2:$B$47,2,FALSE)</f>
        <v>#N/A</v>
      </c>
      <c r="B1954" s="207" t="str">
        <f>VLOOKUP(VALUE(D1954),$D$3:F$106,3,FALSE)</f>
        <v>Special Education</v>
      </c>
      <c r="C1954" s="751" t="s">
        <v>246</v>
      </c>
      <c r="D1954" s="751" t="s">
        <v>686</v>
      </c>
      <c r="E1954" s="751" t="s">
        <v>687</v>
      </c>
      <c r="F1954" s="751" t="s">
        <v>690</v>
      </c>
      <c r="G1954" s="752" t="s">
        <v>1681</v>
      </c>
      <c r="H1954" s="753">
        <v>56155</v>
      </c>
      <c r="I1954" s="754">
        <v>4250000</v>
      </c>
      <c r="J1954" s="754">
        <v>3281364.05</v>
      </c>
      <c r="K1954" s="754">
        <v>75000</v>
      </c>
      <c r="L1954" s="754">
        <v>-17364.03</v>
      </c>
      <c r="M1954" s="754">
        <f t="shared" si="85"/>
        <v>3339000.02</v>
      </c>
      <c r="N1954" s="756">
        <v>7604561.5499999998</v>
      </c>
      <c r="O1954" s="720">
        <f t="shared" si="86"/>
        <v>-3354561.55</v>
      </c>
    </row>
    <row r="1955" spans="1:15" outlineLevel="2" x14ac:dyDescent="0.25">
      <c r="A1955" s="207" t="e">
        <f>VLOOKUP(RIGHT(E1955,3)+0,SchLocTable!$A$2:$B$47,2,FALSE)</f>
        <v>#N/A</v>
      </c>
      <c r="B1955" s="207" t="str">
        <f>VLOOKUP(VALUE(D1955),$D$3:F$106,3,FALSE)</f>
        <v>Special Education</v>
      </c>
      <c r="C1955" s="751" t="s">
        <v>246</v>
      </c>
      <c r="D1955" s="751" t="s">
        <v>686</v>
      </c>
      <c r="E1955" s="751" t="s">
        <v>691</v>
      </c>
      <c r="F1955" s="751" t="s">
        <v>685</v>
      </c>
      <c r="G1955" s="752">
        <v>2</v>
      </c>
      <c r="H1955" s="753">
        <v>51026</v>
      </c>
      <c r="I1955" s="754">
        <v>64462.48</v>
      </c>
      <c r="J1955" s="754">
        <v>0</v>
      </c>
      <c r="K1955" s="754">
        <v>0</v>
      </c>
      <c r="L1955" s="754">
        <v>7642.25</v>
      </c>
      <c r="M1955" s="754">
        <f t="shared" si="85"/>
        <v>7642.25</v>
      </c>
      <c r="N1955" s="756">
        <v>64462.48</v>
      </c>
      <c r="O1955" s="720">
        <f t="shared" si="86"/>
        <v>0</v>
      </c>
    </row>
    <row r="1956" spans="1:15" outlineLevel="2" x14ac:dyDescent="0.25">
      <c r="A1956" s="207" t="e">
        <f>VLOOKUP(RIGHT(E1956,3)+0,SchLocTable!$A$2:$B$47,2,FALSE)</f>
        <v>#N/A</v>
      </c>
      <c r="B1956" s="207" t="str">
        <f>VLOOKUP(VALUE(D1956),$D$3:F$106,3,FALSE)</f>
        <v>Special Education</v>
      </c>
      <c r="C1956" s="751" t="s">
        <v>246</v>
      </c>
      <c r="D1956" s="751" t="s">
        <v>686</v>
      </c>
      <c r="E1956" s="751" t="s">
        <v>691</v>
      </c>
      <c r="F1956" s="751" t="s">
        <v>254</v>
      </c>
      <c r="G1956" s="752" t="s">
        <v>1681</v>
      </c>
      <c r="H1956" s="753">
        <v>52360</v>
      </c>
      <c r="I1956" s="754">
        <v>934.72</v>
      </c>
      <c r="J1956" s="754">
        <v>0</v>
      </c>
      <c r="K1956" s="754">
        <v>0</v>
      </c>
      <c r="L1956" s="754">
        <v>110.83</v>
      </c>
      <c r="M1956" s="754">
        <f t="shared" si="85"/>
        <v>110.83</v>
      </c>
      <c r="N1956" s="756">
        <v>934.72</v>
      </c>
      <c r="O1956" s="720">
        <f t="shared" si="86"/>
        <v>0</v>
      </c>
    </row>
    <row r="1957" spans="1:15" outlineLevel="2" x14ac:dyDescent="0.25">
      <c r="A1957" s="207" t="str">
        <f>VLOOKUP(RIGHT(E1957,3)+0,SchLocTable!$A$2:$B$47,2,FALSE)</f>
        <v>Barnum</v>
      </c>
      <c r="B1957" s="207" t="str">
        <f>VLOOKUP(VALUE(D1957),$D$3:F$106,3,FALSE)</f>
        <v>Special Education</v>
      </c>
      <c r="C1957" s="751" t="s">
        <v>246</v>
      </c>
      <c r="D1957" s="751" t="s">
        <v>686</v>
      </c>
      <c r="E1957" s="751" t="s">
        <v>692</v>
      </c>
      <c r="F1957" s="751" t="s">
        <v>248</v>
      </c>
      <c r="G1957" s="752">
        <v>4</v>
      </c>
      <c r="H1957" s="753">
        <v>51000</v>
      </c>
      <c r="I1957" s="754">
        <v>281538.61</v>
      </c>
      <c r="J1957" s="754">
        <v>0</v>
      </c>
      <c r="K1957" s="754">
        <v>0</v>
      </c>
      <c r="L1957" s="754">
        <v>53934.6</v>
      </c>
      <c r="M1957" s="754">
        <f t="shared" si="85"/>
        <v>53934.6</v>
      </c>
      <c r="N1957" s="756">
        <v>281538.61</v>
      </c>
      <c r="O1957" s="720">
        <f t="shared" si="86"/>
        <v>0</v>
      </c>
    </row>
    <row r="1958" spans="1:15" outlineLevel="2" x14ac:dyDescent="0.25">
      <c r="A1958" s="207" t="str">
        <f>VLOOKUP(RIGHT(E1958,3)+0,SchLocTable!$A$2:$B$47,2,FALSE)</f>
        <v>Barnum</v>
      </c>
      <c r="B1958" s="207" t="str">
        <f>VLOOKUP(VALUE(D1958),$D$3:F$106,3,FALSE)</f>
        <v>Special Education</v>
      </c>
      <c r="C1958" s="751" t="s">
        <v>246</v>
      </c>
      <c r="D1958" s="751" t="s">
        <v>686</v>
      </c>
      <c r="E1958" s="751" t="s">
        <v>692</v>
      </c>
      <c r="F1958" s="751" t="s">
        <v>257</v>
      </c>
      <c r="G1958" s="752" t="s">
        <v>1681</v>
      </c>
      <c r="H1958" s="753">
        <v>51140</v>
      </c>
      <c r="I1958" s="754">
        <v>900</v>
      </c>
      <c r="J1958" s="754">
        <v>0</v>
      </c>
      <c r="K1958" s="754">
        <v>0</v>
      </c>
      <c r="L1958" s="754">
        <v>0</v>
      </c>
      <c r="M1958" s="754">
        <f t="shared" si="85"/>
        <v>0</v>
      </c>
      <c r="N1958" s="756">
        <v>900</v>
      </c>
      <c r="O1958" s="720">
        <f t="shared" si="86"/>
        <v>0</v>
      </c>
    </row>
    <row r="1959" spans="1:15" outlineLevel="2" x14ac:dyDescent="0.25">
      <c r="A1959" s="207" t="str">
        <f>VLOOKUP(RIGHT(E1959,3)+0,SchLocTable!$A$2:$B$47,2,FALSE)</f>
        <v>Barnum</v>
      </c>
      <c r="B1959" s="207" t="str">
        <f>VLOOKUP(VALUE(D1959),$D$3:F$106,3,FALSE)</f>
        <v>Special Education</v>
      </c>
      <c r="C1959" s="751" t="s">
        <v>246</v>
      </c>
      <c r="D1959" s="751" t="s">
        <v>686</v>
      </c>
      <c r="E1959" s="751" t="s">
        <v>692</v>
      </c>
      <c r="F1959" s="751" t="s">
        <v>254</v>
      </c>
      <c r="G1959" s="752" t="s">
        <v>1681</v>
      </c>
      <c r="H1959" s="753">
        <v>52360</v>
      </c>
      <c r="I1959" s="754">
        <v>4029.77</v>
      </c>
      <c r="J1959" s="754">
        <v>0</v>
      </c>
      <c r="K1959" s="754">
        <v>0</v>
      </c>
      <c r="L1959" s="754">
        <v>729.51</v>
      </c>
      <c r="M1959" s="754">
        <f t="shared" si="85"/>
        <v>729.51</v>
      </c>
      <c r="N1959" s="756">
        <v>4029.77</v>
      </c>
      <c r="O1959" s="720">
        <f t="shared" si="86"/>
        <v>0</v>
      </c>
    </row>
    <row r="1960" spans="1:15" outlineLevel="2" x14ac:dyDescent="0.25">
      <c r="A1960" s="207" t="str">
        <f>VLOOKUP(RIGHT(E1960,3)+0,SchLocTable!$A$2:$B$47,2,FALSE)</f>
        <v>Barnum</v>
      </c>
      <c r="B1960" s="207" t="str">
        <f>VLOOKUP(VALUE(D1960),$D$3:F$106,3,FALSE)</f>
        <v>Special Education</v>
      </c>
      <c r="C1960" s="755" t="s">
        <v>246</v>
      </c>
      <c r="D1960" s="751" t="s">
        <v>686</v>
      </c>
      <c r="E1960" s="751" t="s">
        <v>692</v>
      </c>
      <c r="F1960" s="751" t="s">
        <v>292</v>
      </c>
      <c r="G1960" s="752" t="s">
        <v>1681</v>
      </c>
      <c r="H1960" s="753">
        <v>52385</v>
      </c>
      <c r="I1960" s="754">
        <v>0</v>
      </c>
      <c r="J1960" s="754">
        <v>0</v>
      </c>
      <c r="K1960" s="754">
        <v>0</v>
      </c>
      <c r="L1960" s="754">
        <v>0</v>
      </c>
      <c r="M1960" s="754">
        <f t="shared" si="85"/>
        <v>0</v>
      </c>
      <c r="N1960" s="756">
        <v>0</v>
      </c>
      <c r="O1960" s="720">
        <f t="shared" si="86"/>
        <v>0</v>
      </c>
    </row>
    <row r="1961" spans="1:15" outlineLevel="2" x14ac:dyDescent="0.25">
      <c r="A1961" s="207" t="str">
        <f>VLOOKUP(RIGHT(E1961,3)+0,SchLocTable!$A$2:$B$47,2,FALSE)</f>
        <v>Barnum</v>
      </c>
      <c r="B1961" s="207" t="str">
        <f>VLOOKUP(VALUE(D1961),$D$3:F$106,3,FALSE)</f>
        <v>Special Education</v>
      </c>
      <c r="C1961" s="751" t="s">
        <v>246</v>
      </c>
      <c r="D1961" s="751" t="s">
        <v>686</v>
      </c>
      <c r="E1961" s="751" t="s">
        <v>692</v>
      </c>
      <c r="F1961" s="751" t="s">
        <v>331</v>
      </c>
      <c r="G1961" s="752" t="s">
        <v>1681</v>
      </c>
      <c r="H1961" s="753">
        <v>52504</v>
      </c>
      <c r="I1961" s="754">
        <v>0</v>
      </c>
      <c r="J1961" s="754">
        <v>0</v>
      </c>
      <c r="K1961" s="754">
        <v>0</v>
      </c>
      <c r="L1961" s="754">
        <v>0</v>
      </c>
      <c r="M1961" s="754">
        <f t="shared" si="85"/>
        <v>0</v>
      </c>
      <c r="N1961" s="756">
        <v>0</v>
      </c>
      <c r="O1961" s="720">
        <f t="shared" si="86"/>
        <v>0</v>
      </c>
    </row>
    <row r="1962" spans="1:15" outlineLevel="1" x14ac:dyDescent="0.25">
      <c r="A1962" s="207" t="str">
        <f>VLOOKUP(RIGHT(E1962,3)+0,SchLocTable!$A$2:$B$47,2,FALSE)</f>
        <v>Barnum</v>
      </c>
      <c r="B1962" s="207" t="str">
        <f>VLOOKUP(VALUE(D1962),$D$3:F$106,3,FALSE)</f>
        <v>Special Education</v>
      </c>
      <c r="C1962" s="755" t="s">
        <v>246</v>
      </c>
      <c r="D1962" s="751" t="s">
        <v>686</v>
      </c>
      <c r="E1962" s="751" t="s">
        <v>692</v>
      </c>
      <c r="F1962" s="751" t="s">
        <v>259</v>
      </c>
      <c r="G1962" s="752" t="s">
        <v>1681</v>
      </c>
      <c r="H1962" s="753">
        <v>52917</v>
      </c>
      <c r="I1962" s="754">
        <v>51287.46</v>
      </c>
      <c r="J1962" s="754">
        <v>0</v>
      </c>
      <c r="K1962" s="754">
        <v>0</v>
      </c>
      <c r="L1962" s="754">
        <v>12211.3</v>
      </c>
      <c r="M1962" s="754">
        <f t="shared" si="85"/>
        <v>12211.3</v>
      </c>
      <c r="N1962" s="756">
        <v>51287.46</v>
      </c>
      <c r="O1962" s="720">
        <f t="shared" si="86"/>
        <v>0</v>
      </c>
    </row>
    <row r="1963" spans="1:15" outlineLevel="1" x14ac:dyDescent="0.25">
      <c r="A1963" s="207" t="str">
        <f>VLOOKUP(RIGHT(E1963,3)+0,SchLocTable!$A$2:$B$47,2,FALSE)</f>
        <v>Beardsley</v>
      </c>
      <c r="B1963" s="207" t="str">
        <f>VLOOKUP(VALUE(D1963),$D$3:F$106,3,FALSE)</f>
        <v>Special Education</v>
      </c>
      <c r="C1963" s="751" t="s">
        <v>246</v>
      </c>
      <c r="D1963" s="751" t="s">
        <v>686</v>
      </c>
      <c r="E1963" s="751" t="s">
        <v>693</v>
      </c>
      <c r="F1963" s="751" t="s">
        <v>248</v>
      </c>
      <c r="G1963" s="752">
        <v>1</v>
      </c>
      <c r="H1963" s="753">
        <v>51000</v>
      </c>
      <c r="I1963" s="754">
        <v>81676.03</v>
      </c>
      <c r="J1963" s="754">
        <v>0</v>
      </c>
      <c r="K1963" s="754">
        <v>0</v>
      </c>
      <c r="L1963" s="754">
        <v>15646.75</v>
      </c>
      <c r="M1963" s="754">
        <f t="shared" si="85"/>
        <v>15646.75</v>
      </c>
      <c r="N1963" s="756">
        <v>81676.03</v>
      </c>
      <c r="O1963" s="720">
        <f t="shared" si="86"/>
        <v>0</v>
      </c>
    </row>
    <row r="1964" spans="1:15" outlineLevel="2" x14ac:dyDescent="0.25">
      <c r="A1964" s="207" t="str">
        <f>VLOOKUP(RIGHT(E1964,3)+0,SchLocTable!$A$2:$B$47,2,FALSE)</f>
        <v>Beardsley</v>
      </c>
      <c r="B1964" s="207" t="str">
        <f>VLOOKUP(VALUE(D1964),$D$3:F$106,3,FALSE)</f>
        <v>Special Education</v>
      </c>
      <c r="C1964" s="751" t="s">
        <v>246</v>
      </c>
      <c r="D1964" s="751" t="s">
        <v>686</v>
      </c>
      <c r="E1964" s="751" t="s">
        <v>693</v>
      </c>
      <c r="F1964" s="751" t="s">
        <v>257</v>
      </c>
      <c r="G1964" s="752" t="s">
        <v>1681</v>
      </c>
      <c r="H1964" s="753">
        <v>51140</v>
      </c>
      <c r="I1964" s="754">
        <v>1800</v>
      </c>
      <c r="J1964" s="754">
        <v>0</v>
      </c>
      <c r="K1964" s="754">
        <v>0</v>
      </c>
      <c r="L1964" s="754">
        <v>0</v>
      </c>
      <c r="M1964" s="754">
        <f t="shared" si="85"/>
        <v>0</v>
      </c>
      <c r="N1964" s="756">
        <v>1800</v>
      </c>
      <c r="O1964" s="720">
        <f t="shared" si="86"/>
        <v>0</v>
      </c>
    </row>
    <row r="1965" spans="1:15" outlineLevel="2" x14ac:dyDescent="0.25">
      <c r="A1965" s="207" t="str">
        <f>VLOOKUP(RIGHT(E1965,3)+0,SchLocTable!$A$2:$B$47,2,FALSE)</f>
        <v>Beardsley</v>
      </c>
      <c r="B1965" s="207" t="str">
        <f>VLOOKUP(VALUE(D1965),$D$3:F$106,3,FALSE)</f>
        <v>Special Education</v>
      </c>
      <c r="C1965" s="751" t="s">
        <v>246</v>
      </c>
      <c r="D1965" s="751" t="s">
        <v>686</v>
      </c>
      <c r="E1965" s="751" t="s">
        <v>693</v>
      </c>
      <c r="F1965" s="751" t="s">
        <v>252</v>
      </c>
      <c r="G1965" s="752" t="s">
        <v>1681</v>
      </c>
      <c r="H1965" s="753">
        <v>51154</v>
      </c>
      <c r="I1965" s="754">
        <v>0</v>
      </c>
      <c r="J1965" s="754">
        <v>0</v>
      </c>
      <c r="K1965" s="754">
        <v>0</v>
      </c>
      <c r="L1965" s="754">
        <v>0</v>
      </c>
      <c r="M1965" s="754">
        <f t="shared" si="85"/>
        <v>0</v>
      </c>
      <c r="N1965" s="756">
        <v>0</v>
      </c>
      <c r="O1965" s="720">
        <f t="shared" si="86"/>
        <v>0</v>
      </c>
    </row>
    <row r="1966" spans="1:15" outlineLevel="2" x14ac:dyDescent="0.25">
      <c r="A1966" s="207" t="str">
        <f>VLOOKUP(RIGHT(E1966,3)+0,SchLocTable!$A$2:$B$47,2,FALSE)</f>
        <v>Beardsley</v>
      </c>
      <c r="B1966" s="207" t="str">
        <f>VLOOKUP(VALUE(D1966),$D$3:F$106,3,FALSE)</f>
        <v>Special Education</v>
      </c>
      <c r="C1966" s="751" t="s">
        <v>246</v>
      </c>
      <c r="D1966" s="751" t="s">
        <v>686</v>
      </c>
      <c r="E1966" s="751" t="s">
        <v>693</v>
      </c>
      <c r="F1966" s="751" t="s">
        <v>254</v>
      </c>
      <c r="G1966" s="752" t="s">
        <v>1681</v>
      </c>
      <c r="H1966" s="753">
        <v>52360</v>
      </c>
      <c r="I1966" s="754">
        <v>1148.6500000000001</v>
      </c>
      <c r="J1966" s="754">
        <v>0</v>
      </c>
      <c r="K1966" s="754">
        <v>0</v>
      </c>
      <c r="L1966" s="754">
        <v>191.23</v>
      </c>
      <c r="M1966" s="754">
        <f t="shared" si="85"/>
        <v>191.23</v>
      </c>
      <c r="N1966" s="756">
        <v>1148.6500000000001</v>
      </c>
      <c r="O1966" s="720">
        <f t="shared" si="86"/>
        <v>0</v>
      </c>
    </row>
    <row r="1967" spans="1:15" outlineLevel="2" x14ac:dyDescent="0.25">
      <c r="A1967" s="207" t="str">
        <f>VLOOKUP(RIGHT(E1967,3)+0,SchLocTable!$A$2:$B$47,2,FALSE)</f>
        <v>Beardsley</v>
      </c>
      <c r="B1967" s="207" t="str">
        <f>VLOOKUP(VALUE(D1967),$D$3:F$106,3,FALSE)</f>
        <v>Special Education</v>
      </c>
      <c r="C1967" s="751" t="s">
        <v>246</v>
      </c>
      <c r="D1967" s="751" t="s">
        <v>686</v>
      </c>
      <c r="E1967" s="751" t="s">
        <v>693</v>
      </c>
      <c r="F1967" s="751" t="s">
        <v>292</v>
      </c>
      <c r="G1967" s="752" t="s">
        <v>1681</v>
      </c>
      <c r="H1967" s="753">
        <v>52385</v>
      </c>
      <c r="I1967" s="754">
        <v>0</v>
      </c>
      <c r="J1967" s="754">
        <v>0</v>
      </c>
      <c r="K1967" s="754">
        <v>0</v>
      </c>
      <c r="L1967" s="754">
        <v>0</v>
      </c>
      <c r="M1967" s="754">
        <f t="shared" si="85"/>
        <v>0</v>
      </c>
      <c r="N1967" s="756">
        <v>0</v>
      </c>
      <c r="O1967" s="720">
        <f t="shared" si="86"/>
        <v>0</v>
      </c>
    </row>
    <row r="1968" spans="1:15" outlineLevel="2" x14ac:dyDescent="0.25">
      <c r="A1968" s="207" t="str">
        <f>VLOOKUP(RIGHT(E1968,3)+0,SchLocTable!$A$2:$B$47,2,FALSE)</f>
        <v>Beardsley</v>
      </c>
      <c r="B1968" s="207" t="str">
        <f>VLOOKUP(VALUE(D1968),$D$3:F$106,3,FALSE)</f>
        <v>Special Education</v>
      </c>
      <c r="C1968" s="755" t="s">
        <v>246</v>
      </c>
      <c r="D1968" s="751" t="s">
        <v>686</v>
      </c>
      <c r="E1968" s="751" t="s">
        <v>693</v>
      </c>
      <c r="F1968" s="751" t="s">
        <v>259</v>
      </c>
      <c r="G1968" s="752" t="s">
        <v>1681</v>
      </c>
      <c r="H1968" s="753">
        <v>52917</v>
      </c>
      <c r="I1968" s="754">
        <v>35075.879999999997</v>
      </c>
      <c r="J1968" s="754">
        <v>0</v>
      </c>
      <c r="K1968" s="754">
        <v>0</v>
      </c>
      <c r="L1968" s="754">
        <v>8351.4</v>
      </c>
      <c r="M1968" s="754">
        <f t="shared" si="85"/>
        <v>8351.4</v>
      </c>
      <c r="N1968" s="756">
        <v>35075.879999999997</v>
      </c>
      <c r="O1968" s="720">
        <f t="shared" si="86"/>
        <v>0</v>
      </c>
    </row>
    <row r="1969" spans="1:15" outlineLevel="2" x14ac:dyDescent="0.25">
      <c r="A1969" s="207" t="str">
        <f>VLOOKUP(RIGHT(E1969,3)+0,SchLocTable!$A$2:$B$47,2,FALSE)</f>
        <v>Black Rock</v>
      </c>
      <c r="B1969" s="207" t="str">
        <f>VLOOKUP(VALUE(D1969),$D$3:F$106,3,FALSE)</f>
        <v>Special Education</v>
      </c>
      <c r="C1969" s="751" t="s">
        <v>246</v>
      </c>
      <c r="D1969" s="751" t="s">
        <v>686</v>
      </c>
      <c r="E1969" s="751" t="s">
        <v>694</v>
      </c>
      <c r="F1969" s="751" t="s">
        <v>248</v>
      </c>
      <c r="G1969" s="752">
        <v>4</v>
      </c>
      <c r="H1969" s="753">
        <v>51000</v>
      </c>
      <c r="I1969" s="754">
        <v>285766.38</v>
      </c>
      <c r="J1969" s="754">
        <v>0</v>
      </c>
      <c r="K1969" s="754">
        <v>0</v>
      </c>
      <c r="L1969" s="754">
        <v>51420.81</v>
      </c>
      <c r="M1969" s="754">
        <f t="shared" si="85"/>
        <v>51420.81</v>
      </c>
      <c r="N1969" s="756">
        <v>285766.38</v>
      </c>
      <c r="O1969" s="720">
        <f t="shared" si="86"/>
        <v>0</v>
      </c>
    </row>
    <row r="1970" spans="1:15" outlineLevel="2" x14ac:dyDescent="0.25">
      <c r="A1970" s="207" t="str">
        <f>VLOOKUP(RIGHT(E1970,3)+0,SchLocTable!$A$2:$B$47,2,FALSE)</f>
        <v>Black Rock</v>
      </c>
      <c r="B1970" s="207" t="str">
        <f>VLOOKUP(VALUE(D1970),$D$3:F$106,3,FALSE)</f>
        <v>Special Education</v>
      </c>
      <c r="C1970" s="751" t="s">
        <v>246</v>
      </c>
      <c r="D1970" s="751" t="s">
        <v>686</v>
      </c>
      <c r="E1970" s="751" t="s">
        <v>694</v>
      </c>
      <c r="F1970" s="751" t="s">
        <v>257</v>
      </c>
      <c r="G1970" s="752" t="s">
        <v>1681</v>
      </c>
      <c r="H1970" s="753">
        <v>51140</v>
      </c>
      <c r="I1970" s="754">
        <v>2100</v>
      </c>
      <c r="J1970" s="754">
        <v>0</v>
      </c>
      <c r="K1970" s="754">
        <v>0</v>
      </c>
      <c r="L1970" s="754">
        <v>0</v>
      </c>
      <c r="M1970" s="754">
        <f t="shared" si="85"/>
        <v>0</v>
      </c>
      <c r="N1970" s="756">
        <v>2100</v>
      </c>
      <c r="O1970" s="720">
        <f t="shared" si="86"/>
        <v>0</v>
      </c>
    </row>
    <row r="1971" spans="1:15" outlineLevel="2" x14ac:dyDescent="0.25">
      <c r="A1971" s="207" t="str">
        <f>VLOOKUP(RIGHT(E1971,3)+0,SchLocTable!$A$2:$B$47,2,FALSE)</f>
        <v>Black Rock</v>
      </c>
      <c r="B1971" s="207" t="str">
        <f>VLOOKUP(VALUE(D1971),$D$3:F$106,3,FALSE)</f>
        <v>Special Education</v>
      </c>
      <c r="C1971" s="751" t="s">
        <v>246</v>
      </c>
      <c r="D1971" s="751" t="s">
        <v>686</v>
      </c>
      <c r="E1971" s="751" t="s">
        <v>694</v>
      </c>
      <c r="F1971" s="751" t="s">
        <v>254</v>
      </c>
      <c r="G1971" s="752" t="s">
        <v>1681</v>
      </c>
      <c r="H1971" s="753">
        <v>52360</v>
      </c>
      <c r="I1971" s="754">
        <v>4043.3</v>
      </c>
      <c r="J1971" s="754">
        <v>0</v>
      </c>
      <c r="K1971" s="754">
        <v>0</v>
      </c>
      <c r="L1971" s="754">
        <v>645.29</v>
      </c>
      <c r="M1971" s="754">
        <f t="shared" si="85"/>
        <v>645.29</v>
      </c>
      <c r="N1971" s="756">
        <v>4043.3</v>
      </c>
      <c r="O1971" s="720">
        <f t="shared" si="86"/>
        <v>0</v>
      </c>
    </row>
    <row r="1972" spans="1:15" outlineLevel="2" x14ac:dyDescent="0.25">
      <c r="A1972" s="207" t="str">
        <f>VLOOKUP(RIGHT(E1972,3)+0,SchLocTable!$A$2:$B$47,2,FALSE)</f>
        <v>Black Rock</v>
      </c>
      <c r="B1972" s="207" t="str">
        <f>VLOOKUP(VALUE(D1972),$D$3:F$106,3,FALSE)</f>
        <v>Special Education</v>
      </c>
      <c r="C1972" s="751" t="s">
        <v>246</v>
      </c>
      <c r="D1972" s="751" t="s">
        <v>686</v>
      </c>
      <c r="E1972" s="751" t="s">
        <v>694</v>
      </c>
      <c r="F1972" s="751" t="s">
        <v>292</v>
      </c>
      <c r="G1972" s="752" t="s">
        <v>1681</v>
      </c>
      <c r="H1972" s="753">
        <v>52385</v>
      </c>
      <c r="I1972" s="754">
        <v>77.5</v>
      </c>
      <c r="J1972" s="754">
        <v>0</v>
      </c>
      <c r="K1972" s="754">
        <v>0</v>
      </c>
      <c r="L1972" s="754">
        <v>77.5</v>
      </c>
      <c r="M1972" s="754">
        <f t="shared" si="85"/>
        <v>77.5</v>
      </c>
      <c r="N1972" s="756">
        <v>77.5</v>
      </c>
      <c r="O1972" s="720">
        <f t="shared" si="86"/>
        <v>0</v>
      </c>
    </row>
    <row r="1973" spans="1:15" outlineLevel="2" x14ac:dyDescent="0.25">
      <c r="A1973" s="207" t="str">
        <f>VLOOKUP(RIGHT(E1973,3)+0,SchLocTable!$A$2:$B$47,2,FALSE)</f>
        <v>Black Rock</v>
      </c>
      <c r="B1973" s="207" t="str">
        <f>VLOOKUP(VALUE(D1973),$D$3:F$106,3,FALSE)</f>
        <v>Special Education</v>
      </c>
      <c r="C1973" s="751" t="s">
        <v>246</v>
      </c>
      <c r="D1973" s="751" t="s">
        <v>686</v>
      </c>
      <c r="E1973" s="751" t="s">
        <v>694</v>
      </c>
      <c r="F1973" s="751" t="s">
        <v>259</v>
      </c>
      <c r="G1973" s="752" t="s">
        <v>1681</v>
      </c>
      <c r="H1973" s="753">
        <v>52917</v>
      </c>
      <c r="I1973" s="754">
        <v>98629.86</v>
      </c>
      <c r="J1973" s="754">
        <v>0</v>
      </c>
      <c r="K1973" s="754">
        <v>0</v>
      </c>
      <c r="L1973" s="754">
        <v>23483.3</v>
      </c>
      <c r="M1973" s="754">
        <f t="shared" si="85"/>
        <v>23483.3</v>
      </c>
      <c r="N1973" s="756">
        <v>98629.86</v>
      </c>
      <c r="O1973" s="720">
        <f t="shared" si="86"/>
        <v>0</v>
      </c>
    </row>
    <row r="1974" spans="1:15" outlineLevel="2" x14ac:dyDescent="0.25">
      <c r="A1974" s="207" t="str">
        <f>VLOOKUP(RIGHT(E1974,3)+0,SchLocTable!$A$2:$B$47,2,FALSE)</f>
        <v>Bryant</v>
      </c>
      <c r="B1974" s="207" t="str">
        <f>VLOOKUP(VALUE(D1974),$D$3:F$106,3,FALSE)</f>
        <v>Special Education</v>
      </c>
      <c r="C1974" s="751" t="s">
        <v>246</v>
      </c>
      <c r="D1974" s="751" t="s">
        <v>686</v>
      </c>
      <c r="E1974" s="751" t="s">
        <v>695</v>
      </c>
      <c r="F1974" s="751" t="s">
        <v>248</v>
      </c>
      <c r="G1974" s="752">
        <v>5</v>
      </c>
      <c r="H1974" s="753">
        <v>51000</v>
      </c>
      <c r="I1974" s="754">
        <v>472159.42</v>
      </c>
      <c r="J1974" s="754">
        <v>0</v>
      </c>
      <c r="K1974" s="754">
        <v>0</v>
      </c>
      <c r="L1974" s="754">
        <v>79695.64</v>
      </c>
      <c r="M1974" s="754">
        <f t="shared" si="85"/>
        <v>79695.64</v>
      </c>
      <c r="N1974" s="756">
        <v>472159.42</v>
      </c>
      <c r="O1974" s="720">
        <f t="shared" si="86"/>
        <v>0</v>
      </c>
    </row>
    <row r="1975" spans="1:15" outlineLevel="2" x14ac:dyDescent="0.25">
      <c r="A1975" s="207" t="str">
        <f>VLOOKUP(RIGHT(E1975,3)+0,SchLocTable!$A$2:$B$47,2,FALSE)</f>
        <v>Bryant</v>
      </c>
      <c r="B1975" s="207" t="str">
        <f>VLOOKUP(VALUE(D1975),$D$3:F$106,3,FALSE)</f>
        <v>Special Education</v>
      </c>
      <c r="C1975" s="751" t="s">
        <v>246</v>
      </c>
      <c r="D1975" s="751" t="s">
        <v>686</v>
      </c>
      <c r="E1975" s="751" t="s">
        <v>695</v>
      </c>
      <c r="F1975" s="751" t="s">
        <v>257</v>
      </c>
      <c r="G1975" s="752" t="s">
        <v>1681</v>
      </c>
      <c r="H1975" s="753">
        <v>51140</v>
      </c>
      <c r="I1975" s="754">
        <v>2300</v>
      </c>
      <c r="J1975" s="754">
        <v>0</v>
      </c>
      <c r="K1975" s="754">
        <v>0</v>
      </c>
      <c r="L1975" s="754">
        <v>0</v>
      </c>
      <c r="M1975" s="754">
        <f t="shared" si="85"/>
        <v>0</v>
      </c>
      <c r="N1975" s="756">
        <v>2300</v>
      </c>
      <c r="O1975" s="720">
        <f t="shared" si="86"/>
        <v>0</v>
      </c>
    </row>
    <row r="1976" spans="1:15" outlineLevel="2" x14ac:dyDescent="0.25">
      <c r="A1976" s="207" t="str">
        <f>VLOOKUP(RIGHT(E1976,3)+0,SchLocTable!$A$2:$B$47,2,FALSE)</f>
        <v>Bryant</v>
      </c>
      <c r="B1976" s="207" t="str">
        <f>VLOOKUP(VALUE(D1976),$D$3:F$106,3,FALSE)</f>
        <v>Special Education</v>
      </c>
      <c r="C1976" s="751" t="s">
        <v>246</v>
      </c>
      <c r="D1976" s="751" t="s">
        <v>686</v>
      </c>
      <c r="E1976" s="751" t="s">
        <v>695</v>
      </c>
      <c r="F1976" s="751" t="s">
        <v>254</v>
      </c>
      <c r="G1976" s="752" t="s">
        <v>1681</v>
      </c>
      <c r="H1976" s="753">
        <v>52360</v>
      </c>
      <c r="I1976" s="754">
        <v>6785.75</v>
      </c>
      <c r="J1976" s="754">
        <v>0</v>
      </c>
      <c r="K1976" s="754">
        <v>0</v>
      </c>
      <c r="L1976" s="754">
        <v>1095.03</v>
      </c>
      <c r="M1976" s="754">
        <f t="shared" si="85"/>
        <v>1095.03</v>
      </c>
      <c r="N1976" s="756">
        <v>6785.75</v>
      </c>
      <c r="O1976" s="720">
        <f t="shared" si="86"/>
        <v>0</v>
      </c>
    </row>
    <row r="1977" spans="1:15" outlineLevel="2" x14ac:dyDescent="0.25">
      <c r="A1977" s="207" t="str">
        <f>VLOOKUP(RIGHT(E1977,3)+0,SchLocTable!$A$2:$B$47,2,FALSE)</f>
        <v>Bryant</v>
      </c>
      <c r="B1977" s="207" t="str">
        <f>VLOOKUP(VALUE(D1977),$D$3:F$106,3,FALSE)</f>
        <v>Special Education</v>
      </c>
      <c r="C1977" s="751" t="s">
        <v>246</v>
      </c>
      <c r="D1977" s="751" t="s">
        <v>686</v>
      </c>
      <c r="E1977" s="751" t="s">
        <v>695</v>
      </c>
      <c r="F1977" s="751" t="s">
        <v>292</v>
      </c>
      <c r="G1977" s="752" t="s">
        <v>1681</v>
      </c>
      <c r="H1977" s="753">
        <v>52385</v>
      </c>
      <c r="I1977" s="754">
        <v>0</v>
      </c>
      <c r="J1977" s="754">
        <v>0</v>
      </c>
      <c r="K1977" s="754">
        <v>0</v>
      </c>
      <c r="L1977" s="754">
        <v>0</v>
      </c>
      <c r="M1977" s="754">
        <f t="shared" si="85"/>
        <v>0</v>
      </c>
      <c r="N1977" s="756">
        <v>0</v>
      </c>
      <c r="O1977" s="720">
        <f t="shared" si="86"/>
        <v>0</v>
      </c>
    </row>
    <row r="1978" spans="1:15" outlineLevel="2" x14ac:dyDescent="0.25">
      <c r="A1978" s="207" t="str">
        <f>VLOOKUP(RIGHT(E1978,3)+0,SchLocTable!$A$2:$B$47,2,FALSE)</f>
        <v>Bryant</v>
      </c>
      <c r="B1978" s="207" t="str">
        <f>VLOOKUP(VALUE(D1978),$D$3:F$106,3,FALSE)</f>
        <v>Special Education</v>
      </c>
      <c r="C1978" s="755" t="s">
        <v>246</v>
      </c>
      <c r="D1978" s="751" t="s">
        <v>686</v>
      </c>
      <c r="E1978" s="751" t="s">
        <v>695</v>
      </c>
      <c r="F1978" s="751" t="s">
        <v>259</v>
      </c>
      <c r="G1978" s="752" t="s">
        <v>1681</v>
      </c>
      <c r="H1978" s="753">
        <v>52917</v>
      </c>
      <c r="I1978" s="754">
        <v>60081.84</v>
      </c>
      <c r="J1978" s="754">
        <v>0</v>
      </c>
      <c r="K1978" s="754">
        <v>0</v>
      </c>
      <c r="L1978" s="754">
        <v>14305.2</v>
      </c>
      <c r="M1978" s="754">
        <f t="shared" si="85"/>
        <v>14305.2</v>
      </c>
      <c r="N1978" s="756">
        <v>60081.84</v>
      </c>
      <c r="O1978" s="720">
        <f t="shared" si="86"/>
        <v>0</v>
      </c>
    </row>
    <row r="1979" spans="1:15" outlineLevel="1" x14ac:dyDescent="0.25">
      <c r="A1979" s="207" t="str">
        <f>VLOOKUP(RIGHT(E1979,3)+0,SchLocTable!$A$2:$B$47,2,FALSE)</f>
        <v>Columbus</v>
      </c>
      <c r="B1979" s="207" t="str">
        <f>VLOOKUP(VALUE(D1979),$D$3:F$106,3,FALSE)</f>
        <v>Special Education</v>
      </c>
      <c r="C1979" s="751" t="s">
        <v>246</v>
      </c>
      <c r="D1979" s="751" t="s">
        <v>686</v>
      </c>
      <c r="E1979" s="751" t="s">
        <v>696</v>
      </c>
      <c r="F1979" s="751" t="s">
        <v>248</v>
      </c>
      <c r="G1979" s="752">
        <v>3</v>
      </c>
      <c r="H1979" s="753">
        <v>51000</v>
      </c>
      <c r="I1979" s="754">
        <v>236614.5</v>
      </c>
      <c r="J1979" s="754">
        <v>0</v>
      </c>
      <c r="K1979" s="754">
        <v>0</v>
      </c>
      <c r="L1979" s="754">
        <v>45328.44</v>
      </c>
      <c r="M1979" s="754">
        <f t="shared" si="85"/>
        <v>45328.44</v>
      </c>
      <c r="N1979" s="756">
        <v>236614.5</v>
      </c>
      <c r="O1979" s="720">
        <f t="shared" si="86"/>
        <v>0</v>
      </c>
    </row>
    <row r="1980" spans="1:15" outlineLevel="2" x14ac:dyDescent="0.25">
      <c r="A1980" s="207" t="str">
        <f>VLOOKUP(RIGHT(E1980,3)+0,SchLocTable!$A$2:$B$47,2,FALSE)</f>
        <v>Columbus</v>
      </c>
      <c r="B1980" s="207" t="str">
        <f>VLOOKUP(VALUE(D1980),$D$3:F$106,3,FALSE)</f>
        <v>Special Education</v>
      </c>
      <c r="C1980" s="751" t="s">
        <v>246</v>
      </c>
      <c r="D1980" s="751" t="s">
        <v>686</v>
      </c>
      <c r="E1980" s="751" t="s">
        <v>696</v>
      </c>
      <c r="F1980" s="751" t="s">
        <v>254</v>
      </c>
      <c r="G1980" s="752" t="s">
        <v>1681</v>
      </c>
      <c r="H1980" s="753">
        <v>52360</v>
      </c>
      <c r="I1980" s="754">
        <v>3389.86</v>
      </c>
      <c r="J1980" s="754">
        <v>0</v>
      </c>
      <c r="K1980" s="754">
        <v>0</v>
      </c>
      <c r="L1980" s="754">
        <v>616.21</v>
      </c>
      <c r="M1980" s="754">
        <f t="shared" si="85"/>
        <v>616.21</v>
      </c>
      <c r="N1980" s="756">
        <v>3389.86</v>
      </c>
      <c r="O1980" s="720">
        <f t="shared" si="86"/>
        <v>0</v>
      </c>
    </row>
    <row r="1981" spans="1:15" outlineLevel="2" x14ac:dyDescent="0.25">
      <c r="A1981" s="207" t="str">
        <f>VLOOKUP(RIGHT(E1981,3)+0,SchLocTable!$A$2:$B$47,2,FALSE)</f>
        <v>Columbus</v>
      </c>
      <c r="B1981" s="207" t="str">
        <f>VLOOKUP(VALUE(D1981),$D$3:F$106,3,FALSE)</f>
        <v>Special Education</v>
      </c>
      <c r="C1981" s="751" t="s">
        <v>246</v>
      </c>
      <c r="D1981" s="751" t="s">
        <v>686</v>
      </c>
      <c r="E1981" s="751" t="s">
        <v>696</v>
      </c>
      <c r="F1981" s="751" t="s">
        <v>292</v>
      </c>
      <c r="G1981" s="752" t="s">
        <v>1681</v>
      </c>
      <c r="H1981" s="753">
        <v>52385</v>
      </c>
      <c r="I1981" s="754">
        <v>0</v>
      </c>
      <c r="J1981" s="754">
        <v>0</v>
      </c>
      <c r="K1981" s="754">
        <v>0</v>
      </c>
      <c r="L1981" s="754">
        <v>0</v>
      </c>
      <c r="M1981" s="754">
        <f t="shared" si="85"/>
        <v>0</v>
      </c>
      <c r="N1981" s="756">
        <v>0</v>
      </c>
      <c r="O1981" s="720">
        <f t="shared" si="86"/>
        <v>0</v>
      </c>
    </row>
    <row r="1982" spans="1:15" outlineLevel="2" x14ac:dyDescent="0.25">
      <c r="A1982" s="207" t="str">
        <f>VLOOKUP(RIGHT(E1982,3)+0,SchLocTable!$A$2:$B$47,2,FALSE)</f>
        <v>Columbus</v>
      </c>
      <c r="B1982" s="207" t="str">
        <f>VLOOKUP(VALUE(D1982),$D$3:F$106,3,FALSE)</f>
        <v>Special Education</v>
      </c>
      <c r="C1982" s="755" t="s">
        <v>246</v>
      </c>
      <c r="D1982" s="751" t="s">
        <v>686</v>
      </c>
      <c r="E1982" s="751" t="s">
        <v>696</v>
      </c>
      <c r="F1982" s="751" t="s">
        <v>259</v>
      </c>
      <c r="G1982" s="752" t="s">
        <v>1681</v>
      </c>
      <c r="H1982" s="753">
        <v>52917</v>
      </c>
      <c r="I1982" s="754">
        <v>40322.1</v>
      </c>
      <c r="J1982" s="754">
        <v>0</v>
      </c>
      <c r="K1982" s="754">
        <v>0</v>
      </c>
      <c r="L1982" s="754">
        <v>9600.5</v>
      </c>
      <c r="M1982" s="754">
        <f t="shared" si="85"/>
        <v>9600.5</v>
      </c>
      <c r="N1982" s="756">
        <v>40322.1</v>
      </c>
      <c r="O1982" s="720">
        <f t="shared" si="86"/>
        <v>0</v>
      </c>
    </row>
    <row r="1983" spans="1:15" outlineLevel="2" x14ac:dyDescent="0.25">
      <c r="A1983" s="207" t="str">
        <f>VLOOKUP(RIGHT(E1983,3)+0,SchLocTable!$A$2:$B$47,2,FALSE)</f>
        <v>Edison</v>
      </c>
      <c r="B1983" s="207" t="str">
        <f>VLOOKUP(VALUE(D1983),$D$3:F$106,3,FALSE)</f>
        <v>Special Education</v>
      </c>
      <c r="C1983" s="751" t="s">
        <v>246</v>
      </c>
      <c r="D1983" s="751" t="s">
        <v>686</v>
      </c>
      <c r="E1983" s="751" t="s">
        <v>1500</v>
      </c>
      <c r="F1983" s="751" t="s">
        <v>248</v>
      </c>
      <c r="G1983" s="752">
        <v>1</v>
      </c>
      <c r="H1983" s="753">
        <v>51000</v>
      </c>
      <c r="I1983" s="754">
        <v>82851.72</v>
      </c>
      <c r="J1983" s="754">
        <v>0</v>
      </c>
      <c r="K1983" s="754">
        <v>0</v>
      </c>
      <c r="L1983" s="754">
        <v>14941.9</v>
      </c>
      <c r="M1983" s="754">
        <f t="shared" ref="M1983:M2046" si="87">SUM(J1983:L1983)</f>
        <v>14941.9</v>
      </c>
      <c r="N1983" s="756">
        <v>82851.72</v>
      </c>
      <c r="O1983" s="720">
        <f t="shared" ref="O1983:O2046" si="88">I1983-N1983</f>
        <v>0</v>
      </c>
    </row>
    <row r="1984" spans="1:15" outlineLevel="2" x14ac:dyDescent="0.25">
      <c r="A1984" s="207" t="str">
        <f>VLOOKUP(RIGHT(E1984,3)+0,SchLocTable!$A$2:$B$47,2,FALSE)</f>
        <v>Edison</v>
      </c>
      <c r="B1984" s="207" t="str">
        <f>VLOOKUP(VALUE(D1984),$D$3:F$106,3,FALSE)</f>
        <v>Special Education</v>
      </c>
      <c r="C1984" s="751" t="s">
        <v>246</v>
      </c>
      <c r="D1984" s="751" t="s">
        <v>686</v>
      </c>
      <c r="E1984" s="751" t="s">
        <v>1500</v>
      </c>
      <c r="F1984" s="751" t="s">
        <v>257</v>
      </c>
      <c r="G1984" s="752" t="s">
        <v>1681</v>
      </c>
      <c r="H1984" s="753">
        <v>51140</v>
      </c>
      <c r="I1984" s="754">
        <v>1200</v>
      </c>
      <c r="J1984" s="754">
        <v>0</v>
      </c>
      <c r="K1984" s="754">
        <v>0</v>
      </c>
      <c r="L1984" s="754">
        <v>0</v>
      </c>
      <c r="M1984" s="754">
        <f t="shared" si="87"/>
        <v>0</v>
      </c>
      <c r="N1984" s="756">
        <v>1200</v>
      </c>
      <c r="O1984" s="720">
        <f t="shared" si="88"/>
        <v>0</v>
      </c>
    </row>
    <row r="1985" spans="1:15" outlineLevel="2" x14ac:dyDescent="0.25">
      <c r="A1985" s="207" t="str">
        <f>VLOOKUP(RIGHT(E1985,3)+0,SchLocTable!$A$2:$B$47,2,FALSE)</f>
        <v>Edison</v>
      </c>
      <c r="B1985" s="207" t="str">
        <f>VLOOKUP(VALUE(D1985),$D$3:F$106,3,FALSE)</f>
        <v>Special Education</v>
      </c>
      <c r="C1985" s="751" t="s">
        <v>246</v>
      </c>
      <c r="D1985" s="751" t="s">
        <v>686</v>
      </c>
      <c r="E1985" s="751" t="s">
        <v>1500</v>
      </c>
      <c r="F1985" s="751" t="s">
        <v>254</v>
      </c>
      <c r="G1985" s="752" t="s">
        <v>1681</v>
      </c>
      <c r="H1985" s="753">
        <v>52360</v>
      </c>
      <c r="I1985" s="754">
        <v>1185.74</v>
      </c>
      <c r="J1985" s="754">
        <v>0</v>
      </c>
      <c r="K1985" s="754">
        <v>0</v>
      </c>
      <c r="L1985" s="754">
        <v>201.05</v>
      </c>
      <c r="M1985" s="754">
        <f t="shared" si="87"/>
        <v>201.05</v>
      </c>
      <c r="N1985" s="756">
        <v>1185.74</v>
      </c>
      <c r="O1985" s="720">
        <f t="shared" si="88"/>
        <v>0</v>
      </c>
    </row>
    <row r="1986" spans="1:15" outlineLevel="2" x14ac:dyDescent="0.25">
      <c r="A1986" s="207" t="str">
        <f>VLOOKUP(RIGHT(E1986,3)+0,SchLocTable!$A$2:$B$47,2,FALSE)</f>
        <v>Edison</v>
      </c>
      <c r="B1986" s="207" t="str">
        <f>VLOOKUP(VALUE(D1986),$D$3:F$106,3,FALSE)</f>
        <v>Special Education</v>
      </c>
      <c r="C1986" s="751" t="s">
        <v>246</v>
      </c>
      <c r="D1986" s="751" t="s">
        <v>686</v>
      </c>
      <c r="E1986" s="751" t="s">
        <v>1500</v>
      </c>
      <c r="F1986" s="751" t="s">
        <v>292</v>
      </c>
      <c r="G1986" s="752" t="s">
        <v>1681</v>
      </c>
      <c r="H1986" s="753">
        <v>52385</v>
      </c>
      <c r="I1986" s="754">
        <v>486.03</v>
      </c>
      <c r="J1986" s="754">
        <v>0</v>
      </c>
      <c r="K1986" s="754">
        <v>0</v>
      </c>
      <c r="L1986" s="754">
        <v>486.03</v>
      </c>
      <c r="M1986" s="754">
        <f t="shared" si="87"/>
        <v>486.03</v>
      </c>
      <c r="N1986" s="756">
        <v>486.03</v>
      </c>
      <c r="O1986" s="720">
        <f t="shared" si="88"/>
        <v>0</v>
      </c>
    </row>
    <row r="1987" spans="1:15" outlineLevel="2" x14ac:dyDescent="0.25">
      <c r="A1987" s="207" t="str">
        <f>VLOOKUP(RIGHT(E1987,3)+0,SchLocTable!$A$2:$B$47,2,FALSE)</f>
        <v>Edison</v>
      </c>
      <c r="B1987" s="207" t="str">
        <f>VLOOKUP(VALUE(D1987),$D$3:F$106,3,FALSE)</f>
        <v>Special Education</v>
      </c>
      <c r="C1987" s="751" t="s">
        <v>246</v>
      </c>
      <c r="D1987" s="751" t="s">
        <v>686</v>
      </c>
      <c r="E1987" s="751" t="s">
        <v>1500</v>
      </c>
      <c r="F1987" s="751" t="s">
        <v>259</v>
      </c>
      <c r="G1987" s="752" t="s">
        <v>1681</v>
      </c>
      <c r="H1987" s="753">
        <v>52917</v>
      </c>
      <c r="I1987" s="754">
        <v>18284.740000000002</v>
      </c>
      <c r="J1987" s="754">
        <v>0</v>
      </c>
      <c r="K1987" s="754">
        <v>0</v>
      </c>
      <c r="L1987" s="754">
        <v>3647.6</v>
      </c>
      <c r="M1987" s="754">
        <f t="shared" si="87"/>
        <v>3647.6</v>
      </c>
      <c r="N1987" s="756">
        <v>18284.740000000002</v>
      </c>
      <c r="O1987" s="720">
        <f t="shared" si="88"/>
        <v>0</v>
      </c>
    </row>
    <row r="1988" spans="1:15" outlineLevel="2" x14ac:dyDescent="0.25">
      <c r="A1988" s="207" t="str">
        <f>VLOOKUP(RIGHT(E1988,3)+0,SchLocTable!$A$2:$B$47,2,FALSE)</f>
        <v>Marin</v>
      </c>
      <c r="B1988" s="207" t="str">
        <f>VLOOKUP(VALUE(D1988),$D$3:F$106,3,FALSE)</f>
        <v>Special Education</v>
      </c>
      <c r="C1988" s="751" t="s">
        <v>246</v>
      </c>
      <c r="D1988" s="751" t="s">
        <v>686</v>
      </c>
      <c r="E1988" s="751" t="s">
        <v>697</v>
      </c>
      <c r="F1988" s="751" t="s">
        <v>248</v>
      </c>
      <c r="G1988" s="752">
        <v>1</v>
      </c>
      <c r="H1988" s="753">
        <v>51000</v>
      </c>
      <c r="I1988" s="754">
        <v>93652.800000000003</v>
      </c>
      <c r="J1988" s="754">
        <v>0</v>
      </c>
      <c r="K1988" s="754">
        <v>0</v>
      </c>
      <c r="L1988" s="754">
        <v>17941.150000000001</v>
      </c>
      <c r="M1988" s="754">
        <f t="shared" si="87"/>
        <v>17941.150000000001</v>
      </c>
      <c r="N1988" s="756">
        <v>93652.800000000003</v>
      </c>
      <c r="O1988" s="720">
        <f t="shared" si="88"/>
        <v>0</v>
      </c>
    </row>
    <row r="1989" spans="1:15" outlineLevel="2" x14ac:dyDescent="0.25">
      <c r="A1989" s="207" t="str">
        <f>VLOOKUP(RIGHT(E1989,3)+0,SchLocTable!$A$2:$B$47,2,FALSE)</f>
        <v>Marin</v>
      </c>
      <c r="B1989" s="207" t="str">
        <f>VLOOKUP(VALUE(D1989),$D$3:F$106,3,FALSE)</f>
        <v>Special Education</v>
      </c>
      <c r="C1989" s="751" t="s">
        <v>246</v>
      </c>
      <c r="D1989" s="751" t="s">
        <v>686</v>
      </c>
      <c r="E1989" s="751" t="s">
        <v>697</v>
      </c>
      <c r="F1989" s="751" t="s">
        <v>257</v>
      </c>
      <c r="G1989" s="752" t="s">
        <v>1681</v>
      </c>
      <c r="H1989" s="753">
        <v>51140</v>
      </c>
      <c r="I1989" s="754">
        <v>900</v>
      </c>
      <c r="J1989" s="754">
        <v>0</v>
      </c>
      <c r="K1989" s="754">
        <v>0</v>
      </c>
      <c r="L1989" s="754">
        <v>0</v>
      </c>
      <c r="M1989" s="754">
        <f t="shared" si="87"/>
        <v>0</v>
      </c>
      <c r="N1989" s="756">
        <v>900</v>
      </c>
      <c r="O1989" s="720">
        <f t="shared" si="88"/>
        <v>0</v>
      </c>
    </row>
    <row r="1990" spans="1:15" outlineLevel="2" x14ac:dyDescent="0.25">
      <c r="A1990" s="207" t="str">
        <f>VLOOKUP(RIGHT(E1990,3)+0,SchLocTable!$A$2:$B$47,2,FALSE)</f>
        <v>Marin</v>
      </c>
      <c r="B1990" s="207" t="str">
        <f>VLOOKUP(VALUE(D1990),$D$3:F$106,3,FALSE)</f>
        <v>Special Education</v>
      </c>
      <c r="C1990" s="751" t="s">
        <v>246</v>
      </c>
      <c r="D1990" s="751" t="s">
        <v>686</v>
      </c>
      <c r="E1990" s="751" t="s">
        <v>697</v>
      </c>
      <c r="F1990" s="751" t="s">
        <v>254</v>
      </c>
      <c r="G1990" s="752" t="s">
        <v>1681</v>
      </c>
      <c r="H1990" s="753">
        <v>52360</v>
      </c>
      <c r="I1990" s="754">
        <v>1345.93</v>
      </c>
      <c r="J1990" s="754">
        <v>0</v>
      </c>
      <c r="K1990" s="754">
        <v>0</v>
      </c>
      <c r="L1990" s="754">
        <v>248.11</v>
      </c>
      <c r="M1990" s="754">
        <f t="shared" si="87"/>
        <v>248.11</v>
      </c>
      <c r="N1990" s="756">
        <v>1345.93</v>
      </c>
      <c r="O1990" s="720">
        <f t="shared" si="88"/>
        <v>0</v>
      </c>
    </row>
    <row r="1991" spans="1:15" outlineLevel="2" x14ac:dyDescent="0.25">
      <c r="A1991" s="207" t="str">
        <f>VLOOKUP(RIGHT(E1991,3)+0,SchLocTable!$A$2:$B$47,2,FALSE)</f>
        <v>Marin</v>
      </c>
      <c r="B1991" s="207" t="str">
        <f>VLOOKUP(VALUE(D1991),$D$3:F$106,3,FALSE)</f>
        <v>Special Education</v>
      </c>
      <c r="C1991" s="751" t="s">
        <v>246</v>
      </c>
      <c r="D1991" s="751" t="s">
        <v>686</v>
      </c>
      <c r="E1991" s="751" t="s">
        <v>697</v>
      </c>
      <c r="F1991" s="751" t="s">
        <v>259</v>
      </c>
      <c r="G1991" s="752" t="s">
        <v>1681</v>
      </c>
      <c r="H1991" s="753">
        <v>52917</v>
      </c>
      <c r="I1991" s="754">
        <v>11844</v>
      </c>
      <c r="J1991" s="754">
        <v>0</v>
      </c>
      <c r="K1991" s="754">
        <v>0</v>
      </c>
      <c r="L1991" s="754">
        <v>2820</v>
      </c>
      <c r="M1991" s="754">
        <f t="shared" si="87"/>
        <v>2820</v>
      </c>
      <c r="N1991" s="756">
        <v>11844</v>
      </c>
      <c r="O1991" s="720">
        <f t="shared" si="88"/>
        <v>0</v>
      </c>
    </row>
    <row r="1992" spans="1:15" outlineLevel="1" x14ac:dyDescent="0.25">
      <c r="A1992" s="207" t="str">
        <f>VLOOKUP(RIGHT(E1992,3)+0,SchLocTable!$A$2:$B$47,2,FALSE)</f>
        <v>Hall</v>
      </c>
      <c r="B1992" s="207" t="str">
        <f>VLOOKUP(VALUE(D1992),$D$3:F$106,3,FALSE)</f>
        <v>Special Education</v>
      </c>
      <c r="C1992" s="751" t="s">
        <v>246</v>
      </c>
      <c r="D1992" s="751" t="s">
        <v>686</v>
      </c>
      <c r="E1992" s="751" t="s">
        <v>2145</v>
      </c>
      <c r="F1992" s="751" t="s">
        <v>248</v>
      </c>
      <c r="G1992" s="752" t="s">
        <v>1681</v>
      </c>
      <c r="H1992" s="753">
        <v>51000</v>
      </c>
      <c r="I1992" s="754">
        <v>33626.980000000003</v>
      </c>
      <c r="J1992" s="754">
        <v>0</v>
      </c>
      <c r="K1992" s="754">
        <v>0</v>
      </c>
      <c r="L1992" s="754">
        <v>6441.95</v>
      </c>
      <c r="M1992" s="754">
        <f t="shared" si="87"/>
        <v>6441.95</v>
      </c>
      <c r="N1992" s="756">
        <v>33626.980000000003</v>
      </c>
      <c r="O1992" s="720">
        <f t="shared" si="88"/>
        <v>0</v>
      </c>
    </row>
    <row r="1993" spans="1:15" outlineLevel="2" x14ac:dyDescent="0.25">
      <c r="A1993" s="207" t="str">
        <f>VLOOKUP(RIGHT(E1993,3)+0,SchLocTable!$A$2:$B$47,2,FALSE)</f>
        <v>Hall</v>
      </c>
      <c r="B1993" s="207" t="str">
        <f>VLOOKUP(VALUE(D1993),$D$3:F$106,3,FALSE)</f>
        <v>Special Education</v>
      </c>
      <c r="C1993" s="751" t="s">
        <v>246</v>
      </c>
      <c r="D1993" s="751" t="s">
        <v>686</v>
      </c>
      <c r="E1993" s="751" t="s">
        <v>2145</v>
      </c>
      <c r="F1993" s="751" t="s">
        <v>254</v>
      </c>
      <c r="G1993" s="752" t="s">
        <v>1681</v>
      </c>
      <c r="H1993" s="753">
        <v>52360</v>
      </c>
      <c r="I1993" s="754">
        <v>481.58</v>
      </c>
      <c r="J1993" s="754">
        <v>0</v>
      </c>
      <c r="K1993" s="754">
        <v>0</v>
      </c>
      <c r="L1993" s="754">
        <v>87.4</v>
      </c>
      <c r="M1993" s="754">
        <f t="shared" si="87"/>
        <v>87.4</v>
      </c>
      <c r="N1993" s="756">
        <v>481.58</v>
      </c>
      <c r="O1993" s="720">
        <f t="shared" si="88"/>
        <v>0</v>
      </c>
    </row>
    <row r="1994" spans="1:15" outlineLevel="2" x14ac:dyDescent="0.25">
      <c r="A1994" s="207" t="str">
        <f>VLOOKUP(RIGHT(E1994,3)+0,SchLocTable!$A$2:$B$47,2,FALSE)</f>
        <v>Hall</v>
      </c>
      <c r="B1994" s="207" t="str">
        <f>VLOOKUP(VALUE(D1994),$D$3:F$106,3,FALSE)</f>
        <v>Special Education</v>
      </c>
      <c r="C1994" s="751" t="s">
        <v>246</v>
      </c>
      <c r="D1994" s="751" t="s">
        <v>686</v>
      </c>
      <c r="E1994" s="751" t="s">
        <v>2145</v>
      </c>
      <c r="F1994" s="751" t="s">
        <v>259</v>
      </c>
      <c r="G1994" s="752" t="s">
        <v>1681</v>
      </c>
      <c r="H1994" s="753">
        <v>52917</v>
      </c>
      <c r="I1994" s="754">
        <v>5922</v>
      </c>
      <c r="J1994" s="754">
        <v>0</v>
      </c>
      <c r="K1994" s="754">
        <v>0</v>
      </c>
      <c r="L1994" s="754">
        <v>1410</v>
      </c>
      <c r="M1994" s="754">
        <f t="shared" si="87"/>
        <v>1410</v>
      </c>
      <c r="N1994" s="756">
        <v>5922</v>
      </c>
      <c r="O1994" s="720">
        <f t="shared" si="88"/>
        <v>0</v>
      </c>
    </row>
    <row r="1995" spans="1:15" outlineLevel="2" x14ac:dyDescent="0.25">
      <c r="A1995" s="207" t="str">
        <f>VLOOKUP(RIGHT(E1995,3)+0,SchLocTable!$A$2:$B$47,2,FALSE)</f>
        <v>Hallen</v>
      </c>
      <c r="B1995" s="207" t="str">
        <f>VLOOKUP(VALUE(D1995),$D$3:F$106,3,FALSE)</f>
        <v>Special Education</v>
      </c>
      <c r="C1995" s="751" t="s">
        <v>246</v>
      </c>
      <c r="D1995" s="751" t="s">
        <v>686</v>
      </c>
      <c r="E1995" s="751" t="s">
        <v>698</v>
      </c>
      <c r="F1995" s="751" t="s">
        <v>248</v>
      </c>
      <c r="G1995" s="752">
        <v>1</v>
      </c>
      <c r="H1995" s="753">
        <v>51000</v>
      </c>
      <c r="I1995" s="754">
        <v>93652.800000000003</v>
      </c>
      <c r="J1995" s="754">
        <v>0</v>
      </c>
      <c r="K1995" s="754">
        <v>0</v>
      </c>
      <c r="L1995" s="754">
        <v>17941.150000000001</v>
      </c>
      <c r="M1995" s="754">
        <f t="shared" si="87"/>
        <v>17941.150000000001</v>
      </c>
      <c r="N1995" s="756">
        <v>93652.800000000003</v>
      </c>
      <c r="O1995" s="720">
        <f t="shared" si="88"/>
        <v>0</v>
      </c>
    </row>
    <row r="1996" spans="1:15" outlineLevel="2" x14ac:dyDescent="0.25">
      <c r="A1996" s="207" t="str">
        <f>VLOOKUP(RIGHT(E1996,3)+0,SchLocTable!$A$2:$B$47,2,FALSE)</f>
        <v>Hallen</v>
      </c>
      <c r="B1996" s="207" t="str">
        <f>VLOOKUP(VALUE(D1996),$D$3:F$106,3,FALSE)</f>
        <v>Special Education</v>
      </c>
      <c r="C1996" s="751" t="s">
        <v>246</v>
      </c>
      <c r="D1996" s="751" t="s">
        <v>686</v>
      </c>
      <c r="E1996" s="751" t="s">
        <v>698</v>
      </c>
      <c r="F1996" s="751" t="s">
        <v>257</v>
      </c>
      <c r="G1996" s="752" t="s">
        <v>1681</v>
      </c>
      <c r="H1996" s="753">
        <v>51140</v>
      </c>
      <c r="I1996" s="754">
        <v>900</v>
      </c>
      <c r="J1996" s="754">
        <v>0</v>
      </c>
      <c r="K1996" s="754">
        <v>0</v>
      </c>
      <c r="L1996" s="754">
        <v>0</v>
      </c>
      <c r="M1996" s="754">
        <f t="shared" si="87"/>
        <v>0</v>
      </c>
      <c r="N1996" s="756">
        <v>900</v>
      </c>
      <c r="O1996" s="720">
        <f t="shared" si="88"/>
        <v>0</v>
      </c>
    </row>
    <row r="1997" spans="1:15" outlineLevel="2" x14ac:dyDescent="0.25">
      <c r="A1997" s="207" t="str">
        <f>VLOOKUP(RIGHT(E1997,3)+0,SchLocTable!$A$2:$B$47,2,FALSE)</f>
        <v>Hallen</v>
      </c>
      <c r="B1997" s="207" t="str">
        <f>VLOOKUP(VALUE(D1997),$D$3:F$106,3,FALSE)</f>
        <v>Special Education</v>
      </c>
      <c r="C1997" s="751" t="s">
        <v>246</v>
      </c>
      <c r="D1997" s="751" t="s">
        <v>686</v>
      </c>
      <c r="E1997" s="751" t="s">
        <v>698</v>
      </c>
      <c r="F1997" s="751" t="s">
        <v>254</v>
      </c>
      <c r="G1997" s="752" t="s">
        <v>1681</v>
      </c>
      <c r="H1997" s="753">
        <v>52360</v>
      </c>
      <c r="I1997" s="754">
        <v>1323.51</v>
      </c>
      <c r="J1997" s="754">
        <v>0</v>
      </c>
      <c r="K1997" s="754">
        <v>0</v>
      </c>
      <c r="L1997" s="754">
        <v>225.69</v>
      </c>
      <c r="M1997" s="754">
        <f t="shared" si="87"/>
        <v>225.69</v>
      </c>
      <c r="N1997" s="756">
        <v>1323.51</v>
      </c>
      <c r="O1997" s="720">
        <f t="shared" si="88"/>
        <v>0</v>
      </c>
    </row>
    <row r="1998" spans="1:15" outlineLevel="2" x14ac:dyDescent="0.25">
      <c r="A1998" s="207" t="str">
        <f>VLOOKUP(RIGHT(E1998,3)+0,SchLocTable!$A$2:$B$47,2,FALSE)</f>
        <v>Hallen</v>
      </c>
      <c r="B1998" s="207" t="str">
        <f>VLOOKUP(VALUE(D1998),$D$3:F$106,3,FALSE)</f>
        <v>Special Education</v>
      </c>
      <c r="C1998" s="751" t="s">
        <v>246</v>
      </c>
      <c r="D1998" s="751" t="s">
        <v>686</v>
      </c>
      <c r="E1998" s="751" t="s">
        <v>698</v>
      </c>
      <c r="F1998" s="751" t="s">
        <v>259</v>
      </c>
      <c r="G1998" s="752" t="s">
        <v>1681</v>
      </c>
      <c r="H1998" s="753">
        <v>52917</v>
      </c>
      <c r="I1998" s="754">
        <v>33756.78</v>
      </c>
      <c r="J1998" s="754">
        <v>0</v>
      </c>
      <c r="K1998" s="754">
        <v>0</v>
      </c>
      <c r="L1998" s="754">
        <v>7367.02</v>
      </c>
      <c r="M1998" s="754">
        <f t="shared" si="87"/>
        <v>7367.02</v>
      </c>
      <c r="N1998" s="756">
        <v>33756.78</v>
      </c>
      <c r="O1998" s="720">
        <f t="shared" si="88"/>
        <v>0</v>
      </c>
    </row>
    <row r="1999" spans="1:15" outlineLevel="2" x14ac:dyDescent="0.25">
      <c r="A1999" s="207" t="str">
        <f>VLOOKUP(RIGHT(E1999,3)+0,SchLocTable!$A$2:$B$47,2,FALSE)</f>
        <v>Hooker</v>
      </c>
      <c r="B1999" s="207" t="str">
        <f>VLOOKUP(VALUE(D1999),$D$3:F$106,3,FALSE)</f>
        <v>Special Education</v>
      </c>
      <c r="C1999" s="755" t="s">
        <v>246</v>
      </c>
      <c r="D1999" s="751" t="s">
        <v>686</v>
      </c>
      <c r="E1999" s="751" t="s">
        <v>699</v>
      </c>
      <c r="F1999" s="751" t="s">
        <v>248</v>
      </c>
      <c r="G1999" s="752">
        <v>2</v>
      </c>
      <c r="H1999" s="753">
        <v>51000</v>
      </c>
      <c r="I1999" s="754">
        <v>144124.98000000001</v>
      </c>
      <c r="J1999" s="754">
        <v>0</v>
      </c>
      <c r="K1999" s="754">
        <v>0</v>
      </c>
      <c r="L1999" s="754">
        <v>27610.15</v>
      </c>
      <c r="M1999" s="754">
        <f t="shared" si="87"/>
        <v>27610.15</v>
      </c>
      <c r="N1999" s="756">
        <v>144124.98000000001</v>
      </c>
      <c r="O1999" s="720">
        <f t="shared" si="88"/>
        <v>0</v>
      </c>
    </row>
    <row r="2000" spans="1:15" outlineLevel="1" x14ac:dyDescent="0.25">
      <c r="A2000" s="207" t="str">
        <f>VLOOKUP(RIGHT(E2000,3)+0,SchLocTable!$A$2:$B$47,2,FALSE)</f>
        <v>Hooker</v>
      </c>
      <c r="B2000" s="207" t="str">
        <f>VLOOKUP(VALUE(D2000),$D$3:F$106,3,FALSE)</f>
        <v>Special Education</v>
      </c>
      <c r="C2000" s="751" t="s">
        <v>246</v>
      </c>
      <c r="D2000" s="751" t="s">
        <v>686</v>
      </c>
      <c r="E2000" s="751" t="s">
        <v>699</v>
      </c>
      <c r="F2000" s="751" t="s">
        <v>257</v>
      </c>
      <c r="G2000" s="752" t="s">
        <v>1681</v>
      </c>
      <c r="H2000" s="753">
        <v>51140</v>
      </c>
      <c r="I2000" s="754">
        <v>900</v>
      </c>
      <c r="J2000" s="754">
        <v>0</v>
      </c>
      <c r="K2000" s="754">
        <v>0</v>
      </c>
      <c r="L2000" s="754">
        <v>0</v>
      </c>
      <c r="M2000" s="754">
        <f t="shared" si="87"/>
        <v>0</v>
      </c>
      <c r="N2000" s="756">
        <v>900</v>
      </c>
      <c r="O2000" s="720">
        <f t="shared" si="88"/>
        <v>0</v>
      </c>
    </row>
    <row r="2001" spans="1:15" outlineLevel="2" x14ac:dyDescent="0.25">
      <c r="A2001" s="207" t="str">
        <f>VLOOKUP(RIGHT(E2001,3)+0,SchLocTable!$A$2:$B$47,2,FALSE)</f>
        <v>Hooker</v>
      </c>
      <c r="B2001" s="207" t="str">
        <f>VLOOKUP(VALUE(D2001),$D$3:F$106,3,FALSE)</f>
        <v>Special Education</v>
      </c>
      <c r="C2001" s="751" t="s">
        <v>246</v>
      </c>
      <c r="D2001" s="751" t="s">
        <v>686</v>
      </c>
      <c r="E2001" s="751" t="s">
        <v>699</v>
      </c>
      <c r="F2001" s="751" t="s">
        <v>254</v>
      </c>
      <c r="G2001" s="752" t="s">
        <v>1681</v>
      </c>
      <c r="H2001" s="753">
        <v>52360</v>
      </c>
      <c r="I2001" s="754">
        <v>2022.25</v>
      </c>
      <c r="J2001" s="754">
        <v>0</v>
      </c>
      <c r="K2001" s="754">
        <v>0</v>
      </c>
      <c r="L2001" s="754">
        <v>332.78</v>
      </c>
      <c r="M2001" s="754">
        <f t="shared" si="87"/>
        <v>332.78</v>
      </c>
      <c r="N2001" s="756">
        <v>2022.25</v>
      </c>
      <c r="O2001" s="720">
        <f t="shared" si="88"/>
        <v>0</v>
      </c>
    </row>
    <row r="2002" spans="1:15" outlineLevel="2" x14ac:dyDescent="0.25">
      <c r="A2002" s="207" t="str">
        <f>VLOOKUP(RIGHT(E2002,3)+0,SchLocTable!$A$2:$B$47,2,FALSE)</f>
        <v>Hooker</v>
      </c>
      <c r="B2002" s="207" t="str">
        <f>VLOOKUP(VALUE(D2002),$D$3:F$106,3,FALSE)</f>
        <v>Special Education</v>
      </c>
      <c r="C2002" s="751" t="s">
        <v>246</v>
      </c>
      <c r="D2002" s="751" t="s">
        <v>686</v>
      </c>
      <c r="E2002" s="751" t="s">
        <v>699</v>
      </c>
      <c r="F2002" s="751" t="s">
        <v>259</v>
      </c>
      <c r="G2002" s="752" t="s">
        <v>1681</v>
      </c>
      <c r="H2002" s="753">
        <v>52917</v>
      </c>
      <c r="I2002" s="754">
        <v>63553.98</v>
      </c>
      <c r="J2002" s="754">
        <v>0</v>
      </c>
      <c r="K2002" s="754">
        <v>0</v>
      </c>
      <c r="L2002" s="754">
        <v>15131.9</v>
      </c>
      <c r="M2002" s="754">
        <f t="shared" si="87"/>
        <v>15131.9</v>
      </c>
      <c r="N2002" s="756">
        <v>63553.98</v>
      </c>
      <c r="O2002" s="720">
        <f t="shared" si="88"/>
        <v>0</v>
      </c>
    </row>
    <row r="2003" spans="1:15" outlineLevel="2" x14ac:dyDescent="0.25">
      <c r="A2003" s="207" t="str">
        <f>VLOOKUP(RIGHT(E2003,3)+0,SchLocTable!$A$2:$B$47,2,FALSE)</f>
        <v>Batalla</v>
      </c>
      <c r="B2003" s="207" t="str">
        <f>VLOOKUP(VALUE(D2003),$D$3:F$106,3,FALSE)</f>
        <v>Special Education</v>
      </c>
      <c r="C2003" s="751" t="s">
        <v>246</v>
      </c>
      <c r="D2003" s="751" t="s">
        <v>686</v>
      </c>
      <c r="E2003" s="751" t="s">
        <v>700</v>
      </c>
      <c r="F2003" s="751" t="s">
        <v>248</v>
      </c>
      <c r="G2003" s="752">
        <v>3</v>
      </c>
      <c r="H2003" s="753">
        <v>51000</v>
      </c>
      <c r="I2003" s="754">
        <v>257551.67</v>
      </c>
      <c r="J2003" s="754">
        <v>0</v>
      </c>
      <c r="K2003" s="754">
        <v>0</v>
      </c>
      <c r="L2003" s="754">
        <v>49339.4</v>
      </c>
      <c r="M2003" s="754">
        <f t="shared" si="87"/>
        <v>49339.4</v>
      </c>
      <c r="N2003" s="756">
        <v>257551.67</v>
      </c>
      <c r="O2003" s="720">
        <f t="shared" si="88"/>
        <v>0</v>
      </c>
    </row>
    <row r="2004" spans="1:15" outlineLevel="2" x14ac:dyDescent="0.25">
      <c r="A2004" s="207" t="str">
        <f>VLOOKUP(RIGHT(E2004,3)+0,SchLocTable!$A$2:$B$47,2,FALSE)</f>
        <v>Batalla</v>
      </c>
      <c r="B2004" s="207" t="str">
        <f>VLOOKUP(VALUE(D2004),$D$3:F$106,3,FALSE)</f>
        <v>Special Education</v>
      </c>
      <c r="C2004" s="751" t="s">
        <v>246</v>
      </c>
      <c r="D2004" s="751" t="s">
        <v>686</v>
      </c>
      <c r="E2004" s="751" t="s">
        <v>700</v>
      </c>
      <c r="F2004" s="751" t="s">
        <v>257</v>
      </c>
      <c r="G2004" s="752" t="s">
        <v>1681</v>
      </c>
      <c r="H2004" s="753">
        <v>51140</v>
      </c>
      <c r="I2004" s="754">
        <v>1300</v>
      </c>
      <c r="J2004" s="754">
        <v>0</v>
      </c>
      <c r="K2004" s="754">
        <v>0</v>
      </c>
      <c r="L2004" s="754">
        <v>0</v>
      </c>
      <c r="M2004" s="754">
        <f t="shared" si="87"/>
        <v>0</v>
      </c>
      <c r="N2004" s="756">
        <v>1300</v>
      </c>
      <c r="O2004" s="720">
        <f t="shared" si="88"/>
        <v>0</v>
      </c>
    </row>
    <row r="2005" spans="1:15" outlineLevel="2" x14ac:dyDescent="0.25">
      <c r="A2005" s="207" t="str">
        <f>VLOOKUP(RIGHT(E2005,3)+0,SchLocTable!$A$2:$B$47,2,FALSE)</f>
        <v>Batalla</v>
      </c>
      <c r="B2005" s="207" t="str">
        <f>VLOOKUP(VALUE(D2005),$D$3:F$106,3,FALSE)</f>
        <v>Special Education</v>
      </c>
      <c r="C2005" s="751" t="s">
        <v>246</v>
      </c>
      <c r="D2005" s="751" t="s">
        <v>686</v>
      </c>
      <c r="E2005" s="751" t="s">
        <v>700</v>
      </c>
      <c r="F2005" s="751" t="s">
        <v>254</v>
      </c>
      <c r="G2005" s="752" t="s">
        <v>1681</v>
      </c>
      <c r="H2005" s="753">
        <v>52360</v>
      </c>
      <c r="I2005" s="754">
        <v>3707.53</v>
      </c>
      <c r="J2005" s="754">
        <v>0</v>
      </c>
      <c r="K2005" s="754">
        <v>0</v>
      </c>
      <c r="L2005" s="754">
        <v>688.45</v>
      </c>
      <c r="M2005" s="754">
        <f t="shared" si="87"/>
        <v>688.45</v>
      </c>
      <c r="N2005" s="756">
        <v>3707.53</v>
      </c>
      <c r="O2005" s="720">
        <f t="shared" si="88"/>
        <v>0</v>
      </c>
    </row>
    <row r="2006" spans="1:15" outlineLevel="2" x14ac:dyDescent="0.25">
      <c r="A2006" s="207" t="str">
        <f>VLOOKUP(RIGHT(E2006,3)+0,SchLocTable!$A$2:$B$47,2,FALSE)</f>
        <v>Batalla</v>
      </c>
      <c r="B2006" s="207" t="str">
        <f>VLOOKUP(VALUE(D2006),$D$3:F$106,3,FALSE)</f>
        <v>Special Education</v>
      </c>
      <c r="C2006" s="751" t="s">
        <v>246</v>
      </c>
      <c r="D2006" s="751" t="s">
        <v>686</v>
      </c>
      <c r="E2006" s="751" t="s">
        <v>700</v>
      </c>
      <c r="F2006" s="751" t="s">
        <v>292</v>
      </c>
      <c r="G2006" s="752" t="s">
        <v>1681</v>
      </c>
      <c r="H2006" s="753">
        <v>52385</v>
      </c>
      <c r="I2006" s="754">
        <v>0</v>
      </c>
      <c r="J2006" s="754">
        <v>0</v>
      </c>
      <c r="K2006" s="754">
        <v>0</v>
      </c>
      <c r="L2006" s="754">
        <v>0</v>
      </c>
      <c r="M2006" s="754">
        <f t="shared" si="87"/>
        <v>0</v>
      </c>
      <c r="N2006" s="756">
        <v>0</v>
      </c>
      <c r="O2006" s="720">
        <f t="shared" si="88"/>
        <v>0</v>
      </c>
    </row>
    <row r="2007" spans="1:15" outlineLevel="1" x14ac:dyDescent="0.25">
      <c r="A2007" s="207" t="str">
        <f>VLOOKUP(RIGHT(E2007,3)+0,SchLocTable!$A$2:$B$47,2,FALSE)</f>
        <v>Batalla</v>
      </c>
      <c r="B2007" s="207" t="str">
        <f>VLOOKUP(VALUE(D2007),$D$3:F$106,3,FALSE)</f>
        <v>Special Education</v>
      </c>
      <c r="C2007" s="751" t="s">
        <v>246</v>
      </c>
      <c r="D2007" s="751" t="s">
        <v>686</v>
      </c>
      <c r="E2007" s="751" t="s">
        <v>700</v>
      </c>
      <c r="F2007" s="751" t="s">
        <v>259</v>
      </c>
      <c r="G2007" s="752" t="s">
        <v>1681</v>
      </c>
      <c r="H2007" s="753">
        <v>52917</v>
      </c>
      <c r="I2007" s="754">
        <v>23688</v>
      </c>
      <c r="J2007" s="754">
        <v>0</v>
      </c>
      <c r="K2007" s="754">
        <v>0</v>
      </c>
      <c r="L2007" s="754">
        <v>5640</v>
      </c>
      <c r="M2007" s="754">
        <f t="shared" si="87"/>
        <v>5640</v>
      </c>
      <c r="N2007" s="756">
        <v>23688</v>
      </c>
      <c r="O2007" s="720">
        <f t="shared" si="88"/>
        <v>0</v>
      </c>
    </row>
    <row r="2008" spans="1:15" outlineLevel="2" x14ac:dyDescent="0.25">
      <c r="A2008" s="207" t="str">
        <f>VLOOKUP(RIGHT(E2008,3)+0,SchLocTable!$A$2:$B$47,2,FALSE)</f>
        <v>BMA HS</v>
      </c>
      <c r="B2008" s="207" t="str">
        <f>VLOOKUP(VALUE(D2008),$D$3:F$106,3,FALSE)</f>
        <v>Special Education</v>
      </c>
      <c r="C2008" s="751" t="s">
        <v>246</v>
      </c>
      <c r="D2008" s="751" t="s">
        <v>686</v>
      </c>
      <c r="E2008" s="751" t="s">
        <v>701</v>
      </c>
      <c r="F2008" s="751" t="s">
        <v>248</v>
      </c>
      <c r="G2008" s="752">
        <v>1</v>
      </c>
      <c r="H2008" s="753">
        <v>51000</v>
      </c>
      <c r="I2008" s="754">
        <v>103153.2</v>
      </c>
      <c r="J2008" s="754">
        <v>0</v>
      </c>
      <c r="K2008" s="754">
        <v>0</v>
      </c>
      <c r="L2008" s="754">
        <v>19761.150000000001</v>
      </c>
      <c r="M2008" s="754">
        <f t="shared" si="87"/>
        <v>19761.150000000001</v>
      </c>
      <c r="N2008" s="756">
        <v>103153.2</v>
      </c>
      <c r="O2008" s="720">
        <f t="shared" si="88"/>
        <v>0</v>
      </c>
    </row>
    <row r="2009" spans="1:15" outlineLevel="2" x14ac:dyDescent="0.25">
      <c r="A2009" s="207" t="str">
        <f>VLOOKUP(RIGHT(E2009,3)+0,SchLocTable!$A$2:$B$47,2,FALSE)</f>
        <v>BMA HS</v>
      </c>
      <c r="B2009" s="207" t="str">
        <f>VLOOKUP(VALUE(D2009),$D$3:F$106,3,FALSE)</f>
        <v>Special Education</v>
      </c>
      <c r="C2009" s="751" t="s">
        <v>246</v>
      </c>
      <c r="D2009" s="751" t="s">
        <v>686</v>
      </c>
      <c r="E2009" s="751" t="s">
        <v>701</v>
      </c>
      <c r="F2009" s="751" t="s">
        <v>257</v>
      </c>
      <c r="G2009" s="752" t="s">
        <v>1681</v>
      </c>
      <c r="H2009" s="753">
        <v>51140</v>
      </c>
      <c r="I2009" s="754">
        <v>2000</v>
      </c>
      <c r="J2009" s="754">
        <v>0</v>
      </c>
      <c r="K2009" s="754">
        <v>0</v>
      </c>
      <c r="L2009" s="754">
        <v>0</v>
      </c>
      <c r="M2009" s="754">
        <f t="shared" si="87"/>
        <v>0</v>
      </c>
      <c r="N2009" s="756">
        <v>2000</v>
      </c>
      <c r="O2009" s="720">
        <f t="shared" si="88"/>
        <v>0</v>
      </c>
    </row>
    <row r="2010" spans="1:15" outlineLevel="2" x14ac:dyDescent="0.25">
      <c r="A2010" s="207" t="str">
        <f>VLOOKUP(RIGHT(E2010,3)+0,SchLocTable!$A$2:$B$47,2,FALSE)</f>
        <v>BMA HS</v>
      </c>
      <c r="B2010" s="207" t="str">
        <f>VLOOKUP(VALUE(D2010),$D$3:F$106,3,FALSE)</f>
        <v>Special Education</v>
      </c>
      <c r="C2010" s="751" t="s">
        <v>246</v>
      </c>
      <c r="D2010" s="751" t="s">
        <v>686</v>
      </c>
      <c r="E2010" s="751" t="s">
        <v>701</v>
      </c>
      <c r="F2010" s="751" t="s">
        <v>254</v>
      </c>
      <c r="G2010" s="752" t="s">
        <v>1681</v>
      </c>
      <c r="H2010" s="753">
        <v>52360</v>
      </c>
      <c r="I2010" s="754">
        <v>1483.68</v>
      </c>
      <c r="J2010" s="754">
        <v>0</v>
      </c>
      <c r="K2010" s="754">
        <v>0</v>
      </c>
      <c r="L2010" s="754">
        <v>274.5</v>
      </c>
      <c r="M2010" s="754">
        <f t="shared" si="87"/>
        <v>274.5</v>
      </c>
      <c r="N2010" s="756">
        <v>1483.68</v>
      </c>
      <c r="O2010" s="720">
        <f t="shared" si="88"/>
        <v>0</v>
      </c>
    </row>
    <row r="2011" spans="1:15" outlineLevel="2" x14ac:dyDescent="0.25">
      <c r="A2011" s="207" t="str">
        <f>VLOOKUP(RIGHT(E2011,3)+0,SchLocTable!$A$2:$B$47,2,FALSE)</f>
        <v>BMA HS</v>
      </c>
      <c r="B2011" s="207" t="str">
        <f>VLOOKUP(VALUE(D2011),$D$3:F$106,3,FALSE)</f>
        <v>Special Education</v>
      </c>
      <c r="C2011" s="755" t="s">
        <v>246</v>
      </c>
      <c r="D2011" s="751" t="s">
        <v>686</v>
      </c>
      <c r="E2011" s="751" t="s">
        <v>701</v>
      </c>
      <c r="F2011" s="751" t="s">
        <v>259</v>
      </c>
      <c r="G2011" s="752" t="s">
        <v>1681</v>
      </c>
      <c r="H2011" s="753">
        <v>52917</v>
      </c>
      <c r="I2011" s="754">
        <v>11844</v>
      </c>
      <c r="J2011" s="754">
        <v>0</v>
      </c>
      <c r="K2011" s="754">
        <v>0</v>
      </c>
      <c r="L2011" s="754">
        <v>2820</v>
      </c>
      <c r="M2011" s="754">
        <f t="shared" si="87"/>
        <v>2820</v>
      </c>
      <c r="N2011" s="756">
        <v>11844</v>
      </c>
      <c r="O2011" s="720">
        <f t="shared" si="88"/>
        <v>0</v>
      </c>
    </row>
    <row r="2012" spans="1:15" outlineLevel="2" x14ac:dyDescent="0.25">
      <c r="A2012" s="207" t="str">
        <f>VLOOKUP(RIGHT(E2012,3)+0,SchLocTable!$A$2:$B$47,2,FALSE)</f>
        <v>Park City Magnet</v>
      </c>
      <c r="B2012" s="207" t="str">
        <f>VLOOKUP(VALUE(D2012),$D$3:F$106,3,FALSE)</f>
        <v>Special Education</v>
      </c>
      <c r="C2012" s="751" t="s">
        <v>246</v>
      </c>
      <c r="D2012" s="751" t="s">
        <v>686</v>
      </c>
      <c r="E2012" s="751" t="s">
        <v>702</v>
      </c>
      <c r="F2012" s="751" t="s">
        <v>248</v>
      </c>
      <c r="G2012" s="752">
        <v>2</v>
      </c>
      <c r="H2012" s="753">
        <v>51000</v>
      </c>
      <c r="I2012" s="754">
        <v>155715.15</v>
      </c>
      <c r="J2012" s="754">
        <v>0</v>
      </c>
      <c r="K2012" s="754">
        <v>0</v>
      </c>
      <c r="L2012" s="754">
        <v>32275.9</v>
      </c>
      <c r="M2012" s="754">
        <f t="shared" si="87"/>
        <v>32275.9</v>
      </c>
      <c r="N2012" s="756">
        <v>155715.15</v>
      </c>
      <c r="O2012" s="720">
        <f t="shared" si="88"/>
        <v>0</v>
      </c>
    </row>
    <row r="2013" spans="1:15" outlineLevel="2" x14ac:dyDescent="0.25">
      <c r="A2013" s="207" t="str">
        <f>VLOOKUP(RIGHT(E2013,3)+0,SchLocTable!$A$2:$B$47,2,FALSE)</f>
        <v>Park City Magnet</v>
      </c>
      <c r="B2013" s="207" t="str">
        <f>VLOOKUP(VALUE(D2013),$D$3:F$106,3,FALSE)</f>
        <v>Special Education</v>
      </c>
      <c r="C2013" s="751" t="s">
        <v>246</v>
      </c>
      <c r="D2013" s="751" t="s">
        <v>686</v>
      </c>
      <c r="E2013" s="751" t="s">
        <v>702</v>
      </c>
      <c r="F2013" s="751" t="s">
        <v>257</v>
      </c>
      <c r="G2013" s="752" t="s">
        <v>1681</v>
      </c>
      <c r="H2013" s="753">
        <v>51140</v>
      </c>
      <c r="I2013" s="754">
        <v>3100</v>
      </c>
      <c r="J2013" s="754">
        <v>0</v>
      </c>
      <c r="K2013" s="754">
        <v>0</v>
      </c>
      <c r="L2013" s="754">
        <v>0</v>
      </c>
      <c r="M2013" s="754">
        <f t="shared" si="87"/>
        <v>0</v>
      </c>
      <c r="N2013" s="756">
        <v>3100</v>
      </c>
      <c r="O2013" s="720">
        <f t="shared" si="88"/>
        <v>0</v>
      </c>
    </row>
    <row r="2014" spans="1:15" outlineLevel="1" x14ac:dyDescent="0.25">
      <c r="A2014" s="207" t="str">
        <f>VLOOKUP(RIGHT(E2014,3)+0,SchLocTable!$A$2:$B$47,2,FALSE)</f>
        <v>Park City Magnet</v>
      </c>
      <c r="B2014" s="207" t="str">
        <f>VLOOKUP(VALUE(D2014),$D$3:F$106,3,FALSE)</f>
        <v>Special Education</v>
      </c>
      <c r="C2014" s="751" t="s">
        <v>246</v>
      </c>
      <c r="D2014" s="751" t="s">
        <v>686</v>
      </c>
      <c r="E2014" s="751" t="s">
        <v>702</v>
      </c>
      <c r="F2014" s="751" t="s">
        <v>254</v>
      </c>
      <c r="G2014" s="752" t="s">
        <v>1681</v>
      </c>
      <c r="H2014" s="753">
        <v>52360</v>
      </c>
      <c r="I2014" s="754">
        <v>2222.2199999999998</v>
      </c>
      <c r="J2014" s="754">
        <v>0</v>
      </c>
      <c r="K2014" s="754">
        <v>0</v>
      </c>
      <c r="L2014" s="754">
        <v>432.35</v>
      </c>
      <c r="M2014" s="754">
        <f t="shared" si="87"/>
        <v>432.35</v>
      </c>
      <c r="N2014" s="756">
        <v>2222.2199999999998</v>
      </c>
      <c r="O2014" s="720">
        <f t="shared" si="88"/>
        <v>0</v>
      </c>
    </row>
    <row r="2015" spans="1:15" outlineLevel="2" x14ac:dyDescent="0.25">
      <c r="A2015" s="207" t="str">
        <f>VLOOKUP(RIGHT(E2015,3)+0,SchLocTable!$A$2:$B$47,2,FALSE)</f>
        <v>Park City Magnet</v>
      </c>
      <c r="B2015" s="207" t="str">
        <f>VLOOKUP(VALUE(D2015),$D$3:F$106,3,FALSE)</f>
        <v>Special Education</v>
      </c>
      <c r="C2015" s="755" t="s">
        <v>246</v>
      </c>
      <c r="D2015" s="751" t="s">
        <v>686</v>
      </c>
      <c r="E2015" s="751" t="s">
        <v>702</v>
      </c>
      <c r="F2015" s="751" t="s">
        <v>292</v>
      </c>
      <c r="G2015" s="752" t="s">
        <v>1681</v>
      </c>
      <c r="H2015" s="753">
        <v>52385</v>
      </c>
      <c r="I2015" s="754">
        <v>0</v>
      </c>
      <c r="J2015" s="754">
        <v>0</v>
      </c>
      <c r="K2015" s="754">
        <v>0</v>
      </c>
      <c r="L2015" s="754">
        <v>0</v>
      </c>
      <c r="M2015" s="754">
        <f t="shared" si="87"/>
        <v>0</v>
      </c>
      <c r="N2015" s="756">
        <v>0</v>
      </c>
      <c r="O2015" s="720">
        <f t="shared" si="88"/>
        <v>0</v>
      </c>
    </row>
    <row r="2016" spans="1:15" outlineLevel="2" x14ac:dyDescent="0.25">
      <c r="A2016" s="207" t="str">
        <f>VLOOKUP(RIGHT(E2016,3)+0,SchLocTable!$A$2:$B$47,2,FALSE)</f>
        <v>Park City Magnet</v>
      </c>
      <c r="B2016" s="207" t="str">
        <f>VLOOKUP(VALUE(D2016),$D$3:F$106,3,FALSE)</f>
        <v>Special Education</v>
      </c>
      <c r="C2016" s="751" t="s">
        <v>246</v>
      </c>
      <c r="D2016" s="751" t="s">
        <v>686</v>
      </c>
      <c r="E2016" s="751" t="s">
        <v>702</v>
      </c>
      <c r="F2016" s="751" t="s">
        <v>259</v>
      </c>
      <c r="G2016" s="752" t="s">
        <v>1681</v>
      </c>
      <c r="H2016" s="753">
        <v>52917</v>
      </c>
      <c r="I2016" s="754">
        <v>35075.879999999997</v>
      </c>
      <c r="J2016" s="754">
        <v>0</v>
      </c>
      <c r="K2016" s="754">
        <v>0</v>
      </c>
      <c r="L2016" s="754">
        <v>8351.4</v>
      </c>
      <c r="M2016" s="754">
        <f t="shared" si="87"/>
        <v>8351.4</v>
      </c>
      <c r="N2016" s="756">
        <v>35075.879999999997</v>
      </c>
      <c r="O2016" s="720">
        <f t="shared" si="88"/>
        <v>0</v>
      </c>
    </row>
    <row r="2017" spans="1:15" outlineLevel="2" x14ac:dyDescent="0.25">
      <c r="A2017" s="207" t="str">
        <f>VLOOKUP(RIGHT(E2017,3)+0,SchLocTable!$A$2:$B$47,2,FALSE)</f>
        <v>Madison</v>
      </c>
      <c r="B2017" s="207" t="str">
        <f>VLOOKUP(VALUE(D2017),$D$3:F$106,3,FALSE)</f>
        <v>Special Education</v>
      </c>
      <c r="C2017" s="751" t="s">
        <v>246</v>
      </c>
      <c r="D2017" s="751" t="s">
        <v>686</v>
      </c>
      <c r="E2017" s="751" t="s">
        <v>703</v>
      </c>
      <c r="F2017" s="751" t="s">
        <v>248</v>
      </c>
      <c r="G2017" s="752">
        <v>5</v>
      </c>
      <c r="H2017" s="753">
        <v>51000</v>
      </c>
      <c r="I2017" s="754">
        <v>408107.76</v>
      </c>
      <c r="J2017" s="754">
        <v>0</v>
      </c>
      <c r="K2017" s="754">
        <v>0</v>
      </c>
      <c r="L2017" s="754">
        <v>80345.53</v>
      </c>
      <c r="M2017" s="754">
        <f t="shared" si="87"/>
        <v>80345.53</v>
      </c>
      <c r="N2017" s="756">
        <v>408107.76</v>
      </c>
      <c r="O2017" s="720">
        <f t="shared" si="88"/>
        <v>0</v>
      </c>
    </row>
    <row r="2018" spans="1:15" outlineLevel="2" x14ac:dyDescent="0.25">
      <c r="A2018" s="207" t="str">
        <f>VLOOKUP(RIGHT(E2018,3)+0,SchLocTable!$A$2:$B$47,2,FALSE)</f>
        <v>Madison</v>
      </c>
      <c r="B2018" s="207" t="str">
        <f>VLOOKUP(VALUE(D2018),$D$3:F$106,3,FALSE)</f>
        <v>Special Education</v>
      </c>
      <c r="C2018" s="751" t="s">
        <v>246</v>
      </c>
      <c r="D2018" s="751" t="s">
        <v>686</v>
      </c>
      <c r="E2018" s="751" t="s">
        <v>703</v>
      </c>
      <c r="F2018" s="751" t="s">
        <v>257</v>
      </c>
      <c r="G2018" s="752" t="s">
        <v>1681</v>
      </c>
      <c r="H2018" s="753">
        <v>51140</v>
      </c>
      <c r="I2018" s="754">
        <v>2200</v>
      </c>
      <c r="J2018" s="754">
        <v>0</v>
      </c>
      <c r="K2018" s="754">
        <v>0</v>
      </c>
      <c r="L2018" s="754">
        <v>0</v>
      </c>
      <c r="M2018" s="754">
        <f t="shared" si="87"/>
        <v>0</v>
      </c>
      <c r="N2018" s="756">
        <v>2200</v>
      </c>
      <c r="O2018" s="720">
        <f t="shared" si="88"/>
        <v>0</v>
      </c>
    </row>
    <row r="2019" spans="1:15" outlineLevel="2" x14ac:dyDescent="0.25">
      <c r="A2019" s="207" t="str">
        <f>VLOOKUP(RIGHT(E2019,3)+0,SchLocTable!$A$2:$B$47,2,FALSE)</f>
        <v>Madison</v>
      </c>
      <c r="B2019" s="207" t="str">
        <f>VLOOKUP(VALUE(D2019),$D$3:F$106,3,FALSE)</f>
        <v>Special Education</v>
      </c>
      <c r="C2019" s="751" t="s">
        <v>246</v>
      </c>
      <c r="D2019" s="751" t="s">
        <v>686</v>
      </c>
      <c r="E2019" s="751" t="s">
        <v>703</v>
      </c>
      <c r="F2019" s="751" t="s">
        <v>252</v>
      </c>
      <c r="G2019" s="752" t="s">
        <v>1681</v>
      </c>
      <c r="H2019" s="753">
        <v>51154</v>
      </c>
      <c r="I2019" s="754">
        <v>0</v>
      </c>
      <c r="J2019" s="754">
        <v>0</v>
      </c>
      <c r="K2019" s="754">
        <v>0</v>
      </c>
      <c r="L2019" s="754">
        <v>0</v>
      </c>
      <c r="M2019" s="754">
        <f t="shared" si="87"/>
        <v>0</v>
      </c>
      <c r="N2019" s="756">
        <v>0</v>
      </c>
      <c r="O2019" s="720">
        <f t="shared" si="88"/>
        <v>0</v>
      </c>
    </row>
    <row r="2020" spans="1:15" outlineLevel="2" x14ac:dyDescent="0.25">
      <c r="A2020" s="207" t="str">
        <f>VLOOKUP(RIGHT(E2020,3)+0,SchLocTable!$A$2:$B$47,2,FALSE)</f>
        <v>Madison</v>
      </c>
      <c r="B2020" s="207" t="str">
        <f>VLOOKUP(VALUE(D2020),$D$3:F$106,3,FALSE)</f>
        <v>Special Education</v>
      </c>
      <c r="C2020" s="751" t="s">
        <v>246</v>
      </c>
      <c r="D2020" s="751" t="s">
        <v>686</v>
      </c>
      <c r="E2020" s="751" t="s">
        <v>703</v>
      </c>
      <c r="F2020" s="751" t="s">
        <v>254</v>
      </c>
      <c r="G2020" s="752" t="s">
        <v>1681</v>
      </c>
      <c r="H2020" s="753">
        <v>52360</v>
      </c>
      <c r="I2020" s="754">
        <v>5793.32</v>
      </c>
      <c r="J2020" s="754">
        <v>0</v>
      </c>
      <c r="K2020" s="754">
        <v>0</v>
      </c>
      <c r="L2020" s="754">
        <v>1040.77</v>
      </c>
      <c r="M2020" s="754">
        <f t="shared" si="87"/>
        <v>1040.77</v>
      </c>
      <c r="N2020" s="756">
        <v>5793.32</v>
      </c>
      <c r="O2020" s="720">
        <f t="shared" si="88"/>
        <v>0</v>
      </c>
    </row>
    <row r="2021" spans="1:15" outlineLevel="2" x14ac:dyDescent="0.25">
      <c r="A2021" s="207" t="str">
        <f>VLOOKUP(RIGHT(E2021,3)+0,SchLocTable!$A$2:$B$47,2,FALSE)</f>
        <v>Madison</v>
      </c>
      <c r="B2021" s="207" t="str">
        <f>VLOOKUP(VALUE(D2021),$D$3:F$106,3,FALSE)</f>
        <v>Special Education</v>
      </c>
      <c r="C2021" s="751" t="s">
        <v>246</v>
      </c>
      <c r="D2021" s="751" t="s">
        <v>686</v>
      </c>
      <c r="E2021" s="751" t="s">
        <v>703</v>
      </c>
      <c r="F2021" s="751" t="s">
        <v>292</v>
      </c>
      <c r="G2021" s="752" t="s">
        <v>1681</v>
      </c>
      <c r="H2021" s="753">
        <v>52385</v>
      </c>
      <c r="I2021" s="754">
        <v>2942.55</v>
      </c>
      <c r="J2021" s="754">
        <v>0</v>
      </c>
      <c r="K2021" s="754">
        <v>0</v>
      </c>
      <c r="L2021" s="754">
        <v>500.86</v>
      </c>
      <c r="M2021" s="754">
        <f t="shared" si="87"/>
        <v>500.86</v>
      </c>
      <c r="N2021" s="756">
        <v>2942.55</v>
      </c>
      <c r="O2021" s="720">
        <f t="shared" si="88"/>
        <v>0</v>
      </c>
    </row>
    <row r="2022" spans="1:15" outlineLevel="2" x14ac:dyDescent="0.25">
      <c r="A2022" s="207" t="str">
        <f>VLOOKUP(RIGHT(E2022,3)+0,SchLocTable!$A$2:$B$47,2,FALSE)</f>
        <v>Madison</v>
      </c>
      <c r="B2022" s="207" t="str">
        <f>VLOOKUP(VALUE(D2022),$D$3:F$106,3,FALSE)</f>
        <v>Special Education</v>
      </c>
      <c r="C2022" s="751" t="s">
        <v>246</v>
      </c>
      <c r="D2022" s="751" t="s">
        <v>686</v>
      </c>
      <c r="E2022" s="751" t="s">
        <v>703</v>
      </c>
      <c r="F2022" s="751" t="s">
        <v>259</v>
      </c>
      <c r="G2022" s="752" t="s">
        <v>1681</v>
      </c>
      <c r="H2022" s="753">
        <v>52917</v>
      </c>
      <c r="I2022" s="754">
        <v>103853.89</v>
      </c>
      <c r="J2022" s="754">
        <v>0</v>
      </c>
      <c r="K2022" s="754">
        <v>0</v>
      </c>
      <c r="L2022" s="754">
        <v>24403.74</v>
      </c>
      <c r="M2022" s="754">
        <f t="shared" si="87"/>
        <v>24403.74</v>
      </c>
      <c r="N2022" s="756">
        <v>103853.89</v>
      </c>
      <c r="O2022" s="720">
        <f t="shared" si="88"/>
        <v>0</v>
      </c>
    </row>
    <row r="2023" spans="1:15" outlineLevel="2" x14ac:dyDescent="0.25">
      <c r="A2023" s="207" t="str">
        <f>VLOOKUP(RIGHT(E2023,3)+0,SchLocTable!$A$2:$B$47,2,FALSE)</f>
        <v>Classical Studies Academy</v>
      </c>
      <c r="B2023" s="207" t="str">
        <f>VLOOKUP(VALUE(D2023),$D$3:F$106,3,FALSE)</f>
        <v>Special Education</v>
      </c>
      <c r="C2023" s="751" t="s">
        <v>246</v>
      </c>
      <c r="D2023" s="751" t="s">
        <v>686</v>
      </c>
      <c r="E2023" s="751" t="s">
        <v>704</v>
      </c>
      <c r="F2023" s="751" t="s">
        <v>248</v>
      </c>
      <c r="G2023" s="752">
        <v>2</v>
      </c>
      <c r="H2023" s="753">
        <v>51000</v>
      </c>
      <c r="I2023" s="754">
        <v>183784.19</v>
      </c>
      <c r="J2023" s="754">
        <v>0</v>
      </c>
      <c r="K2023" s="754">
        <v>0</v>
      </c>
      <c r="L2023" s="754">
        <v>35207.699999999997</v>
      </c>
      <c r="M2023" s="754">
        <f t="shared" si="87"/>
        <v>35207.699999999997</v>
      </c>
      <c r="N2023" s="756">
        <v>183784.19</v>
      </c>
      <c r="O2023" s="720">
        <f t="shared" si="88"/>
        <v>0</v>
      </c>
    </row>
    <row r="2024" spans="1:15" outlineLevel="2" x14ac:dyDescent="0.25">
      <c r="A2024" s="207" t="str">
        <f>VLOOKUP(RIGHT(E2024,3)+0,SchLocTable!$A$2:$B$47,2,FALSE)</f>
        <v>Classical Studies Academy</v>
      </c>
      <c r="B2024" s="207" t="str">
        <f>VLOOKUP(VALUE(D2024),$D$3:F$106,3,FALSE)</f>
        <v>Special Education</v>
      </c>
      <c r="C2024" s="751" t="s">
        <v>246</v>
      </c>
      <c r="D2024" s="751" t="s">
        <v>686</v>
      </c>
      <c r="E2024" s="751" t="s">
        <v>704</v>
      </c>
      <c r="F2024" s="751" t="s">
        <v>254</v>
      </c>
      <c r="G2024" s="752" t="s">
        <v>1681</v>
      </c>
      <c r="H2024" s="753">
        <v>52360</v>
      </c>
      <c r="I2024" s="754">
        <v>2629.22</v>
      </c>
      <c r="J2024" s="754">
        <v>0</v>
      </c>
      <c r="K2024" s="754">
        <v>0</v>
      </c>
      <c r="L2024" s="754">
        <v>474.86</v>
      </c>
      <c r="M2024" s="754">
        <f t="shared" si="87"/>
        <v>474.86</v>
      </c>
      <c r="N2024" s="756">
        <v>2629.22</v>
      </c>
      <c r="O2024" s="720">
        <f t="shared" si="88"/>
        <v>0</v>
      </c>
    </row>
    <row r="2025" spans="1:15" outlineLevel="1" x14ac:dyDescent="0.25">
      <c r="A2025" s="207" t="str">
        <f>VLOOKUP(RIGHT(E2025,3)+0,SchLocTable!$A$2:$B$47,2,FALSE)</f>
        <v>Classical Studies Academy</v>
      </c>
      <c r="B2025" s="207" t="str">
        <f>VLOOKUP(VALUE(D2025),$D$3:F$106,3,FALSE)</f>
        <v>Special Education</v>
      </c>
      <c r="C2025" s="751" t="s">
        <v>246</v>
      </c>
      <c r="D2025" s="751" t="s">
        <v>686</v>
      </c>
      <c r="E2025" s="751" t="s">
        <v>704</v>
      </c>
      <c r="F2025" s="751" t="s">
        <v>259</v>
      </c>
      <c r="G2025" s="752" t="s">
        <v>1681</v>
      </c>
      <c r="H2025" s="753">
        <v>52917</v>
      </c>
      <c r="I2025" s="754">
        <v>35075.879999999997</v>
      </c>
      <c r="J2025" s="754">
        <v>0</v>
      </c>
      <c r="K2025" s="754">
        <v>0</v>
      </c>
      <c r="L2025" s="754">
        <v>8351.4</v>
      </c>
      <c r="M2025" s="754">
        <f t="shared" si="87"/>
        <v>8351.4</v>
      </c>
      <c r="N2025" s="756">
        <v>35075.879999999997</v>
      </c>
      <c r="O2025" s="720">
        <f t="shared" si="88"/>
        <v>0</v>
      </c>
    </row>
    <row r="2026" spans="1:15" outlineLevel="2" x14ac:dyDescent="0.25">
      <c r="A2026" s="207" t="str">
        <f>VLOOKUP(RIGHT(E2026,3)+0,SchLocTable!$A$2:$B$47,2,FALSE)</f>
        <v>Tisdale</v>
      </c>
      <c r="B2026" s="207" t="str">
        <f>VLOOKUP(VALUE(D2026),$D$3:F$106,3,FALSE)</f>
        <v>Special Education</v>
      </c>
      <c r="C2026" s="751" t="s">
        <v>246</v>
      </c>
      <c r="D2026" s="751" t="s">
        <v>686</v>
      </c>
      <c r="E2026" s="751" t="s">
        <v>705</v>
      </c>
      <c r="F2026" s="751" t="s">
        <v>248</v>
      </c>
      <c r="G2026" s="752">
        <v>8</v>
      </c>
      <c r="H2026" s="753">
        <v>51000</v>
      </c>
      <c r="I2026" s="754">
        <v>626878.23</v>
      </c>
      <c r="J2026" s="754">
        <v>0</v>
      </c>
      <c r="K2026" s="754">
        <v>0</v>
      </c>
      <c r="L2026" s="754">
        <v>123272.75</v>
      </c>
      <c r="M2026" s="754">
        <f t="shared" si="87"/>
        <v>123272.75</v>
      </c>
      <c r="N2026" s="756">
        <v>626878.23</v>
      </c>
      <c r="O2026" s="720">
        <f t="shared" si="88"/>
        <v>0</v>
      </c>
    </row>
    <row r="2027" spans="1:15" outlineLevel="2" x14ac:dyDescent="0.25">
      <c r="A2027" s="207" t="str">
        <f>VLOOKUP(RIGHT(E2027,3)+0,SchLocTable!$A$2:$B$47,2,FALSE)</f>
        <v>Tisdale</v>
      </c>
      <c r="B2027" s="207" t="str">
        <f>VLOOKUP(VALUE(D2027),$D$3:F$106,3,FALSE)</f>
        <v>Special Education</v>
      </c>
      <c r="C2027" s="751" t="s">
        <v>246</v>
      </c>
      <c r="D2027" s="751" t="s">
        <v>686</v>
      </c>
      <c r="E2027" s="751" t="s">
        <v>705</v>
      </c>
      <c r="F2027" s="751" t="s">
        <v>257</v>
      </c>
      <c r="G2027" s="752" t="s">
        <v>1681</v>
      </c>
      <c r="H2027" s="753">
        <v>51140</v>
      </c>
      <c r="I2027" s="754">
        <v>2000</v>
      </c>
      <c r="J2027" s="754">
        <v>0</v>
      </c>
      <c r="K2027" s="754">
        <v>0</v>
      </c>
      <c r="L2027" s="754">
        <v>0</v>
      </c>
      <c r="M2027" s="754">
        <f t="shared" si="87"/>
        <v>0</v>
      </c>
      <c r="N2027" s="756">
        <v>2000</v>
      </c>
      <c r="O2027" s="720">
        <f t="shared" si="88"/>
        <v>0</v>
      </c>
    </row>
    <row r="2028" spans="1:15" outlineLevel="2" x14ac:dyDescent="0.25">
      <c r="A2028" s="207" t="str">
        <f>VLOOKUP(RIGHT(E2028,3)+0,SchLocTable!$A$2:$B$47,2,FALSE)</f>
        <v>Tisdale</v>
      </c>
      <c r="B2028" s="207" t="str">
        <f>VLOOKUP(VALUE(D2028),$D$3:F$106,3,FALSE)</f>
        <v>Special Education</v>
      </c>
      <c r="C2028" s="751" t="s">
        <v>246</v>
      </c>
      <c r="D2028" s="751" t="s">
        <v>686</v>
      </c>
      <c r="E2028" s="751" t="s">
        <v>705</v>
      </c>
      <c r="F2028" s="751" t="s">
        <v>254</v>
      </c>
      <c r="G2028" s="752" t="s">
        <v>1681</v>
      </c>
      <c r="H2028" s="753">
        <v>52360</v>
      </c>
      <c r="I2028" s="754">
        <v>8981.7000000000007</v>
      </c>
      <c r="J2028" s="754">
        <v>0</v>
      </c>
      <c r="K2028" s="754">
        <v>0</v>
      </c>
      <c r="L2028" s="754">
        <v>1679.42</v>
      </c>
      <c r="M2028" s="754">
        <f t="shared" si="87"/>
        <v>1679.42</v>
      </c>
      <c r="N2028" s="756">
        <v>8981.7000000000007</v>
      </c>
      <c r="O2028" s="720">
        <f t="shared" si="88"/>
        <v>0</v>
      </c>
    </row>
    <row r="2029" spans="1:15" outlineLevel="2" x14ac:dyDescent="0.25">
      <c r="A2029" s="207" t="str">
        <f>VLOOKUP(RIGHT(E2029,3)+0,SchLocTable!$A$2:$B$47,2,FALSE)</f>
        <v>Tisdale</v>
      </c>
      <c r="B2029" s="207" t="str">
        <f>VLOOKUP(VALUE(D2029),$D$3:F$106,3,FALSE)</f>
        <v>Special Education</v>
      </c>
      <c r="C2029" s="751" t="s">
        <v>246</v>
      </c>
      <c r="D2029" s="751" t="s">
        <v>686</v>
      </c>
      <c r="E2029" s="751" t="s">
        <v>705</v>
      </c>
      <c r="F2029" s="751" t="s">
        <v>292</v>
      </c>
      <c r="G2029" s="752" t="s">
        <v>1681</v>
      </c>
      <c r="H2029" s="753">
        <v>52385</v>
      </c>
      <c r="I2029" s="754">
        <v>5776.85</v>
      </c>
      <c r="J2029" s="754">
        <v>0</v>
      </c>
      <c r="K2029" s="754">
        <v>0</v>
      </c>
      <c r="L2029" s="754">
        <v>1007.5</v>
      </c>
      <c r="M2029" s="754">
        <f t="shared" si="87"/>
        <v>1007.5</v>
      </c>
      <c r="N2029" s="756">
        <v>5776.85</v>
      </c>
      <c r="O2029" s="720">
        <f t="shared" si="88"/>
        <v>0</v>
      </c>
    </row>
    <row r="2030" spans="1:15" outlineLevel="2" x14ac:dyDescent="0.25">
      <c r="A2030" s="207" t="str">
        <f>VLOOKUP(RIGHT(E2030,3)+0,SchLocTable!$A$2:$B$47,2,FALSE)</f>
        <v>Tisdale</v>
      </c>
      <c r="B2030" s="207" t="str">
        <f>VLOOKUP(VALUE(D2030),$D$3:F$106,3,FALSE)</f>
        <v>Special Education</v>
      </c>
      <c r="C2030" s="751" t="s">
        <v>246</v>
      </c>
      <c r="D2030" s="751" t="s">
        <v>686</v>
      </c>
      <c r="E2030" s="751" t="s">
        <v>705</v>
      </c>
      <c r="F2030" s="751" t="s">
        <v>259</v>
      </c>
      <c r="G2030" s="752" t="s">
        <v>1681</v>
      </c>
      <c r="H2030" s="753">
        <v>52917</v>
      </c>
      <c r="I2030" s="754">
        <v>106697.85</v>
      </c>
      <c r="J2030" s="754">
        <v>0</v>
      </c>
      <c r="K2030" s="754">
        <v>0</v>
      </c>
      <c r="L2030" s="754">
        <v>25404.25</v>
      </c>
      <c r="M2030" s="754">
        <f t="shared" si="87"/>
        <v>25404.25</v>
      </c>
      <c r="N2030" s="756">
        <v>106697.85</v>
      </c>
      <c r="O2030" s="720">
        <f t="shared" si="88"/>
        <v>0</v>
      </c>
    </row>
    <row r="2031" spans="1:15" outlineLevel="2" x14ac:dyDescent="0.25">
      <c r="A2031" s="207" t="str">
        <f>VLOOKUP(RIGHT(E2031,3)+0,SchLocTable!$A$2:$B$47,2,FALSE)</f>
        <v>Read</v>
      </c>
      <c r="B2031" s="207" t="str">
        <f>VLOOKUP(VALUE(D2031),$D$3:F$106,3,FALSE)</f>
        <v>Special Education</v>
      </c>
      <c r="C2031" s="751" t="s">
        <v>246</v>
      </c>
      <c r="D2031" s="751" t="s">
        <v>686</v>
      </c>
      <c r="E2031" s="751" t="s">
        <v>706</v>
      </c>
      <c r="F2031" s="751" t="s">
        <v>248</v>
      </c>
      <c r="G2031" s="752">
        <v>4</v>
      </c>
      <c r="H2031" s="753">
        <v>51000</v>
      </c>
      <c r="I2031" s="754">
        <v>329715.03999999998</v>
      </c>
      <c r="J2031" s="754">
        <v>0</v>
      </c>
      <c r="K2031" s="754">
        <v>0</v>
      </c>
      <c r="L2031" s="754">
        <v>70423.95</v>
      </c>
      <c r="M2031" s="754">
        <f t="shared" si="87"/>
        <v>70423.95</v>
      </c>
      <c r="N2031" s="756">
        <v>329715.03999999998</v>
      </c>
      <c r="O2031" s="720">
        <f t="shared" si="88"/>
        <v>0</v>
      </c>
    </row>
    <row r="2032" spans="1:15" outlineLevel="2" x14ac:dyDescent="0.25">
      <c r="A2032" s="207" t="str">
        <f>VLOOKUP(RIGHT(E2032,3)+0,SchLocTable!$A$2:$B$47,2,FALSE)</f>
        <v>Read</v>
      </c>
      <c r="B2032" s="207" t="str">
        <f>VLOOKUP(VALUE(D2032),$D$3:F$106,3,FALSE)</f>
        <v>Special Education</v>
      </c>
      <c r="C2032" s="751" t="s">
        <v>246</v>
      </c>
      <c r="D2032" s="751" t="s">
        <v>686</v>
      </c>
      <c r="E2032" s="751" t="s">
        <v>706</v>
      </c>
      <c r="F2032" s="751" t="s">
        <v>257</v>
      </c>
      <c r="G2032" s="752" t="s">
        <v>1681</v>
      </c>
      <c r="H2032" s="753">
        <v>51140</v>
      </c>
      <c r="I2032" s="754">
        <v>900</v>
      </c>
      <c r="J2032" s="754">
        <v>0</v>
      </c>
      <c r="K2032" s="754">
        <v>0</v>
      </c>
      <c r="L2032" s="754">
        <v>0</v>
      </c>
      <c r="M2032" s="754">
        <f t="shared" si="87"/>
        <v>0</v>
      </c>
      <c r="N2032" s="756">
        <v>900</v>
      </c>
      <c r="O2032" s="720">
        <f t="shared" si="88"/>
        <v>0</v>
      </c>
    </row>
    <row r="2033" spans="1:15" outlineLevel="1" x14ac:dyDescent="0.25">
      <c r="A2033" s="207" t="str">
        <f>VLOOKUP(RIGHT(E2033,3)+0,SchLocTable!$A$2:$B$47,2,FALSE)</f>
        <v>Read</v>
      </c>
      <c r="B2033" s="207" t="str">
        <f>VLOOKUP(VALUE(D2033),$D$3:F$106,3,FALSE)</f>
        <v>Special Education</v>
      </c>
      <c r="C2033" s="751" t="s">
        <v>246</v>
      </c>
      <c r="D2033" s="751" t="s">
        <v>686</v>
      </c>
      <c r="E2033" s="751" t="s">
        <v>706</v>
      </c>
      <c r="F2033" s="751" t="s">
        <v>254</v>
      </c>
      <c r="G2033" s="752" t="s">
        <v>1681</v>
      </c>
      <c r="H2033" s="753">
        <v>52360</v>
      </c>
      <c r="I2033" s="754">
        <v>4751.8500000000004</v>
      </c>
      <c r="J2033" s="754">
        <v>0</v>
      </c>
      <c r="K2033" s="754">
        <v>0</v>
      </c>
      <c r="L2033" s="754">
        <v>992.13</v>
      </c>
      <c r="M2033" s="754">
        <f t="shared" si="87"/>
        <v>992.13</v>
      </c>
      <c r="N2033" s="756">
        <v>4751.8500000000004</v>
      </c>
      <c r="O2033" s="720">
        <f t="shared" si="88"/>
        <v>0</v>
      </c>
    </row>
    <row r="2034" spans="1:15" outlineLevel="2" x14ac:dyDescent="0.25">
      <c r="A2034" s="207" t="str">
        <f>VLOOKUP(RIGHT(E2034,3)+0,SchLocTable!$A$2:$B$47,2,FALSE)</f>
        <v>Read</v>
      </c>
      <c r="B2034" s="207" t="str">
        <f>VLOOKUP(VALUE(D2034),$D$3:F$106,3,FALSE)</f>
        <v>Special Education</v>
      </c>
      <c r="C2034" s="751" t="s">
        <v>246</v>
      </c>
      <c r="D2034" s="751" t="s">
        <v>686</v>
      </c>
      <c r="E2034" s="751" t="s">
        <v>706</v>
      </c>
      <c r="F2034" s="751" t="s">
        <v>292</v>
      </c>
      <c r="G2034" s="752" t="s">
        <v>1681</v>
      </c>
      <c r="H2034" s="753">
        <v>52385</v>
      </c>
      <c r="I2034" s="754">
        <v>317.75</v>
      </c>
      <c r="J2034" s="754">
        <v>0</v>
      </c>
      <c r="K2034" s="754">
        <v>0</v>
      </c>
      <c r="L2034" s="754">
        <v>317.75</v>
      </c>
      <c r="M2034" s="754">
        <f t="shared" si="87"/>
        <v>317.75</v>
      </c>
      <c r="N2034" s="756">
        <v>317.75</v>
      </c>
      <c r="O2034" s="720">
        <f t="shared" si="88"/>
        <v>0</v>
      </c>
    </row>
    <row r="2035" spans="1:15" outlineLevel="2" x14ac:dyDescent="0.25">
      <c r="A2035" s="207" t="str">
        <f>VLOOKUP(RIGHT(E2035,3)+0,SchLocTable!$A$2:$B$47,2,FALSE)</f>
        <v>Read</v>
      </c>
      <c r="B2035" s="207" t="str">
        <f>VLOOKUP(VALUE(D2035),$D$3:F$106,3,FALSE)</f>
        <v>Special Education</v>
      </c>
      <c r="C2035" s="751" t="s">
        <v>246</v>
      </c>
      <c r="D2035" s="751" t="s">
        <v>686</v>
      </c>
      <c r="E2035" s="751" t="s">
        <v>706</v>
      </c>
      <c r="F2035" s="751" t="s">
        <v>259</v>
      </c>
      <c r="G2035" s="752" t="s">
        <v>1681</v>
      </c>
      <c r="H2035" s="753">
        <v>52917</v>
      </c>
      <c r="I2035" s="754">
        <v>28478.1</v>
      </c>
      <c r="J2035" s="754">
        <v>0</v>
      </c>
      <c r="K2035" s="754">
        <v>0</v>
      </c>
      <c r="L2035" s="754">
        <v>6780.5</v>
      </c>
      <c r="M2035" s="754">
        <f t="shared" si="87"/>
        <v>6780.5</v>
      </c>
      <c r="N2035" s="756">
        <v>28478.1</v>
      </c>
      <c r="O2035" s="720">
        <f t="shared" si="88"/>
        <v>0</v>
      </c>
    </row>
    <row r="2036" spans="1:15" outlineLevel="2" x14ac:dyDescent="0.25">
      <c r="A2036" s="207" t="str">
        <f>VLOOKUP(RIGHT(E2036,3)+0,SchLocTable!$A$2:$B$47,2,FALSE)</f>
        <v>Roosevelt</v>
      </c>
      <c r="B2036" s="207" t="str">
        <f>VLOOKUP(VALUE(D2036),$D$3:F$106,3,FALSE)</f>
        <v>Special Education</v>
      </c>
      <c r="C2036" s="751" t="s">
        <v>246</v>
      </c>
      <c r="D2036" s="751" t="s">
        <v>686</v>
      </c>
      <c r="E2036" s="751" t="s">
        <v>1757</v>
      </c>
      <c r="F2036" s="751" t="s">
        <v>248</v>
      </c>
      <c r="G2036" s="752">
        <v>2</v>
      </c>
      <c r="H2036" s="753">
        <v>51000</v>
      </c>
      <c r="I2036" s="754">
        <v>103153.2</v>
      </c>
      <c r="J2036" s="754">
        <v>0</v>
      </c>
      <c r="K2036" s="754">
        <v>0</v>
      </c>
      <c r="L2036" s="754">
        <v>19761.150000000001</v>
      </c>
      <c r="M2036" s="754">
        <f t="shared" si="87"/>
        <v>19761.150000000001</v>
      </c>
      <c r="N2036" s="756">
        <v>103153.2</v>
      </c>
      <c r="O2036" s="720">
        <f t="shared" si="88"/>
        <v>0</v>
      </c>
    </row>
    <row r="2037" spans="1:15" outlineLevel="2" x14ac:dyDescent="0.25">
      <c r="A2037" s="207" t="str">
        <f>VLOOKUP(RIGHT(E2037,3)+0,SchLocTable!$A$2:$B$47,2,FALSE)</f>
        <v>Roosevelt</v>
      </c>
      <c r="B2037" s="207" t="str">
        <f>VLOOKUP(VALUE(D2037),$D$3:F$106,3,FALSE)</f>
        <v>Special Education</v>
      </c>
      <c r="C2037" s="751" t="s">
        <v>246</v>
      </c>
      <c r="D2037" s="751" t="s">
        <v>686</v>
      </c>
      <c r="E2037" s="751" t="s">
        <v>1757</v>
      </c>
      <c r="F2037" s="751" t="s">
        <v>257</v>
      </c>
      <c r="G2037" s="752" t="s">
        <v>1681</v>
      </c>
      <c r="H2037" s="753">
        <v>51140</v>
      </c>
      <c r="I2037" s="754">
        <v>900</v>
      </c>
      <c r="J2037" s="754">
        <v>0</v>
      </c>
      <c r="K2037" s="754">
        <v>0</v>
      </c>
      <c r="L2037" s="754">
        <v>0</v>
      </c>
      <c r="M2037" s="754">
        <f t="shared" si="87"/>
        <v>0</v>
      </c>
      <c r="N2037" s="756">
        <v>900</v>
      </c>
      <c r="O2037" s="720">
        <f t="shared" si="88"/>
        <v>0</v>
      </c>
    </row>
    <row r="2038" spans="1:15" outlineLevel="2" x14ac:dyDescent="0.25">
      <c r="A2038" s="207" t="str">
        <f>VLOOKUP(RIGHT(E2038,3)+0,SchLocTable!$A$2:$B$47,2,FALSE)</f>
        <v>Roosevelt</v>
      </c>
      <c r="B2038" s="207" t="str">
        <f>VLOOKUP(VALUE(D2038),$D$3:F$106,3,FALSE)</f>
        <v>Special Education</v>
      </c>
      <c r="C2038" s="755" t="s">
        <v>246</v>
      </c>
      <c r="D2038" s="751" t="s">
        <v>686</v>
      </c>
      <c r="E2038" s="751" t="s">
        <v>1757</v>
      </c>
      <c r="F2038" s="751" t="s">
        <v>254</v>
      </c>
      <c r="G2038" s="752" t="s">
        <v>1681</v>
      </c>
      <c r="H2038" s="753">
        <v>52360</v>
      </c>
      <c r="I2038" s="754">
        <v>1483.12</v>
      </c>
      <c r="J2038" s="754">
        <v>0</v>
      </c>
      <c r="K2038" s="754">
        <v>0</v>
      </c>
      <c r="L2038" s="754">
        <v>273.94</v>
      </c>
      <c r="M2038" s="754">
        <f t="shared" si="87"/>
        <v>273.94</v>
      </c>
      <c r="N2038" s="756">
        <v>1483.12</v>
      </c>
      <c r="O2038" s="720">
        <f t="shared" si="88"/>
        <v>0</v>
      </c>
    </row>
    <row r="2039" spans="1:15" outlineLevel="2" x14ac:dyDescent="0.25">
      <c r="A2039" s="207" t="str">
        <f>VLOOKUP(RIGHT(E2039,3)+0,SchLocTable!$A$2:$B$47,2,FALSE)</f>
        <v>Roosevelt</v>
      </c>
      <c r="B2039" s="207" t="str">
        <f>VLOOKUP(VALUE(D2039),$D$3:F$106,3,FALSE)</f>
        <v>Special Education</v>
      </c>
      <c r="C2039" s="751" t="s">
        <v>246</v>
      </c>
      <c r="D2039" s="751" t="s">
        <v>686</v>
      </c>
      <c r="E2039" s="751" t="s">
        <v>1757</v>
      </c>
      <c r="F2039" s="751" t="s">
        <v>292</v>
      </c>
      <c r="G2039" s="752" t="s">
        <v>1681</v>
      </c>
      <c r="H2039" s="753">
        <v>52385</v>
      </c>
      <c r="I2039" s="754">
        <v>0</v>
      </c>
      <c r="J2039" s="754">
        <v>0</v>
      </c>
      <c r="K2039" s="754">
        <v>0</v>
      </c>
      <c r="L2039" s="754">
        <v>0</v>
      </c>
      <c r="M2039" s="754">
        <f t="shared" si="87"/>
        <v>0</v>
      </c>
      <c r="N2039" s="756">
        <v>0</v>
      </c>
      <c r="O2039" s="720">
        <f t="shared" si="88"/>
        <v>0</v>
      </c>
    </row>
    <row r="2040" spans="1:15" outlineLevel="2" x14ac:dyDescent="0.25">
      <c r="A2040" s="207" t="str">
        <f>VLOOKUP(RIGHT(E2040,3)+0,SchLocTable!$A$2:$B$47,2,FALSE)</f>
        <v>Roosevelt</v>
      </c>
      <c r="B2040" s="207" t="str">
        <f>VLOOKUP(VALUE(D2040),$D$3:F$106,3,FALSE)</f>
        <v>Special Education</v>
      </c>
      <c r="C2040" s="751" t="s">
        <v>246</v>
      </c>
      <c r="D2040" s="751" t="s">
        <v>686</v>
      </c>
      <c r="E2040" s="751" t="s">
        <v>1757</v>
      </c>
      <c r="F2040" s="751" t="s">
        <v>259</v>
      </c>
      <c r="G2040" s="752" t="s">
        <v>1681</v>
      </c>
      <c r="H2040" s="753">
        <v>52917</v>
      </c>
      <c r="I2040" s="754">
        <v>12722.64</v>
      </c>
      <c r="J2040" s="754">
        <v>0</v>
      </c>
      <c r="K2040" s="754">
        <v>0</v>
      </c>
      <c r="L2040" s="754">
        <v>3029.2</v>
      </c>
      <c r="M2040" s="754">
        <f t="shared" si="87"/>
        <v>3029.2</v>
      </c>
      <c r="N2040" s="756">
        <v>12722.64</v>
      </c>
      <c r="O2040" s="720">
        <f t="shared" si="88"/>
        <v>0</v>
      </c>
    </row>
    <row r="2041" spans="1:15" outlineLevel="2" x14ac:dyDescent="0.25">
      <c r="A2041" s="207" t="str">
        <f>VLOOKUP(RIGHT(E2041,3)+0,SchLocTable!$A$2:$B$47,2,FALSE)</f>
        <v>Bridgeport Learning Center</v>
      </c>
      <c r="B2041" s="207" t="str">
        <f>VLOOKUP(VALUE(D2041),$D$3:F$106,3,FALSE)</f>
        <v>Special Education</v>
      </c>
      <c r="C2041" s="751" t="s">
        <v>246</v>
      </c>
      <c r="D2041" s="751" t="s">
        <v>686</v>
      </c>
      <c r="E2041" s="751" t="s">
        <v>707</v>
      </c>
      <c r="F2041" s="751" t="s">
        <v>248</v>
      </c>
      <c r="G2041" s="752">
        <v>7</v>
      </c>
      <c r="H2041" s="753">
        <v>51000</v>
      </c>
      <c r="I2041" s="754">
        <v>638410.22</v>
      </c>
      <c r="J2041" s="754">
        <v>0</v>
      </c>
      <c r="K2041" s="754">
        <v>0</v>
      </c>
      <c r="L2041" s="754">
        <v>112273.83</v>
      </c>
      <c r="M2041" s="754">
        <f t="shared" si="87"/>
        <v>112273.83</v>
      </c>
      <c r="N2041" s="756">
        <v>638410.22</v>
      </c>
      <c r="O2041" s="720">
        <f t="shared" si="88"/>
        <v>0</v>
      </c>
    </row>
    <row r="2042" spans="1:15" outlineLevel="2" x14ac:dyDescent="0.25">
      <c r="A2042" s="207" t="str">
        <f>VLOOKUP(RIGHT(E2042,3)+0,SchLocTable!$A$2:$B$47,2,FALSE)</f>
        <v>Bridgeport Learning Center</v>
      </c>
      <c r="B2042" s="207" t="str">
        <f>VLOOKUP(VALUE(D2042),$D$3:F$106,3,FALSE)</f>
        <v>Special Education</v>
      </c>
      <c r="C2042" s="751" t="s">
        <v>246</v>
      </c>
      <c r="D2042" s="751" t="s">
        <v>686</v>
      </c>
      <c r="E2042" s="751" t="s">
        <v>707</v>
      </c>
      <c r="F2042" s="751" t="s">
        <v>257</v>
      </c>
      <c r="G2042" s="752" t="s">
        <v>1681</v>
      </c>
      <c r="H2042" s="753">
        <v>51140</v>
      </c>
      <c r="I2042" s="754">
        <v>5100</v>
      </c>
      <c r="J2042" s="754">
        <v>0</v>
      </c>
      <c r="K2042" s="754">
        <v>0</v>
      </c>
      <c r="L2042" s="754">
        <v>0</v>
      </c>
      <c r="M2042" s="754">
        <f t="shared" si="87"/>
        <v>0</v>
      </c>
      <c r="N2042" s="756">
        <v>5100</v>
      </c>
      <c r="O2042" s="720">
        <f t="shared" si="88"/>
        <v>0</v>
      </c>
    </row>
    <row r="2043" spans="1:15" outlineLevel="2" x14ac:dyDescent="0.25">
      <c r="A2043" s="207" t="str">
        <f>VLOOKUP(RIGHT(E2043,3)+0,SchLocTable!$A$2:$B$47,2,FALSE)</f>
        <v>Bridgeport Learning Center</v>
      </c>
      <c r="B2043" s="207" t="str">
        <f>VLOOKUP(VALUE(D2043),$D$3:F$106,3,FALSE)</f>
        <v>Special Education</v>
      </c>
      <c r="C2043" s="751" t="s">
        <v>246</v>
      </c>
      <c r="D2043" s="751" t="s">
        <v>686</v>
      </c>
      <c r="E2043" s="751" t="s">
        <v>707</v>
      </c>
      <c r="F2043" s="751" t="s">
        <v>252</v>
      </c>
      <c r="G2043" s="752" t="s">
        <v>1681</v>
      </c>
      <c r="H2043" s="753">
        <v>51154</v>
      </c>
      <c r="I2043" s="754">
        <v>0</v>
      </c>
      <c r="J2043" s="754">
        <v>0</v>
      </c>
      <c r="K2043" s="754">
        <v>0</v>
      </c>
      <c r="L2043" s="754">
        <v>0</v>
      </c>
      <c r="M2043" s="754">
        <f t="shared" si="87"/>
        <v>0</v>
      </c>
      <c r="N2043" s="756">
        <v>0</v>
      </c>
      <c r="O2043" s="720">
        <f t="shared" si="88"/>
        <v>0</v>
      </c>
    </row>
    <row r="2044" spans="1:15" outlineLevel="2" x14ac:dyDescent="0.25">
      <c r="A2044" s="207" t="str">
        <f>VLOOKUP(RIGHT(E2044,3)+0,SchLocTable!$A$2:$B$47,2,FALSE)</f>
        <v>Bridgeport Learning Center</v>
      </c>
      <c r="B2044" s="207" t="str">
        <f>VLOOKUP(VALUE(D2044),$D$3:F$106,3,FALSE)</f>
        <v>Special Education</v>
      </c>
      <c r="C2044" s="751" t="s">
        <v>246</v>
      </c>
      <c r="D2044" s="751" t="s">
        <v>686</v>
      </c>
      <c r="E2044" s="751" t="s">
        <v>707</v>
      </c>
      <c r="F2044" s="751" t="s">
        <v>254</v>
      </c>
      <c r="G2044" s="752" t="s">
        <v>1681</v>
      </c>
      <c r="H2044" s="753">
        <v>52360</v>
      </c>
      <c r="I2044" s="754">
        <v>9189.0400000000009</v>
      </c>
      <c r="J2044" s="754">
        <v>0</v>
      </c>
      <c r="K2044" s="754">
        <v>0</v>
      </c>
      <c r="L2044" s="754">
        <v>1560.06</v>
      </c>
      <c r="M2044" s="754">
        <f t="shared" si="87"/>
        <v>1560.06</v>
      </c>
      <c r="N2044" s="756">
        <v>9189.0400000000009</v>
      </c>
      <c r="O2044" s="720">
        <f t="shared" si="88"/>
        <v>0</v>
      </c>
    </row>
    <row r="2045" spans="1:15" outlineLevel="2" x14ac:dyDescent="0.25">
      <c r="A2045" s="207" t="str">
        <f>VLOOKUP(RIGHT(E2045,3)+0,SchLocTable!$A$2:$B$47,2,FALSE)</f>
        <v>Bridgeport Learning Center</v>
      </c>
      <c r="B2045" s="207" t="str">
        <f>VLOOKUP(VALUE(D2045),$D$3:F$106,3,FALSE)</f>
        <v>Special Education</v>
      </c>
      <c r="C2045" s="751" t="s">
        <v>246</v>
      </c>
      <c r="D2045" s="751" t="s">
        <v>686</v>
      </c>
      <c r="E2045" s="751" t="s">
        <v>707</v>
      </c>
      <c r="F2045" s="751" t="s">
        <v>292</v>
      </c>
      <c r="G2045" s="752" t="s">
        <v>1681</v>
      </c>
      <c r="H2045" s="753">
        <v>52385</v>
      </c>
      <c r="I2045" s="754">
        <v>0</v>
      </c>
      <c r="J2045" s="754">
        <v>0</v>
      </c>
      <c r="K2045" s="754">
        <v>0</v>
      </c>
      <c r="L2045" s="754">
        <v>0</v>
      </c>
      <c r="M2045" s="754">
        <f t="shared" si="87"/>
        <v>0</v>
      </c>
      <c r="N2045" s="756">
        <v>0</v>
      </c>
      <c r="O2045" s="720">
        <f t="shared" si="88"/>
        <v>0</v>
      </c>
    </row>
    <row r="2046" spans="1:15" outlineLevel="2" x14ac:dyDescent="0.25">
      <c r="A2046" s="207" t="str">
        <f>VLOOKUP(RIGHT(E2046,3)+0,SchLocTable!$A$2:$B$47,2,FALSE)</f>
        <v>Bridgeport Learning Center</v>
      </c>
      <c r="B2046" s="207" t="str">
        <f>VLOOKUP(VALUE(D2046),$D$3:F$106,3,FALSE)</f>
        <v>Special Education</v>
      </c>
      <c r="C2046" s="751" t="s">
        <v>246</v>
      </c>
      <c r="D2046" s="751" t="s">
        <v>686</v>
      </c>
      <c r="E2046" s="751" t="s">
        <v>707</v>
      </c>
      <c r="F2046" s="751" t="s">
        <v>259</v>
      </c>
      <c r="G2046" s="752" t="s">
        <v>1681</v>
      </c>
      <c r="H2046" s="753">
        <v>52917</v>
      </c>
      <c r="I2046" s="754">
        <v>69372</v>
      </c>
      <c r="J2046" s="754">
        <v>0</v>
      </c>
      <c r="K2046" s="754">
        <v>0</v>
      </c>
      <c r="L2046" s="754">
        <v>15228</v>
      </c>
      <c r="M2046" s="754">
        <f t="shared" si="87"/>
        <v>15228</v>
      </c>
      <c r="N2046" s="756">
        <v>69372</v>
      </c>
      <c r="O2046" s="720">
        <f t="shared" si="88"/>
        <v>0</v>
      </c>
    </row>
    <row r="2047" spans="1:15" outlineLevel="2" x14ac:dyDescent="0.25">
      <c r="A2047" s="207" t="str">
        <f>VLOOKUP(RIGHT(E2047,3)+0,SchLocTable!$A$2:$B$47,2,FALSE)</f>
        <v>Waltersville</v>
      </c>
      <c r="B2047" s="207" t="str">
        <f>VLOOKUP(VALUE(D2047),$D$3:F$106,3,FALSE)</f>
        <v>Special Education</v>
      </c>
      <c r="C2047" s="755" t="s">
        <v>246</v>
      </c>
      <c r="D2047" s="751" t="s">
        <v>686</v>
      </c>
      <c r="E2047" s="751" t="s">
        <v>708</v>
      </c>
      <c r="F2047" s="751" t="s">
        <v>248</v>
      </c>
      <c r="G2047" s="752">
        <v>7</v>
      </c>
      <c r="H2047" s="753">
        <v>51000</v>
      </c>
      <c r="I2047" s="754">
        <v>576885.14</v>
      </c>
      <c r="J2047" s="754">
        <v>0</v>
      </c>
      <c r="K2047" s="754">
        <v>0</v>
      </c>
      <c r="L2047" s="754">
        <v>117289.95</v>
      </c>
      <c r="M2047" s="754">
        <f t="shared" ref="M2047:M2110" si="89">SUM(J2047:L2047)</f>
        <v>117289.95</v>
      </c>
      <c r="N2047" s="756">
        <v>576885.14</v>
      </c>
      <c r="O2047" s="720">
        <f t="shared" ref="O2047:O2110" si="90">I2047-N2047</f>
        <v>0</v>
      </c>
    </row>
    <row r="2048" spans="1:15" outlineLevel="2" x14ac:dyDescent="0.25">
      <c r="A2048" s="207" t="str">
        <f>VLOOKUP(RIGHT(E2048,3)+0,SchLocTable!$A$2:$B$47,2,FALSE)</f>
        <v>Waltersville</v>
      </c>
      <c r="B2048" s="207" t="str">
        <f>VLOOKUP(VALUE(D2048),$D$3:F$106,3,FALSE)</f>
        <v>Special Education</v>
      </c>
      <c r="C2048" s="751" t="s">
        <v>246</v>
      </c>
      <c r="D2048" s="751" t="s">
        <v>686</v>
      </c>
      <c r="E2048" s="751" t="s">
        <v>708</v>
      </c>
      <c r="F2048" s="751" t="s">
        <v>257</v>
      </c>
      <c r="G2048" s="752" t="s">
        <v>1681</v>
      </c>
      <c r="H2048" s="753">
        <v>51140</v>
      </c>
      <c r="I2048" s="754">
        <v>3500</v>
      </c>
      <c r="J2048" s="754">
        <v>0</v>
      </c>
      <c r="K2048" s="754">
        <v>0</v>
      </c>
      <c r="L2048" s="754">
        <v>0</v>
      </c>
      <c r="M2048" s="754">
        <f t="shared" si="89"/>
        <v>0</v>
      </c>
      <c r="N2048" s="756">
        <v>3500</v>
      </c>
      <c r="O2048" s="720">
        <f t="shared" si="90"/>
        <v>0</v>
      </c>
    </row>
    <row r="2049" spans="1:15" outlineLevel="2" x14ac:dyDescent="0.25">
      <c r="A2049" s="207" t="str">
        <f>VLOOKUP(RIGHT(E2049,3)+0,SchLocTable!$A$2:$B$47,2,FALSE)</f>
        <v>Waltersville</v>
      </c>
      <c r="B2049" s="207" t="str">
        <f>VLOOKUP(VALUE(D2049),$D$3:F$106,3,FALSE)</f>
        <v>Special Education</v>
      </c>
      <c r="C2049" s="751" t="s">
        <v>246</v>
      </c>
      <c r="D2049" s="751" t="s">
        <v>686</v>
      </c>
      <c r="E2049" s="751" t="s">
        <v>708</v>
      </c>
      <c r="F2049" s="751" t="s">
        <v>254</v>
      </c>
      <c r="G2049" s="752" t="s">
        <v>1681</v>
      </c>
      <c r="H2049" s="753">
        <v>52360</v>
      </c>
      <c r="I2049" s="754">
        <v>8153.27</v>
      </c>
      <c r="J2049" s="754">
        <v>0</v>
      </c>
      <c r="K2049" s="754">
        <v>0</v>
      </c>
      <c r="L2049" s="754">
        <v>1489.14</v>
      </c>
      <c r="M2049" s="754">
        <f t="shared" si="89"/>
        <v>1489.14</v>
      </c>
      <c r="N2049" s="756">
        <v>8153.27</v>
      </c>
      <c r="O2049" s="720">
        <f t="shared" si="90"/>
        <v>0</v>
      </c>
    </row>
    <row r="2050" spans="1:15" outlineLevel="2" x14ac:dyDescent="0.25">
      <c r="A2050" s="207" t="str">
        <f>VLOOKUP(RIGHT(E2050,3)+0,SchLocTable!$A$2:$B$47,2,FALSE)</f>
        <v>Waltersville</v>
      </c>
      <c r="B2050" s="207" t="str">
        <f>VLOOKUP(VALUE(D2050),$D$3:F$106,3,FALSE)</f>
        <v>Special Education</v>
      </c>
      <c r="C2050" s="751" t="s">
        <v>246</v>
      </c>
      <c r="D2050" s="751" t="s">
        <v>686</v>
      </c>
      <c r="E2050" s="751" t="s">
        <v>708</v>
      </c>
      <c r="F2050" s="751" t="s">
        <v>292</v>
      </c>
      <c r="G2050" s="752" t="s">
        <v>1681</v>
      </c>
      <c r="H2050" s="753">
        <v>52385</v>
      </c>
      <c r="I2050" s="754">
        <v>2778.02</v>
      </c>
      <c r="J2050" s="754">
        <v>0</v>
      </c>
      <c r="K2050" s="754">
        <v>0</v>
      </c>
      <c r="L2050" s="754">
        <v>439.32</v>
      </c>
      <c r="M2050" s="754">
        <f t="shared" si="89"/>
        <v>439.32</v>
      </c>
      <c r="N2050" s="756">
        <v>2778.02</v>
      </c>
      <c r="O2050" s="720">
        <f t="shared" si="90"/>
        <v>0</v>
      </c>
    </row>
    <row r="2051" spans="1:15" outlineLevel="2" x14ac:dyDescent="0.25">
      <c r="A2051" s="207" t="str">
        <f>VLOOKUP(RIGHT(E2051,3)+0,SchLocTable!$A$2:$B$47,2,FALSE)</f>
        <v>Waltersville</v>
      </c>
      <c r="B2051" s="207" t="str">
        <f>VLOOKUP(VALUE(D2051),$D$3:F$106,3,FALSE)</f>
        <v>Special Education</v>
      </c>
      <c r="C2051" s="751" t="s">
        <v>246</v>
      </c>
      <c r="D2051" s="751" t="s">
        <v>686</v>
      </c>
      <c r="E2051" s="751" t="s">
        <v>708</v>
      </c>
      <c r="F2051" s="751" t="s">
        <v>259</v>
      </c>
      <c r="G2051" s="752" t="s">
        <v>1681</v>
      </c>
      <c r="H2051" s="753">
        <v>52917</v>
      </c>
      <c r="I2051" s="754">
        <v>199151.88</v>
      </c>
      <c r="J2051" s="754">
        <v>0</v>
      </c>
      <c r="K2051" s="754">
        <v>0</v>
      </c>
      <c r="L2051" s="754">
        <v>46705.4</v>
      </c>
      <c r="M2051" s="754">
        <f t="shared" si="89"/>
        <v>46705.4</v>
      </c>
      <c r="N2051" s="756">
        <v>199151.88</v>
      </c>
      <c r="O2051" s="720">
        <f t="shared" si="90"/>
        <v>0</v>
      </c>
    </row>
    <row r="2052" spans="1:15" outlineLevel="2" x14ac:dyDescent="0.25">
      <c r="A2052" s="207" t="str">
        <f>VLOOKUP(RIGHT(E2052,3)+0,SchLocTable!$A$2:$B$47,2,FALSE)</f>
        <v>Claytor</v>
      </c>
      <c r="B2052" s="207" t="str">
        <f>VLOOKUP(VALUE(D2052),$D$3:F$106,3,FALSE)</f>
        <v>Special Education</v>
      </c>
      <c r="C2052" s="751" t="s">
        <v>246</v>
      </c>
      <c r="D2052" s="751" t="s">
        <v>686</v>
      </c>
      <c r="E2052" s="751" t="s">
        <v>709</v>
      </c>
      <c r="F2052" s="751" t="s">
        <v>248</v>
      </c>
      <c r="G2052" s="752">
        <v>3</v>
      </c>
      <c r="H2052" s="753">
        <v>51000</v>
      </c>
      <c r="I2052" s="754">
        <v>204688.23</v>
      </c>
      <c r="J2052" s="754">
        <v>0</v>
      </c>
      <c r="K2052" s="754">
        <v>0</v>
      </c>
      <c r="L2052" s="754">
        <v>41117.699999999997</v>
      </c>
      <c r="M2052" s="754">
        <f t="shared" si="89"/>
        <v>41117.699999999997</v>
      </c>
      <c r="N2052" s="756">
        <v>204688.23</v>
      </c>
      <c r="O2052" s="720">
        <f t="shared" si="90"/>
        <v>0</v>
      </c>
    </row>
    <row r="2053" spans="1:15" outlineLevel="2" x14ac:dyDescent="0.25">
      <c r="A2053" s="207" t="str">
        <f>VLOOKUP(RIGHT(E2053,3)+0,SchLocTable!$A$2:$B$47,2,FALSE)</f>
        <v>Claytor</v>
      </c>
      <c r="B2053" s="207" t="str">
        <f>VLOOKUP(VALUE(D2053),$D$3:F$106,3,FALSE)</f>
        <v>Special Education</v>
      </c>
      <c r="C2053" s="751" t="s">
        <v>246</v>
      </c>
      <c r="D2053" s="751" t="s">
        <v>686</v>
      </c>
      <c r="E2053" s="751" t="s">
        <v>709</v>
      </c>
      <c r="F2053" s="751" t="s">
        <v>257</v>
      </c>
      <c r="G2053" s="752" t="s">
        <v>1681</v>
      </c>
      <c r="H2053" s="753">
        <v>51140</v>
      </c>
      <c r="I2053" s="754">
        <v>900</v>
      </c>
      <c r="J2053" s="754">
        <v>0</v>
      </c>
      <c r="K2053" s="754">
        <v>0</v>
      </c>
      <c r="L2053" s="754">
        <v>0</v>
      </c>
      <c r="M2053" s="754">
        <f t="shared" si="89"/>
        <v>0</v>
      </c>
      <c r="N2053" s="756">
        <v>900</v>
      </c>
      <c r="O2053" s="720">
        <f t="shared" si="90"/>
        <v>0</v>
      </c>
    </row>
    <row r="2054" spans="1:15" outlineLevel="2" x14ac:dyDescent="0.25">
      <c r="A2054" s="207" t="str">
        <f>VLOOKUP(RIGHT(E2054,3)+0,SchLocTable!$A$2:$B$47,2,FALSE)</f>
        <v>Claytor</v>
      </c>
      <c r="B2054" s="207" t="str">
        <f>VLOOKUP(VALUE(D2054),$D$3:F$106,3,FALSE)</f>
        <v>Special Education</v>
      </c>
      <c r="C2054" s="751" t="s">
        <v>246</v>
      </c>
      <c r="D2054" s="751" t="s">
        <v>686</v>
      </c>
      <c r="E2054" s="751" t="s">
        <v>709</v>
      </c>
      <c r="F2054" s="751" t="s">
        <v>254</v>
      </c>
      <c r="G2054" s="752" t="s">
        <v>1681</v>
      </c>
      <c r="H2054" s="753">
        <v>52360</v>
      </c>
      <c r="I2054" s="754">
        <v>2928.48</v>
      </c>
      <c r="J2054" s="754">
        <v>0</v>
      </c>
      <c r="K2054" s="754">
        <v>0</v>
      </c>
      <c r="L2054" s="754">
        <v>556.71</v>
      </c>
      <c r="M2054" s="754">
        <f t="shared" si="89"/>
        <v>556.71</v>
      </c>
      <c r="N2054" s="756">
        <v>2928.48</v>
      </c>
      <c r="O2054" s="720">
        <f t="shared" si="90"/>
        <v>0</v>
      </c>
    </row>
    <row r="2055" spans="1:15" outlineLevel="1" x14ac:dyDescent="0.25">
      <c r="A2055" s="207" t="str">
        <f>VLOOKUP(RIGHT(E2055,3)+0,SchLocTable!$A$2:$B$47,2,FALSE)</f>
        <v>Claytor</v>
      </c>
      <c r="B2055" s="207" t="str">
        <f>VLOOKUP(VALUE(D2055),$D$3:F$106,3,FALSE)</f>
        <v>Special Education</v>
      </c>
      <c r="C2055" s="751" t="s">
        <v>246</v>
      </c>
      <c r="D2055" s="751" t="s">
        <v>686</v>
      </c>
      <c r="E2055" s="751" t="s">
        <v>709</v>
      </c>
      <c r="F2055" s="751" t="s">
        <v>292</v>
      </c>
      <c r="G2055" s="752" t="s">
        <v>1681</v>
      </c>
      <c r="H2055" s="753">
        <v>52385</v>
      </c>
      <c r="I2055" s="754">
        <v>185.38</v>
      </c>
      <c r="J2055" s="754">
        <v>0</v>
      </c>
      <c r="K2055" s="754">
        <v>0</v>
      </c>
      <c r="L2055" s="754">
        <v>185.38</v>
      </c>
      <c r="M2055" s="754">
        <f t="shared" si="89"/>
        <v>185.38</v>
      </c>
      <c r="N2055" s="756">
        <v>185.38</v>
      </c>
      <c r="O2055" s="720">
        <f t="shared" si="90"/>
        <v>0</v>
      </c>
    </row>
    <row r="2056" spans="1:15" outlineLevel="2" x14ac:dyDescent="0.25">
      <c r="A2056" s="207" t="str">
        <f>VLOOKUP(RIGHT(E2056,3)+0,SchLocTable!$A$2:$B$47,2,FALSE)</f>
        <v>Claytor</v>
      </c>
      <c r="B2056" s="207" t="str">
        <f>VLOOKUP(VALUE(D2056),$D$3:F$106,3,FALSE)</f>
        <v>Special Education</v>
      </c>
      <c r="C2056" s="751" t="s">
        <v>246</v>
      </c>
      <c r="D2056" s="751" t="s">
        <v>686</v>
      </c>
      <c r="E2056" s="751" t="s">
        <v>709</v>
      </c>
      <c r="F2056" s="751" t="s">
        <v>259</v>
      </c>
      <c r="G2056" s="752" t="s">
        <v>1681</v>
      </c>
      <c r="H2056" s="753">
        <v>52917</v>
      </c>
      <c r="I2056" s="754">
        <v>52733.15</v>
      </c>
      <c r="J2056" s="754">
        <v>0</v>
      </c>
      <c r="K2056" s="754">
        <v>0</v>
      </c>
      <c r="L2056" s="754">
        <v>10897.04</v>
      </c>
      <c r="M2056" s="754">
        <f t="shared" si="89"/>
        <v>10897.04</v>
      </c>
      <c r="N2056" s="756">
        <v>52733.15</v>
      </c>
      <c r="O2056" s="720">
        <f t="shared" si="90"/>
        <v>0</v>
      </c>
    </row>
    <row r="2057" spans="1:15" outlineLevel="2" x14ac:dyDescent="0.25">
      <c r="A2057" s="207" t="str">
        <f>VLOOKUP(RIGHT(E2057,3)+0,SchLocTable!$A$2:$B$47,2,FALSE)</f>
        <v>Johnson</v>
      </c>
      <c r="B2057" s="207" t="str">
        <f>VLOOKUP(VALUE(D2057),$D$3:F$106,3,FALSE)</f>
        <v>Special Education</v>
      </c>
      <c r="C2057" s="751" t="s">
        <v>246</v>
      </c>
      <c r="D2057" s="751" t="s">
        <v>686</v>
      </c>
      <c r="E2057" s="751" t="s">
        <v>710</v>
      </c>
      <c r="F2057" s="751" t="s">
        <v>248</v>
      </c>
      <c r="G2057" s="752">
        <v>6</v>
      </c>
      <c r="H2057" s="753">
        <v>51000</v>
      </c>
      <c r="I2057" s="754">
        <v>486544.66</v>
      </c>
      <c r="J2057" s="754">
        <v>0</v>
      </c>
      <c r="K2057" s="754">
        <v>0</v>
      </c>
      <c r="L2057" s="754">
        <v>95653.2</v>
      </c>
      <c r="M2057" s="754">
        <f t="shared" si="89"/>
        <v>95653.2</v>
      </c>
      <c r="N2057" s="756">
        <v>486544.66</v>
      </c>
      <c r="O2057" s="720">
        <f t="shared" si="90"/>
        <v>0</v>
      </c>
    </row>
    <row r="2058" spans="1:15" outlineLevel="2" x14ac:dyDescent="0.25">
      <c r="A2058" s="207" t="str">
        <f>VLOOKUP(RIGHT(E2058,3)+0,SchLocTable!$A$2:$B$47,2,FALSE)</f>
        <v>Johnson</v>
      </c>
      <c r="B2058" s="207" t="str">
        <f>VLOOKUP(VALUE(D2058),$D$3:F$106,3,FALSE)</f>
        <v>Special Education</v>
      </c>
      <c r="C2058" s="751" t="s">
        <v>246</v>
      </c>
      <c r="D2058" s="751" t="s">
        <v>686</v>
      </c>
      <c r="E2058" s="751" t="s">
        <v>710</v>
      </c>
      <c r="F2058" s="751" t="s">
        <v>257</v>
      </c>
      <c r="G2058" s="752" t="s">
        <v>1681</v>
      </c>
      <c r="H2058" s="753">
        <v>51140</v>
      </c>
      <c r="I2058" s="754">
        <v>4400</v>
      </c>
      <c r="J2058" s="754">
        <v>0</v>
      </c>
      <c r="K2058" s="754">
        <v>0</v>
      </c>
      <c r="L2058" s="754">
        <v>0</v>
      </c>
      <c r="M2058" s="754">
        <f t="shared" si="89"/>
        <v>0</v>
      </c>
      <c r="N2058" s="756">
        <v>4400</v>
      </c>
      <c r="O2058" s="720">
        <f t="shared" si="90"/>
        <v>0</v>
      </c>
    </row>
    <row r="2059" spans="1:15" outlineLevel="2" x14ac:dyDescent="0.25">
      <c r="A2059" s="207" t="str">
        <f>VLOOKUP(RIGHT(E2059,3)+0,SchLocTable!$A$2:$B$47,2,FALSE)</f>
        <v>Johnson</v>
      </c>
      <c r="B2059" s="207" t="str">
        <f>VLOOKUP(VALUE(D2059),$D$3:F$106,3,FALSE)</f>
        <v>Special Education</v>
      </c>
      <c r="C2059" s="751" t="s">
        <v>246</v>
      </c>
      <c r="D2059" s="751" t="s">
        <v>686</v>
      </c>
      <c r="E2059" s="751" t="s">
        <v>710</v>
      </c>
      <c r="F2059" s="751" t="s">
        <v>252</v>
      </c>
      <c r="G2059" s="752" t="s">
        <v>1681</v>
      </c>
      <c r="H2059" s="753">
        <v>51154</v>
      </c>
      <c r="I2059" s="754">
        <v>0</v>
      </c>
      <c r="J2059" s="754">
        <v>0</v>
      </c>
      <c r="K2059" s="754">
        <v>0</v>
      </c>
      <c r="L2059" s="754">
        <v>0</v>
      </c>
      <c r="M2059" s="754">
        <f t="shared" si="89"/>
        <v>0</v>
      </c>
      <c r="N2059" s="756">
        <v>0</v>
      </c>
      <c r="O2059" s="720">
        <f t="shared" si="90"/>
        <v>0</v>
      </c>
    </row>
    <row r="2060" spans="1:15" outlineLevel="2" x14ac:dyDescent="0.25">
      <c r="A2060" s="207" t="str">
        <f>VLOOKUP(RIGHT(E2060,3)+0,SchLocTable!$A$2:$B$47,2,FALSE)</f>
        <v>Johnson</v>
      </c>
      <c r="B2060" s="207" t="str">
        <f>VLOOKUP(VALUE(D2060),$D$3:F$106,3,FALSE)</f>
        <v>Special Education</v>
      </c>
      <c r="C2060" s="751" t="s">
        <v>246</v>
      </c>
      <c r="D2060" s="751" t="s">
        <v>686</v>
      </c>
      <c r="E2060" s="751" t="s">
        <v>710</v>
      </c>
      <c r="F2060" s="751" t="s">
        <v>254</v>
      </c>
      <c r="G2060" s="752" t="s">
        <v>1681</v>
      </c>
      <c r="H2060" s="753">
        <v>52360</v>
      </c>
      <c r="I2060" s="754">
        <v>6979.98</v>
      </c>
      <c r="J2060" s="754">
        <v>0</v>
      </c>
      <c r="K2060" s="754">
        <v>0</v>
      </c>
      <c r="L2060" s="754">
        <v>1312.05</v>
      </c>
      <c r="M2060" s="754">
        <f t="shared" si="89"/>
        <v>1312.05</v>
      </c>
      <c r="N2060" s="756">
        <v>6979.98</v>
      </c>
      <c r="O2060" s="720">
        <f t="shared" si="90"/>
        <v>0</v>
      </c>
    </row>
    <row r="2061" spans="1:15" outlineLevel="2" x14ac:dyDescent="0.25">
      <c r="A2061" s="207" t="str">
        <f>VLOOKUP(RIGHT(E2061,3)+0,SchLocTable!$A$2:$B$47,2,FALSE)</f>
        <v>Johnson</v>
      </c>
      <c r="B2061" s="207" t="str">
        <f>VLOOKUP(VALUE(D2061),$D$3:F$106,3,FALSE)</f>
        <v>Special Education</v>
      </c>
      <c r="C2061" s="755" t="s">
        <v>246</v>
      </c>
      <c r="D2061" s="751" t="s">
        <v>686</v>
      </c>
      <c r="E2061" s="751" t="s">
        <v>710</v>
      </c>
      <c r="F2061" s="751" t="s">
        <v>292</v>
      </c>
      <c r="G2061" s="752" t="s">
        <v>1681</v>
      </c>
      <c r="H2061" s="753">
        <v>52385</v>
      </c>
      <c r="I2061" s="754">
        <v>0</v>
      </c>
      <c r="J2061" s="754">
        <v>0</v>
      </c>
      <c r="K2061" s="754">
        <v>0</v>
      </c>
      <c r="L2061" s="754">
        <v>0</v>
      </c>
      <c r="M2061" s="754">
        <f t="shared" si="89"/>
        <v>0</v>
      </c>
      <c r="N2061" s="756">
        <v>0</v>
      </c>
      <c r="O2061" s="720">
        <f t="shared" si="90"/>
        <v>0</v>
      </c>
    </row>
    <row r="2062" spans="1:15" outlineLevel="2" x14ac:dyDescent="0.25">
      <c r="A2062" s="207" t="str">
        <f>VLOOKUP(RIGHT(E2062,3)+0,SchLocTable!$A$2:$B$47,2,FALSE)</f>
        <v>Johnson</v>
      </c>
      <c r="B2062" s="207" t="str">
        <f>VLOOKUP(VALUE(D2062),$D$3:F$106,3,FALSE)</f>
        <v>Special Education</v>
      </c>
      <c r="C2062" s="751" t="s">
        <v>246</v>
      </c>
      <c r="D2062" s="751" t="s">
        <v>686</v>
      </c>
      <c r="E2062" s="751" t="s">
        <v>710</v>
      </c>
      <c r="F2062" s="751" t="s">
        <v>259</v>
      </c>
      <c r="G2062" s="752" t="s">
        <v>1681</v>
      </c>
      <c r="H2062" s="753">
        <v>52917</v>
      </c>
      <c r="I2062" s="754">
        <v>71047.199999999997</v>
      </c>
      <c r="J2062" s="754">
        <v>0</v>
      </c>
      <c r="K2062" s="754">
        <v>0</v>
      </c>
      <c r="L2062" s="754">
        <v>16916</v>
      </c>
      <c r="M2062" s="754">
        <f t="shared" si="89"/>
        <v>16916</v>
      </c>
      <c r="N2062" s="756">
        <v>71047.199999999997</v>
      </c>
      <c r="O2062" s="720">
        <f t="shared" si="90"/>
        <v>0</v>
      </c>
    </row>
    <row r="2063" spans="1:15" outlineLevel="1" x14ac:dyDescent="0.25">
      <c r="A2063" s="207" t="str">
        <f>VLOOKUP(RIGHT(E2063,3)+0,SchLocTable!$A$2:$B$47,2,FALSE)</f>
        <v>Winthrop</v>
      </c>
      <c r="B2063" s="207" t="str">
        <f>VLOOKUP(VALUE(D2063),$D$3:F$106,3,FALSE)</f>
        <v>Special Education</v>
      </c>
      <c r="C2063" s="751" t="s">
        <v>246</v>
      </c>
      <c r="D2063" s="751" t="s">
        <v>686</v>
      </c>
      <c r="E2063" s="751" t="s">
        <v>711</v>
      </c>
      <c r="F2063" s="751" t="s">
        <v>248</v>
      </c>
      <c r="G2063" s="752">
        <v>2</v>
      </c>
      <c r="H2063" s="753">
        <v>51000</v>
      </c>
      <c r="I2063" s="754">
        <v>241966.04</v>
      </c>
      <c r="J2063" s="754">
        <v>0</v>
      </c>
      <c r="K2063" s="754">
        <v>0</v>
      </c>
      <c r="L2063" s="754">
        <v>37519.129999999997</v>
      </c>
      <c r="M2063" s="754">
        <f t="shared" si="89"/>
        <v>37519.129999999997</v>
      </c>
      <c r="N2063" s="756">
        <v>241966.04</v>
      </c>
      <c r="O2063" s="720">
        <f t="shared" si="90"/>
        <v>0</v>
      </c>
    </row>
    <row r="2064" spans="1:15" outlineLevel="2" x14ac:dyDescent="0.25">
      <c r="A2064" s="207" t="str">
        <f>VLOOKUP(RIGHT(E2064,3)+0,SchLocTable!$A$2:$B$47,2,FALSE)</f>
        <v>Winthrop</v>
      </c>
      <c r="B2064" s="207" t="str">
        <f>VLOOKUP(VALUE(D2064),$D$3:F$106,3,FALSE)</f>
        <v>Special Education</v>
      </c>
      <c r="C2064" s="751" t="s">
        <v>246</v>
      </c>
      <c r="D2064" s="751" t="s">
        <v>686</v>
      </c>
      <c r="E2064" s="751" t="s">
        <v>711</v>
      </c>
      <c r="F2064" s="751" t="s">
        <v>257</v>
      </c>
      <c r="G2064" s="752" t="s">
        <v>1681</v>
      </c>
      <c r="H2064" s="753">
        <v>51140</v>
      </c>
      <c r="I2064" s="754">
        <v>1200</v>
      </c>
      <c r="J2064" s="754">
        <v>0</v>
      </c>
      <c r="K2064" s="754">
        <v>0</v>
      </c>
      <c r="L2064" s="754">
        <v>0</v>
      </c>
      <c r="M2064" s="754">
        <f t="shared" si="89"/>
        <v>0</v>
      </c>
      <c r="N2064" s="756">
        <v>1200</v>
      </c>
      <c r="O2064" s="720">
        <f t="shared" si="90"/>
        <v>0</v>
      </c>
    </row>
    <row r="2065" spans="1:15" outlineLevel="2" x14ac:dyDescent="0.25">
      <c r="A2065" s="207" t="str">
        <f>VLOOKUP(RIGHT(E2065,3)+0,SchLocTable!$A$2:$B$47,2,FALSE)</f>
        <v>Winthrop</v>
      </c>
      <c r="B2065" s="207" t="str">
        <f>VLOOKUP(VALUE(D2065),$D$3:F$106,3,FALSE)</f>
        <v>Special Education</v>
      </c>
      <c r="C2065" s="751" t="s">
        <v>246</v>
      </c>
      <c r="D2065" s="751" t="s">
        <v>686</v>
      </c>
      <c r="E2065" s="751" t="s">
        <v>711</v>
      </c>
      <c r="F2065" s="751" t="s">
        <v>254</v>
      </c>
      <c r="G2065" s="752" t="s">
        <v>1681</v>
      </c>
      <c r="H2065" s="753">
        <v>52360</v>
      </c>
      <c r="I2065" s="754">
        <v>3453.69</v>
      </c>
      <c r="J2065" s="754">
        <v>0</v>
      </c>
      <c r="K2065" s="754">
        <v>0</v>
      </c>
      <c r="L2065" s="754">
        <v>489.21</v>
      </c>
      <c r="M2065" s="754">
        <f t="shared" si="89"/>
        <v>489.21</v>
      </c>
      <c r="N2065" s="756">
        <v>3453.69</v>
      </c>
      <c r="O2065" s="720">
        <f t="shared" si="90"/>
        <v>0</v>
      </c>
    </row>
    <row r="2066" spans="1:15" outlineLevel="2" x14ac:dyDescent="0.25">
      <c r="A2066" s="207" t="str">
        <f>VLOOKUP(RIGHT(E2066,3)+0,SchLocTable!$A$2:$B$47,2,FALSE)</f>
        <v>Winthrop</v>
      </c>
      <c r="B2066" s="207" t="str">
        <f>VLOOKUP(VALUE(D2066),$D$3:F$106,3,FALSE)</f>
        <v>Special Education</v>
      </c>
      <c r="C2066" s="751" t="s">
        <v>246</v>
      </c>
      <c r="D2066" s="751" t="s">
        <v>686</v>
      </c>
      <c r="E2066" s="751" t="s">
        <v>711</v>
      </c>
      <c r="F2066" s="751" t="s">
        <v>259</v>
      </c>
      <c r="G2066" s="752" t="s">
        <v>1681</v>
      </c>
      <c r="H2066" s="753">
        <v>52917</v>
      </c>
      <c r="I2066" s="754">
        <v>75314.64</v>
      </c>
      <c r="J2066" s="754">
        <v>0</v>
      </c>
      <c r="K2066" s="754">
        <v>0</v>
      </c>
      <c r="L2066" s="754">
        <v>12841.68</v>
      </c>
      <c r="M2066" s="754">
        <f t="shared" si="89"/>
        <v>12841.68</v>
      </c>
      <c r="N2066" s="756">
        <v>75314.64</v>
      </c>
      <c r="O2066" s="720">
        <f t="shared" si="90"/>
        <v>0</v>
      </c>
    </row>
    <row r="2067" spans="1:15" outlineLevel="2" x14ac:dyDescent="0.25">
      <c r="A2067" s="207" t="str">
        <f>VLOOKUP(RIGHT(E2067,3)+0,SchLocTable!$A$2:$B$47,2,FALSE)</f>
        <v>Cross</v>
      </c>
      <c r="B2067" s="207" t="str">
        <f>VLOOKUP(VALUE(D2067),$D$3:F$106,3,FALSE)</f>
        <v>Special Education</v>
      </c>
      <c r="C2067" s="751" t="s">
        <v>246</v>
      </c>
      <c r="D2067" s="751" t="s">
        <v>686</v>
      </c>
      <c r="E2067" s="751" t="s">
        <v>712</v>
      </c>
      <c r="F2067" s="751" t="s">
        <v>248</v>
      </c>
      <c r="G2067" s="752">
        <v>3</v>
      </c>
      <c r="H2067" s="753">
        <v>51000</v>
      </c>
      <c r="I2067" s="754">
        <v>219527.1</v>
      </c>
      <c r="J2067" s="754">
        <v>0</v>
      </c>
      <c r="K2067" s="754">
        <v>0</v>
      </c>
      <c r="L2067" s="754">
        <v>42055</v>
      </c>
      <c r="M2067" s="754">
        <f t="shared" si="89"/>
        <v>42055</v>
      </c>
      <c r="N2067" s="756">
        <v>219527.1</v>
      </c>
      <c r="O2067" s="720">
        <f t="shared" si="90"/>
        <v>0</v>
      </c>
    </row>
    <row r="2068" spans="1:15" outlineLevel="2" x14ac:dyDescent="0.25">
      <c r="A2068" s="207" t="str">
        <f>VLOOKUP(RIGHT(E2068,3)+0,SchLocTable!$A$2:$B$47,2,FALSE)</f>
        <v>Cross</v>
      </c>
      <c r="B2068" s="207" t="str">
        <f>VLOOKUP(VALUE(D2068),$D$3:F$106,3,FALSE)</f>
        <v>Special Education</v>
      </c>
      <c r="C2068" s="751" t="s">
        <v>246</v>
      </c>
      <c r="D2068" s="751" t="s">
        <v>686</v>
      </c>
      <c r="E2068" s="751" t="s">
        <v>712</v>
      </c>
      <c r="F2068" s="751" t="s">
        <v>254</v>
      </c>
      <c r="G2068" s="752" t="s">
        <v>1681</v>
      </c>
      <c r="H2068" s="753">
        <v>52360</v>
      </c>
      <c r="I2068" s="754">
        <v>3171.11</v>
      </c>
      <c r="J2068" s="754">
        <v>0</v>
      </c>
      <c r="K2068" s="754">
        <v>0</v>
      </c>
      <c r="L2068" s="754">
        <v>597.76</v>
      </c>
      <c r="M2068" s="754">
        <f t="shared" si="89"/>
        <v>597.76</v>
      </c>
      <c r="N2068" s="756">
        <v>3171.11</v>
      </c>
      <c r="O2068" s="720">
        <f t="shared" si="90"/>
        <v>0</v>
      </c>
    </row>
    <row r="2069" spans="1:15" outlineLevel="2" x14ac:dyDescent="0.25">
      <c r="A2069" s="207" t="str">
        <f>VLOOKUP(RIGHT(E2069,3)+0,SchLocTable!$A$2:$B$47,2,FALSE)</f>
        <v>Cross</v>
      </c>
      <c r="B2069" s="207" t="str">
        <f>VLOOKUP(VALUE(D2069),$D$3:F$106,3,FALSE)</f>
        <v>Special Education</v>
      </c>
      <c r="C2069" s="751" t="s">
        <v>246</v>
      </c>
      <c r="D2069" s="751" t="s">
        <v>686</v>
      </c>
      <c r="E2069" s="751" t="s">
        <v>712</v>
      </c>
      <c r="F2069" s="751" t="s">
        <v>292</v>
      </c>
      <c r="G2069" s="752" t="s">
        <v>1681</v>
      </c>
      <c r="H2069" s="753">
        <v>52385</v>
      </c>
      <c r="I2069" s="754">
        <v>0</v>
      </c>
      <c r="J2069" s="754">
        <v>0</v>
      </c>
      <c r="K2069" s="754">
        <v>0</v>
      </c>
      <c r="L2069" s="754">
        <v>0</v>
      </c>
      <c r="M2069" s="754">
        <f t="shared" si="89"/>
        <v>0</v>
      </c>
      <c r="N2069" s="756">
        <v>0</v>
      </c>
      <c r="O2069" s="720">
        <f t="shared" si="90"/>
        <v>0</v>
      </c>
    </row>
    <row r="2070" spans="1:15" outlineLevel="2" x14ac:dyDescent="0.25">
      <c r="A2070" s="207" t="str">
        <f>VLOOKUP(RIGHT(E2070,3)+0,SchLocTable!$A$2:$B$47,2,FALSE)</f>
        <v>Cross</v>
      </c>
      <c r="B2070" s="207" t="str">
        <f>VLOOKUP(VALUE(D2070),$D$3:F$106,3,FALSE)</f>
        <v>Special Education</v>
      </c>
      <c r="C2070" s="751" t="s">
        <v>246</v>
      </c>
      <c r="D2070" s="751" t="s">
        <v>686</v>
      </c>
      <c r="E2070" s="751" t="s">
        <v>712</v>
      </c>
      <c r="F2070" s="751" t="s">
        <v>259</v>
      </c>
      <c r="G2070" s="752" t="s">
        <v>1681</v>
      </c>
      <c r="H2070" s="753">
        <v>52917</v>
      </c>
      <c r="I2070" s="754">
        <v>11844</v>
      </c>
      <c r="J2070" s="754">
        <v>0</v>
      </c>
      <c r="K2070" s="754">
        <v>0</v>
      </c>
      <c r="L2070" s="754">
        <v>2820</v>
      </c>
      <c r="M2070" s="754">
        <f t="shared" si="89"/>
        <v>2820</v>
      </c>
      <c r="N2070" s="756">
        <v>11844</v>
      </c>
      <c r="O2070" s="720">
        <f t="shared" si="90"/>
        <v>0</v>
      </c>
    </row>
    <row r="2071" spans="1:15" outlineLevel="2" x14ac:dyDescent="0.25">
      <c r="A2071" s="207" t="str">
        <f>VLOOKUP(RIGHT(E2071,3)+0,SchLocTable!$A$2:$B$47,2,FALSE)</f>
        <v>Blackham</v>
      </c>
      <c r="B2071" s="207" t="str">
        <f>VLOOKUP(VALUE(D2071),$D$3:F$106,3,FALSE)</f>
        <v>Special Education</v>
      </c>
      <c r="C2071" s="751" t="s">
        <v>246</v>
      </c>
      <c r="D2071" s="751" t="s">
        <v>686</v>
      </c>
      <c r="E2071" s="751" t="s">
        <v>713</v>
      </c>
      <c r="F2071" s="751" t="s">
        <v>248</v>
      </c>
      <c r="G2071" s="752">
        <v>7</v>
      </c>
      <c r="H2071" s="753">
        <v>51000</v>
      </c>
      <c r="I2071" s="754">
        <v>590863.86</v>
      </c>
      <c r="J2071" s="754">
        <v>0</v>
      </c>
      <c r="K2071" s="754">
        <v>0</v>
      </c>
      <c r="L2071" s="754">
        <v>130353.67</v>
      </c>
      <c r="M2071" s="754">
        <f t="shared" si="89"/>
        <v>130353.67</v>
      </c>
      <c r="N2071" s="756">
        <v>590863.86</v>
      </c>
      <c r="O2071" s="720">
        <f t="shared" si="90"/>
        <v>0</v>
      </c>
    </row>
    <row r="2072" spans="1:15" outlineLevel="2" x14ac:dyDescent="0.25">
      <c r="A2072" s="207" t="str">
        <f>VLOOKUP(RIGHT(E2072,3)+0,SchLocTable!$A$2:$B$47,2,FALSE)</f>
        <v>Blackham</v>
      </c>
      <c r="B2072" s="207" t="str">
        <f>VLOOKUP(VALUE(D2072),$D$3:F$106,3,FALSE)</f>
        <v>Special Education</v>
      </c>
      <c r="C2072" s="751" t="s">
        <v>246</v>
      </c>
      <c r="D2072" s="751" t="s">
        <v>686</v>
      </c>
      <c r="E2072" s="751" t="s">
        <v>713</v>
      </c>
      <c r="F2072" s="751" t="s">
        <v>257</v>
      </c>
      <c r="G2072" s="752" t="s">
        <v>1681</v>
      </c>
      <c r="H2072" s="753">
        <v>51140</v>
      </c>
      <c r="I2072" s="754">
        <v>4500</v>
      </c>
      <c r="J2072" s="754">
        <v>0</v>
      </c>
      <c r="K2072" s="754">
        <v>0</v>
      </c>
      <c r="L2072" s="754">
        <v>0</v>
      </c>
      <c r="M2072" s="754">
        <f t="shared" si="89"/>
        <v>0</v>
      </c>
      <c r="N2072" s="756">
        <v>4500</v>
      </c>
      <c r="O2072" s="720">
        <f t="shared" si="90"/>
        <v>0</v>
      </c>
    </row>
    <row r="2073" spans="1:15" outlineLevel="2" x14ac:dyDescent="0.25">
      <c r="A2073" s="207" t="str">
        <f>VLOOKUP(RIGHT(E2073,3)+0,SchLocTable!$A$2:$B$47,2,FALSE)</f>
        <v>Blackham</v>
      </c>
      <c r="B2073" s="207" t="str">
        <f>VLOOKUP(VALUE(D2073),$D$3:F$106,3,FALSE)</f>
        <v>Special Education</v>
      </c>
      <c r="C2073" s="755" t="s">
        <v>246</v>
      </c>
      <c r="D2073" s="751" t="s">
        <v>686</v>
      </c>
      <c r="E2073" s="751" t="s">
        <v>713</v>
      </c>
      <c r="F2073" s="751" t="s">
        <v>252</v>
      </c>
      <c r="G2073" s="752" t="s">
        <v>1681</v>
      </c>
      <c r="H2073" s="753">
        <v>51154</v>
      </c>
      <c r="I2073" s="754">
        <v>0</v>
      </c>
      <c r="J2073" s="754">
        <v>0</v>
      </c>
      <c r="K2073" s="754">
        <v>0</v>
      </c>
      <c r="L2073" s="754">
        <v>0</v>
      </c>
      <c r="M2073" s="754">
        <f t="shared" si="89"/>
        <v>0</v>
      </c>
      <c r="N2073" s="756">
        <v>0</v>
      </c>
      <c r="O2073" s="720">
        <f t="shared" si="90"/>
        <v>0</v>
      </c>
    </row>
    <row r="2074" spans="1:15" outlineLevel="2" x14ac:dyDescent="0.25">
      <c r="A2074" s="207" t="str">
        <f>VLOOKUP(RIGHT(E2074,3)+0,SchLocTable!$A$2:$B$47,2,FALSE)</f>
        <v>Blackham</v>
      </c>
      <c r="B2074" s="207" t="str">
        <f>VLOOKUP(VALUE(D2074),$D$3:F$106,3,FALSE)</f>
        <v>Special Education</v>
      </c>
      <c r="C2074" s="751" t="s">
        <v>246</v>
      </c>
      <c r="D2074" s="751" t="s">
        <v>686</v>
      </c>
      <c r="E2074" s="751" t="s">
        <v>713</v>
      </c>
      <c r="F2074" s="751" t="s">
        <v>254</v>
      </c>
      <c r="G2074" s="752" t="s">
        <v>1681</v>
      </c>
      <c r="H2074" s="753">
        <v>52360</v>
      </c>
      <c r="I2074" s="754">
        <v>8469.41</v>
      </c>
      <c r="J2074" s="754">
        <v>0</v>
      </c>
      <c r="K2074" s="754">
        <v>0</v>
      </c>
      <c r="L2074" s="754">
        <v>1792.01</v>
      </c>
      <c r="M2074" s="754">
        <f t="shared" si="89"/>
        <v>1792.01</v>
      </c>
      <c r="N2074" s="756">
        <v>8469.41</v>
      </c>
      <c r="O2074" s="720">
        <f t="shared" si="90"/>
        <v>0</v>
      </c>
    </row>
    <row r="2075" spans="1:15" outlineLevel="2" x14ac:dyDescent="0.25">
      <c r="A2075" s="207" t="str">
        <f>VLOOKUP(RIGHT(E2075,3)+0,SchLocTable!$A$2:$B$47,2,FALSE)</f>
        <v>Blackham</v>
      </c>
      <c r="B2075" s="207" t="str">
        <f>VLOOKUP(VALUE(D2075),$D$3:F$106,3,FALSE)</f>
        <v>Special Education</v>
      </c>
      <c r="C2075" s="751" t="s">
        <v>246</v>
      </c>
      <c r="D2075" s="751" t="s">
        <v>686</v>
      </c>
      <c r="E2075" s="751" t="s">
        <v>713</v>
      </c>
      <c r="F2075" s="751" t="s">
        <v>259</v>
      </c>
      <c r="G2075" s="752" t="s">
        <v>1681</v>
      </c>
      <c r="H2075" s="753">
        <v>52917</v>
      </c>
      <c r="I2075" s="754">
        <v>90317.22</v>
      </c>
      <c r="J2075" s="754">
        <v>0</v>
      </c>
      <c r="K2075" s="754">
        <v>0</v>
      </c>
      <c r="L2075" s="754">
        <v>21504.1</v>
      </c>
      <c r="M2075" s="754">
        <f t="shared" si="89"/>
        <v>21504.1</v>
      </c>
      <c r="N2075" s="756">
        <v>90317.22</v>
      </c>
      <c r="O2075" s="720">
        <f t="shared" si="90"/>
        <v>0</v>
      </c>
    </row>
    <row r="2076" spans="1:15" outlineLevel="1" x14ac:dyDescent="0.25">
      <c r="A2076" s="207" t="str">
        <f>VLOOKUP(RIGHT(E2076,3)+0,SchLocTable!$A$2:$B$47,2,FALSE)</f>
        <v>Dunbar</v>
      </c>
      <c r="B2076" s="207" t="str">
        <f>VLOOKUP(VALUE(D2076),$D$3:F$106,3,FALSE)</f>
        <v>Special Education</v>
      </c>
      <c r="C2076" s="755" t="s">
        <v>246</v>
      </c>
      <c r="D2076" s="751" t="s">
        <v>686</v>
      </c>
      <c r="E2076" s="751" t="s">
        <v>714</v>
      </c>
      <c r="F2076" s="751" t="s">
        <v>248</v>
      </c>
      <c r="G2076" s="752">
        <v>1</v>
      </c>
      <c r="H2076" s="753">
        <v>51000</v>
      </c>
      <c r="I2076" s="754">
        <v>84260.72</v>
      </c>
      <c r="J2076" s="754">
        <v>0</v>
      </c>
      <c r="K2076" s="754">
        <v>0</v>
      </c>
      <c r="L2076" s="754">
        <v>16141.9</v>
      </c>
      <c r="M2076" s="754">
        <f t="shared" si="89"/>
        <v>16141.9</v>
      </c>
      <c r="N2076" s="756">
        <v>84260.72</v>
      </c>
      <c r="O2076" s="720">
        <f t="shared" si="90"/>
        <v>0</v>
      </c>
    </row>
    <row r="2077" spans="1:15" outlineLevel="1" x14ac:dyDescent="0.25">
      <c r="A2077" s="207" t="str">
        <f>VLOOKUP(RIGHT(E2077,3)+0,SchLocTable!$A$2:$B$47,2,FALSE)</f>
        <v>Dunbar</v>
      </c>
      <c r="B2077" s="207" t="str">
        <f>VLOOKUP(VALUE(D2077),$D$3:F$106,3,FALSE)</f>
        <v>Special Education</v>
      </c>
      <c r="C2077" s="751" t="s">
        <v>246</v>
      </c>
      <c r="D2077" s="751" t="s">
        <v>686</v>
      </c>
      <c r="E2077" s="751" t="s">
        <v>714</v>
      </c>
      <c r="F2077" s="751" t="s">
        <v>257</v>
      </c>
      <c r="G2077" s="752" t="s">
        <v>1681</v>
      </c>
      <c r="H2077" s="753">
        <v>51140</v>
      </c>
      <c r="I2077" s="754">
        <v>3500</v>
      </c>
      <c r="J2077" s="754">
        <v>0</v>
      </c>
      <c r="K2077" s="754">
        <v>0</v>
      </c>
      <c r="L2077" s="754">
        <v>0</v>
      </c>
      <c r="M2077" s="754">
        <f t="shared" si="89"/>
        <v>0</v>
      </c>
      <c r="N2077" s="756">
        <v>3500</v>
      </c>
      <c r="O2077" s="720">
        <f t="shared" si="90"/>
        <v>0</v>
      </c>
    </row>
    <row r="2078" spans="1:15" outlineLevel="1" x14ac:dyDescent="0.25">
      <c r="A2078" s="207" t="str">
        <f>VLOOKUP(RIGHT(E2078,3)+0,SchLocTable!$A$2:$B$47,2,FALSE)</f>
        <v>Dunbar</v>
      </c>
      <c r="B2078" s="207" t="str">
        <f>VLOOKUP(VALUE(D2078),$D$3:F$106,3,FALSE)</f>
        <v>Special Education</v>
      </c>
      <c r="C2078" s="751" t="s">
        <v>246</v>
      </c>
      <c r="D2078" s="751" t="s">
        <v>686</v>
      </c>
      <c r="E2078" s="751" t="s">
        <v>714</v>
      </c>
      <c r="F2078" s="751" t="s">
        <v>254</v>
      </c>
      <c r="G2078" s="752" t="s">
        <v>1681</v>
      </c>
      <c r="H2078" s="753">
        <v>52360</v>
      </c>
      <c r="I2078" s="754">
        <v>1209.74</v>
      </c>
      <c r="J2078" s="754">
        <v>0</v>
      </c>
      <c r="K2078" s="754">
        <v>0</v>
      </c>
      <c r="L2078" s="754">
        <v>222.02</v>
      </c>
      <c r="M2078" s="754">
        <f t="shared" si="89"/>
        <v>222.02</v>
      </c>
      <c r="N2078" s="756">
        <v>1209.74</v>
      </c>
      <c r="O2078" s="720">
        <f t="shared" si="90"/>
        <v>0</v>
      </c>
    </row>
    <row r="2079" spans="1:15" outlineLevel="1" x14ac:dyDescent="0.25">
      <c r="A2079" s="207" t="str">
        <f>VLOOKUP(RIGHT(E2079,3)+0,SchLocTable!$A$2:$B$47,2,FALSE)</f>
        <v>Dunbar</v>
      </c>
      <c r="B2079" s="207" t="str">
        <f>VLOOKUP(VALUE(D2079),$D$3:F$106,3,FALSE)</f>
        <v>Special Education</v>
      </c>
      <c r="C2079" s="751" t="s">
        <v>246</v>
      </c>
      <c r="D2079" s="751" t="s">
        <v>686</v>
      </c>
      <c r="E2079" s="751" t="s">
        <v>714</v>
      </c>
      <c r="F2079" s="751" t="s">
        <v>292</v>
      </c>
      <c r="G2079" s="752" t="s">
        <v>1681</v>
      </c>
      <c r="H2079" s="753">
        <v>52385</v>
      </c>
      <c r="I2079" s="754">
        <v>0</v>
      </c>
      <c r="J2079" s="754">
        <v>0</v>
      </c>
      <c r="K2079" s="754">
        <v>0</v>
      </c>
      <c r="L2079" s="754">
        <v>0</v>
      </c>
      <c r="M2079" s="754">
        <f t="shared" si="89"/>
        <v>0</v>
      </c>
      <c r="N2079" s="756">
        <v>0</v>
      </c>
      <c r="O2079" s="720">
        <f t="shared" si="90"/>
        <v>0</v>
      </c>
    </row>
    <row r="2080" spans="1:15" outlineLevel="1" x14ac:dyDescent="0.25">
      <c r="A2080" s="207" t="str">
        <f>VLOOKUP(RIGHT(E2080,3)+0,SchLocTable!$A$2:$B$47,2,FALSE)</f>
        <v>Dunbar</v>
      </c>
      <c r="B2080" s="207" t="str">
        <f>VLOOKUP(VALUE(D2080),$D$3:F$106,3,FALSE)</f>
        <v>Special Education</v>
      </c>
      <c r="C2080" s="751" t="s">
        <v>246</v>
      </c>
      <c r="D2080" s="751" t="s">
        <v>686</v>
      </c>
      <c r="E2080" s="751" t="s">
        <v>714</v>
      </c>
      <c r="F2080" s="751" t="s">
        <v>259</v>
      </c>
      <c r="G2080" s="752" t="s">
        <v>1681</v>
      </c>
      <c r="H2080" s="753">
        <v>52917</v>
      </c>
      <c r="I2080" s="754">
        <v>11844</v>
      </c>
      <c r="J2080" s="754">
        <v>0</v>
      </c>
      <c r="K2080" s="754">
        <v>0</v>
      </c>
      <c r="L2080" s="754">
        <v>2820</v>
      </c>
      <c r="M2080" s="754">
        <f t="shared" si="89"/>
        <v>2820</v>
      </c>
      <c r="N2080" s="756">
        <v>11844</v>
      </c>
      <c r="O2080" s="720">
        <f t="shared" si="90"/>
        <v>0</v>
      </c>
    </row>
    <row r="2081" spans="1:15" outlineLevel="2" x14ac:dyDescent="0.25">
      <c r="A2081" s="207" t="str">
        <f>VLOOKUP(RIGHT(E2081,3)+0,SchLocTable!$A$2:$B$47,2,FALSE)</f>
        <v>Curiale</v>
      </c>
      <c r="B2081" s="207" t="str">
        <f>VLOOKUP(VALUE(D2081),$D$3:F$106,3,FALSE)</f>
        <v>Special Education</v>
      </c>
      <c r="C2081" s="751" t="s">
        <v>246</v>
      </c>
      <c r="D2081" s="751" t="s">
        <v>686</v>
      </c>
      <c r="E2081" s="751" t="s">
        <v>715</v>
      </c>
      <c r="F2081" s="751" t="s">
        <v>248</v>
      </c>
      <c r="G2081" s="752">
        <v>2</v>
      </c>
      <c r="H2081" s="753">
        <v>51000</v>
      </c>
      <c r="I2081" s="754">
        <v>163076.72</v>
      </c>
      <c r="J2081" s="754">
        <v>0</v>
      </c>
      <c r="K2081" s="754">
        <v>0</v>
      </c>
      <c r="L2081" s="754">
        <v>31240.75</v>
      </c>
      <c r="M2081" s="754">
        <f t="shared" si="89"/>
        <v>31240.75</v>
      </c>
      <c r="N2081" s="756">
        <v>163076.72</v>
      </c>
      <c r="O2081" s="720">
        <f t="shared" si="90"/>
        <v>0</v>
      </c>
    </row>
    <row r="2082" spans="1:15" outlineLevel="2" x14ac:dyDescent="0.25">
      <c r="A2082" s="207" t="str">
        <f>VLOOKUP(RIGHT(E2082,3)+0,SchLocTable!$A$2:$B$47,2,FALSE)</f>
        <v>Curiale</v>
      </c>
      <c r="B2082" s="207" t="str">
        <f>VLOOKUP(VALUE(D2082),$D$3:F$106,3,FALSE)</f>
        <v>Special Education</v>
      </c>
      <c r="C2082" s="751" t="s">
        <v>246</v>
      </c>
      <c r="D2082" s="751" t="s">
        <v>686</v>
      </c>
      <c r="E2082" s="751" t="s">
        <v>715</v>
      </c>
      <c r="F2082" s="751" t="s">
        <v>257</v>
      </c>
      <c r="G2082" s="752" t="s">
        <v>1681</v>
      </c>
      <c r="H2082" s="753">
        <v>51140</v>
      </c>
      <c r="I2082" s="754">
        <v>900</v>
      </c>
      <c r="J2082" s="754">
        <v>0</v>
      </c>
      <c r="K2082" s="754">
        <v>0</v>
      </c>
      <c r="L2082" s="754">
        <v>0</v>
      </c>
      <c r="M2082" s="754">
        <f t="shared" si="89"/>
        <v>0</v>
      </c>
      <c r="N2082" s="756">
        <v>900</v>
      </c>
      <c r="O2082" s="720">
        <f t="shared" si="90"/>
        <v>0</v>
      </c>
    </row>
    <row r="2083" spans="1:15" outlineLevel="2" x14ac:dyDescent="0.25">
      <c r="A2083" s="207" t="str">
        <f>VLOOKUP(RIGHT(E2083,3)+0,SchLocTable!$A$2:$B$47,2,FALSE)</f>
        <v>Curiale</v>
      </c>
      <c r="B2083" s="207" t="str">
        <f>VLOOKUP(VALUE(D2083),$D$3:F$106,3,FALSE)</f>
        <v>Special Education</v>
      </c>
      <c r="C2083" s="751" t="s">
        <v>246</v>
      </c>
      <c r="D2083" s="751" t="s">
        <v>686</v>
      </c>
      <c r="E2083" s="751" t="s">
        <v>715</v>
      </c>
      <c r="F2083" s="751" t="s">
        <v>254</v>
      </c>
      <c r="G2083" s="752" t="s">
        <v>1681</v>
      </c>
      <c r="H2083" s="753">
        <v>52360</v>
      </c>
      <c r="I2083" s="754">
        <v>2323.56</v>
      </c>
      <c r="J2083" s="754">
        <v>0</v>
      </c>
      <c r="K2083" s="754">
        <v>0</v>
      </c>
      <c r="L2083" s="754">
        <v>411.94</v>
      </c>
      <c r="M2083" s="754">
        <f t="shared" si="89"/>
        <v>411.94</v>
      </c>
      <c r="N2083" s="756">
        <v>2323.56</v>
      </c>
      <c r="O2083" s="720">
        <f t="shared" si="90"/>
        <v>0</v>
      </c>
    </row>
    <row r="2084" spans="1:15" outlineLevel="2" x14ac:dyDescent="0.25">
      <c r="A2084" s="207" t="str">
        <f>VLOOKUP(RIGHT(E2084,3)+0,SchLocTable!$A$2:$B$47,2,FALSE)</f>
        <v>Curiale</v>
      </c>
      <c r="B2084" s="207" t="str">
        <f>VLOOKUP(VALUE(D2084),$D$3:F$106,3,FALSE)</f>
        <v>Special Education</v>
      </c>
      <c r="C2084" s="751" t="s">
        <v>246</v>
      </c>
      <c r="D2084" s="751" t="s">
        <v>686</v>
      </c>
      <c r="E2084" s="751" t="s">
        <v>715</v>
      </c>
      <c r="F2084" s="751" t="s">
        <v>259</v>
      </c>
      <c r="G2084" s="752" t="s">
        <v>1681</v>
      </c>
      <c r="H2084" s="753">
        <v>52917</v>
      </c>
      <c r="I2084" s="754">
        <v>40322.1</v>
      </c>
      <c r="J2084" s="754">
        <v>0</v>
      </c>
      <c r="K2084" s="754">
        <v>0</v>
      </c>
      <c r="L2084" s="754">
        <v>9600.5</v>
      </c>
      <c r="M2084" s="754">
        <f t="shared" si="89"/>
        <v>9600.5</v>
      </c>
      <c r="N2084" s="756">
        <v>40322.1</v>
      </c>
      <c r="O2084" s="720">
        <f t="shared" si="90"/>
        <v>0</v>
      </c>
    </row>
    <row r="2085" spans="1:15" outlineLevel="2" x14ac:dyDescent="0.25">
      <c r="A2085" s="207" t="str">
        <f>VLOOKUP(RIGHT(E2085,3)+0,SchLocTable!$A$2:$B$47,2,FALSE)</f>
        <v>Skane</v>
      </c>
      <c r="B2085" s="207" t="str">
        <f>VLOOKUP(VALUE(D2085),$D$3:F$106,3,FALSE)</f>
        <v>Special Education</v>
      </c>
      <c r="C2085" s="755" t="s">
        <v>246</v>
      </c>
      <c r="D2085" s="751" t="s">
        <v>686</v>
      </c>
      <c r="E2085" s="751" t="s">
        <v>716</v>
      </c>
      <c r="F2085" s="751" t="s">
        <v>248</v>
      </c>
      <c r="G2085" s="752">
        <v>7</v>
      </c>
      <c r="H2085" s="753">
        <v>51000</v>
      </c>
      <c r="I2085" s="754">
        <v>520147.94</v>
      </c>
      <c r="J2085" s="754">
        <v>0</v>
      </c>
      <c r="K2085" s="754">
        <v>0</v>
      </c>
      <c r="L2085" s="754">
        <v>99645.2</v>
      </c>
      <c r="M2085" s="754">
        <f t="shared" si="89"/>
        <v>99645.2</v>
      </c>
      <c r="N2085" s="756">
        <v>520147.94</v>
      </c>
      <c r="O2085" s="720">
        <f t="shared" si="90"/>
        <v>0</v>
      </c>
    </row>
    <row r="2086" spans="1:15" outlineLevel="1" x14ac:dyDescent="0.25">
      <c r="A2086" s="207" t="str">
        <f>VLOOKUP(RIGHT(E2086,3)+0,SchLocTable!$A$2:$B$47,2,FALSE)</f>
        <v>Skane</v>
      </c>
      <c r="B2086" s="207" t="str">
        <f>VLOOKUP(VALUE(D2086),$D$3:F$106,3,FALSE)</f>
        <v>Special Education</v>
      </c>
      <c r="C2086" s="751" t="s">
        <v>246</v>
      </c>
      <c r="D2086" s="751" t="s">
        <v>686</v>
      </c>
      <c r="E2086" s="751" t="s">
        <v>716</v>
      </c>
      <c r="F2086" s="751" t="s">
        <v>257</v>
      </c>
      <c r="G2086" s="752" t="s">
        <v>1681</v>
      </c>
      <c r="H2086" s="753">
        <v>51140</v>
      </c>
      <c r="I2086" s="754">
        <v>5100</v>
      </c>
      <c r="J2086" s="754">
        <v>0</v>
      </c>
      <c r="K2086" s="754">
        <v>0</v>
      </c>
      <c r="L2086" s="754">
        <v>0</v>
      </c>
      <c r="M2086" s="754">
        <f t="shared" si="89"/>
        <v>0</v>
      </c>
      <c r="N2086" s="756">
        <v>5100</v>
      </c>
      <c r="O2086" s="720">
        <f t="shared" si="90"/>
        <v>0</v>
      </c>
    </row>
    <row r="2087" spans="1:15" outlineLevel="2" x14ac:dyDescent="0.25">
      <c r="A2087" s="207" t="str">
        <f>VLOOKUP(RIGHT(E2087,3)+0,SchLocTable!$A$2:$B$47,2,FALSE)</f>
        <v>Skane</v>
      </c>
      <c r="B2087" s="207" t="str">
        <f>VLOOKUP(VALUE(D2087),$D$3:F$106,3,FALSE)</f>
        <v>Special Education</v>
      </c>
      <c r="C2087" s="751" t="s">
        <v>246</v>
      </c>
      <c r="D2087" s="751" t="s">
        <v>686</v>
      </c>
      <c r="E2087" s="751" t="s">
        <v>716</v>
      </c>
      <c r="F2087" s="751" t="s">
        <v>454</v>
      </c>
      <c r="G2087" s="752" t="s">
        <v>1681</v>
      </c>
      <c r="H2087" s="753">
        <v>51404</v>
      </c>
      <c r="I2087" s="754">
        <v>0</v>
      </c>
      <c r="J2087" s="754">
        <v>0</v>
      </c>
      <c r="K2087" s="754">
        <v>0</v>
      </c>
      <c r="L2087" s="754">
        <v>0</v>
      </c>
      <c r="M2087" s="754">
        <f t="shared" si="89"/>
        <v>0</v>
      </c>
      <c r="N2087" s="756">
        <v>0</v>
      </c>
      <c r="O2087" s="720">
        <f t="shared" si="90"/>
        <v>0</v>
      </c>
    </row>
    <row r="2088" spans="1:15" outlineLevel="2" x14ac:dyDescent="0.25">
      <c r="A2088" s="207" t="str">
        <f>VLOOKUP(RIGHT(E2088,3)+0,SchLocTable!$A$2:$B$47,2,FALSE)</f>
        <v>Skane</v>
      </c>
      <c r="B2088" s="207" t="str">
        <f>VLOOKUP(VALUE(D2088),$D$3:F$106,3,FALSE)</f>
        <v>Special Education</v>
      </c>
      <c r="C2088" s="751" t="s">
        <v>246</v>
      </c>
      <c r="D2088" s="751" t="s">
        <v>686</v>
      </c>
      <c r="E2088" s="751" t="s">
        <v>716</v>
      </c>
      <c r="F2088" s="751" t="s">
        <v>254</v>
      </c>
      <c r="G2088" s="752" t="s">
        <v>1681</v>
      </c>
      <c r="H2088" s="753">
        <v>52360</v>
      </c>
      <c r="I2088" s="754">
        <v>7482.38</v>
      </c>
      <c r="J2088" s="754">
        <v>0</v>
      </c>
      <c r="K2088" s="754">
        <v>0</v>
      </c>
      <c r="L2088" s="754">
        <v>1385.09</v>
      </c>
      <c r="M2088" s="754">
        <f t="shared" si="89"/>
        <v>1385.09</v>
      </c>
      <c r="N2088" s="756">
        <v>7482.38</v>
      </c>
      <c r="O2088" s="720">
        <f t="shared" si="90"/>
        <v>0</v>
      </c>
    </row>
    <row r="2089" spans="1:15" outlineLevel="2" x14ac:dyDescent="0.25">
      <c r="A2089" s="207" t="str">
        <f>VLOOKUP(RIGHT(E2089,3)+0,SchLocTable!$A$2:$B$47,2,FALSE)</f>
        <v>Skane</v>
      </c>
      <c r="B2089" s="207" t="str">
        <f>VLOOKUP(VALUE(D2089),$D$3:F$106,3,FALSE)</f>
        <v>Special Education</v>
      </c>
      <c r="C2089" s="751" t="s">
        <v>246</v>
      </c>
      <c r="D2089" s="751" t="s">
        <v>686</v>
      </c>
      <c r="E2089" s="751" t="s">
        <v>716</v>
      </c>
      <c r="F2089" s="751" t="s">
        <v>259</v>
      </c>
      <c r="G2089" s="752" t="s">
        <v>1681</v>
      </c>
      <c r="H2089" s="753">
        <v>52917</v>
      </c>
      <c r="I2089" s="754">
        <v>58818.06</v>
      </c>
      <c r="J2089" s="754">
        <v>0</v>
      </c>
      <c r="K2089" s="754">
        <v>0</v>
      </c>
      <c r="L2089" s="754">
        <v>14004.3</v>
      </c>
      <c r="M2089" s="754">
        <f t="shared" si="89"/>
        <v>14004.3</v>
      </c>
      <c r="N2089" s="756">
        <v>58818.06</v>
      </c>
      <c r="O2089" s="720">
        <f t="shared" si="90"/>
        <v>0</v>
      </c>
    </row>
    <row r="2090" spans="1:15" outlineLevel="2" x14ac:dyDescent="0.25">
      <c r="A2090" s="207" t="str">
        <f>VLOOKUP(RIGHT(E2090,3)+0,SchLocTable!$A$2:$B$47,2,FALSE)</f>
        <v>High Horizons Magnet</v>
      </c>
      <c r="B2090" s="207" t="str">
        <f>VLOOKUP(VALUE(D2090),$D$3:F$106,3,FALSE)</f>
        <v>Special Education</v>
      </c>
      <c r="C2090" s="751" t="s">
        <v>246</v>
      </c>
      <c r="D2090" s="751" t="s">
        <v>686</v>
      </c>
      <c r="E2090" s="751" t="s">
        <v>717</v>
      </c>
      <c r="F2090" s="751" t="s">
        <v>248</v>
      </c>
      <c r="G2090" s="752">
        <v>1</v>
      </c>
      <c r="H2090" s="753">
        <v>51000</v>
      </c>
      <c r="I2090" s="754">
        <v>103153.2</v>
      </c>
      <c r="J2090" s="754">
        <v>0</v>
      </c>
      <c r="K2090" s="754">
        <v>0</v>
      </c>
      <c r="L2090" s="754">
        <v>19761.150000000001</v>
      </c>
      <c r="M2090" s="754">
        <f t="shared" si="89"/>
        <v>19761.150000000001</v>
      </c>
      <c r="N2090" s="756">
        <v>103153.2</v>
      </c>
      <c r="O2090" s="720">
        <f t="shared" si="90"/>
        <v>0</v>
      </c>
    </row>
    <row r="2091" spans="1:15" outlineLevel="2" x14ac:dyDescent="0.25">
      <c r="A2091" s="207" t="str">
        <f>VLOOKUP(RIGHT(E2091,3)+0,SchLocTable!$A$2:$B$47,2,FALSE)</f>
        <v>High Horizons Magnet</v>
      </c>
      <c r="B2091" s="207" t="str">
        <f>VLOOKUP(VALUE(D2091),$D$3:F$106,3,FALSE)</f>
        <v>Special Education</v>
      </c>
      <c r="C2091" s="751" t="s">
        <v>246</v>
      </c>
      <c r="D2091" s="751" t="s">
        <v>686</v>
      </c>
      <c r="E2091" s="751" t="s">
        <v>717</v>
      </c>
      <c r="F2091" s="751" t="s">
        <v>257</v>
      </c>
      <c r="G2091" s="752" t="s">
        <v>1681</v>
      </c>
      <c r="H2091" s="753">
        <v>51140</v>
      </c>
      <c r="I2091" s="754">
        <v>1800</v>
      </c>
      <c r="J2091" s="754">
        <v>0</v>
      </c>
      <c r="K2091" s="754">
        <v>0</v>
      </c>
      <c r="L2091" s="754">
        <v>0</v>
      </c>
      <c r="M2091" s="754">
        <f t="shared" si="89"/>
        <v>0</v>
      </c>
      <c r="N2091" s="756">
        <v>1800</v>
      </c>
      <c r="O2091" s="720">
        <f t="shared" si="90"/>
        <v>0</v>
      </c>
    </row>
    <row r="2092" spans="1:15" outlineLevel="2" x14ac:dyDescent="0.25">
      <c r="A2092" s="207" t="str">
        <f>VLOOKUP(RIGHT(E2092,3)+0,SchLocTable!$A$2:$B$47,2,FALSE)</f>
        <v>High Horizons Magnet</v>
      </c>
      <c r="B2092" s="207" t="str">
        <f>VLOOKUP(VALUE(D2092),$D$3:F$106,3,FALSE)</f>
        <v>Special Education</v>
      </c>
      <c r="C2092" s="751" t="s">
        <v>246</v>
      </c>
      <c r="D2092" s="751" t="s">
        <v>686</v>
      </c>
      <c r="E2092" s="751" t="s">
        <v>717</v>
      </c>
      <c r="F2092" s="751" t="s">
        <v>254</v>
      </c>
      <c r="G2092" s="752" t="s">
        <v>1681</v>
      </c>
      <c r="H2092" s="753">
        <v>52360</v>
      </c>
      <c r="I2092" s="754">
        <v>1483.4</v>
      </c>
      <c r="J2092" s="754">
        <v>0</v>
      </c>
      <c r="K2092" s="754">
        <v>0</v>
      </c>
      <c r="L2092" s="754">
        <v>274.22000000000003</v>
      </c>
      <c r="M2092" s="754">
        <f t="shared" si="89"/>
        <v>274.22000000000003</v>
      </c>
      <c r="N2092" s="756">
        <v>1483.4</v>
      </c>
      <c r="O2092" s="720">
        <f t="shared" si="90"/>
        <v>0</v>
      </c>
    </row>
    <row r="2093" spans="1:15" outlineLevel="2" x14ac:dyDescent="0.25">
      <c r="A2093" s="207" t="str">
        <f>VLOOKUP(RIGHT(E2093,3)+0,SchLocTable!$A$2:$B$47,2,FALSE)</f>
        <v>High Horizons Magnet</v>
      </c>
      <c r="B2093" s="207" t="str">
        <f>VLOOKUP(VALUE(D2093),$D$3:F$106,3,FALSE)</f>
        <v>Special Education</v>
      </c>
      <c r="C2093" s="755" t="s">
        <v>246</v>
      </c>
      <c r="D2093" s="751" t="s">
        <v>686</v>
      </c>
      <c r="E2093" s="751" t="s">
        <v>717</v>
      </c>
      <c r="F2093" s="751" t="s">
        <v>259</v>
      </c>
      <c r="G2093" s="752" t="s">
        <v>1681</v>
      </c>
      <c r="H2093" s="753">
        <v>52917</v>
      </c>
      <c r="I2093" s="754">
        <v>12283.32</v>
      </c>
      <c r="J2093" s="754">
        <v>0</v>
      </c>
      <c r="K2093" s="754">
        <v>0</v>
      </c>
      <c r="L2093" s="754">
        <v>2924.6</v>
      </c>
      <c r="M2093" s="754">
        <f t="shared" si="89"/>
        <v>2924.6</v>
      </c>
      <c r="N2093" s="756">
        <v>12283.32</v>
      </c>
      <c r="O2093" s="720">
        <f t="shared" si="90"/>
        <v>0</v>
      </c>
    </row>
    <row r="2094" spans="1:15" outlineLevel="2" x14ac:dyDescent="0.25">
      <c r="A2094" s="207" t="str">
        <f>VLOOKUP(RIGHT(E2094,3)+0,SchLocTable!$A$2:$B$47,2,FALSE)</f>
        <v>Multicultural Magnet</v>
      </c>
      <c r="B2094" s="207" t="str">
        <f>VLOOKUP(VALUE(D2094),$D$3:F$106,3,FALSE)</f>
        <v>Special Education</v>
      </c>
      <c r="C2094" s="751" t="s">
        <v>246</v>
      </c>
      <c r="D2094" s="751" t="s">
        <v>686</v>
      </c>
      <c r="E2094" s="751" t="s">
        <v>718</v>
      </c>
      <c r="F2094" s="751" t="s">
        <v>248</v>
      </c>
      <c r="G2094" s="752">
        <v>2</v>
      </c>
      <c r="H2094" s="753">
        <v>51000</v>
      </c>
      <c r="I2094" s="754">
        <v>159405.75</v>
      </c>
      <c r="J2094" s="754">
        <v>0</v>
      </c>
      <c r="K2094" s="754">
        <v>0</v>
      </c>
      <c r="L2094" s="754">
        <v>30537.5</v>
      </c>
      <c r="M2094" s="754">
        <f t="shared" si="89"/>
        <v>30537.5</v>
      </c>
      <c r="N2094" s="756">
        <v>159405.75</v>
      </c>
      <c r="O2094" s="720">
        <f t="shared" si="90"/>
        <v>0</v>
      </c>
    </row>
    <row r="2095" spans="1:15" outlineLevel="2" x14ac:dyDescent="0.25">
      <c r="A2095" s="207" t="str">
        <f>VLOOKUP(RIGHT(E2095,3)+0,SchLocTable!$A$2:$B$47,2,FALSE)</f>
        <v>Multicultural Magnet</v>
      </c>
      <c r="B2095" s="207" t="str">
        <f>VLOOKUP(VALUE(D2095),$D$3:F$106,3,FALSE)</f>
        <v>Special Education</v>
      </c>
      <c r="C2095" s="751" t="s">
        <v>246</v>
      </c>
      <c r="D2095" s="751" t="s">
        <v>686</v>
      </c>
      <c r="E2095" s="751" t="s">
        <v>718</v>
      </c>
      <c r="F2095" s="751" t="s">
        <v>254</v>
      </c>
      <c r="G2095" s="752" t="s">
        <v>1681</v>
      </c>
      <c r="H2095" s="753">
        <v>52360</v>
      </c>
      <c r="I2095" s="754">
        <v>2284.41</v>
      </c>
      <c r="J2095" s="754">
        <v>0</v>
      </c>
      <c r="K2095" s="754">
        <v>0</v>
      </c>
      <c r="L2095" s="754">
        <v>415.82</v>
      </c>
      <c r="M2095" s="754">
        <f t="shared" si="89"/>
        <v>415.82</v>
      </c>
      <c r="N2095" s="756">
        <v>2284.41</v>
      </c>
      <c r="O2095" s="720">
        <f t="shared" si="90"/>
        <v>0</v>
      </c>
    </row>
    <row r="2096" spans="1:15" outlineLevel="2" x14ac:dyDescent="0.25">
      <c r="A2096" s="207" t="str">
        <f>VLOOKUP(RIGHT(E2096,3)+0,SchLocTable!$A$2:$B$47,2,FALSE)</f>
        <v>Multicultural Magnet</v>
      </c>
      <c r="B2096" s="207" t="str">
        <f>VLOOKUP(VALUE(D2096),$D$3:F$106,3,FALSE)</f>
        <v>Special Education</v>
      </c>
      <c r="C2096" s="751" t="s">
        <v>246</v>
      </c>
      <c r="D2096" s="751" t="s">
        <v>686</v>
      </c>
      <c r="E2096" s="751" t="s">
        <v>718</v>
      </c>
      <c r="F2096" s="751" t="s">
        <v>259</v>
      </c>
      <c r="G2096" s="752" t="s">
        <v>1681</v>
      </c>
      <c r="H2096" s="753">
        <v>52917</v>
      </c>
      <c r="I2096" s="754">
        <v>23688</v>
      </c>
      <c r="J2096" s="754">
        <v>0</v>
      </c>
      <c r="K2096" s="754">
        <v>0</v>
      </c>
      <c r="L2096" s="754">
        <v>5640</v>
      </c>
      <c r="M2096" s="754">
        <f t="shared" si="89"/>
        <v>5640</v>
      </c>
      <c r="N2096" s="756">
        <v>23688</v>
      </c>
      <c r="O2096" s="720">
        <f t="shared" si="90"/>
        <v>0</v>
      </c>
    </row>
    <row r="2097" spans="1:15" outlineLevel="2" x14ac:dyDescent="0.25">
      <c r="A2097" s="207" t="str">
        <f>VLOOKUP(RIGHT(E2097,3)+0,SchLocTable!$A$2:$B$47,2,FALSE)</f>
        <v>Bassick HS</v>
      </c>
      <c r="B2097" s="207" t="str">
        <f>VLOOKUP(VALUE(D2097),$D$3:F$106,3,FALSE)</f>
        <v>Special Education</v>
      </c>
      <c r="C2097" s="751" t="s">
        <v>246</v>
      </c>
      <c r="D2097" s="751" t="s">
        <v>686</v>
      </c>
      <c r="E2097" s="751" t="s">
        <v>719</v>
      </c>
      <c r="F2097" s="751" t="s">
        <v>248</v>
      </c>
      <c r="G2097" s="752">
        <v>11</v>
      </c>
      <c r="H2097" s="753">
        <v>51000</v>
      </c>
      <c r="I2097" s="754">
        <v>745229.08</v>
      </c>
      <c r="J2097" s="754">
        <v>0</v>
      </c>
      <c r="K2097" s="754">
        <v>0</v>
      </c>
      <c r="L2097" s="754">
        <v>154932.57999999999</v>
      </c>
      <c r="M2097" s="754">
        <f t="shared" si="89"/>
        <v>154932.57999999999</v>
      </c>
      <c r="N2097" s="756">
        <v>745229.08</v>
      </c>
      <c r="O2097" s="720">
        <f t="shared" si="90"/>
        <v>0</v>
      </c>
    </row>
    <row r="2098" spans="1:15" outlineLevel="2" x14ac:dyDescent="0.25">
      <c r="A2098" s="207" t="str">
        <f>VLOOKUP(RIGHT(E2098,3)+0,SchLocTable!$A$2:$B$47,2,FALSE)</f>
        <v>Bassick HS</v>
      </c>
      <c r="B2098" s="207" t="str">
        <f>VLOOKUP(VALUE(D2098),$D$3:F$106,3,FALSE)</f>
        <v>Special Education</v>
      </c>
      <c r="C2098" s="751" t="s">
        <v>246</v>
      </c>
      <c r="D2098" s="751" t="s">
        <v>686</v>
      </c>
      <c r="E2098" s="751" t="s">
        <v>719</v>
      </c>
      <c r="F2098" s="751" t="s">
        <v>257</v>
      </c>
      <c r="G2098" s="752" t="s">
        <v>1681</v>
      </c>
      <c r="H2098" s="753">
        <v>51140</v>
      </c>
      <c r="I2098" s="754">
        <v>6800</v>
      </c>
      <c r="J2098" s="754">
        <v>0</v>
      </c>
      <c r="K2098" s="754">
        <v>0</v>
      </c>
      <c r="L2098" s="754">
        <v>0</v>
      </c>
      <c r="M2098" s="754">
        <f t="shared" si="89"/>
        <v>0</v>
      </c>
      <c r="N2098" s="756">
        <v>6800</v>
      </c>
      <c r="O2098" s="720">
        <f t="shared" si="90"/>
        <v>0</v>
      </c>
    </row>
    <row r="2099" spans="1:15" outlineLevel="2" x14ac:dyDescent="0.25">
      <c r="A2099" s="207" t="str">
        <f>VLOOKUP(RIGHT(E2099,3)+0,SchLocTable!$A$2:$B$47,2,FALSE)</f>
        <v>Bassick HS</v>
      </c>
      <c r="B2099" s="207" t="str">
        <f>VLOOKUP(VALUE(D2099),$D$3:F$106,3,FALSE)</f>
        <v>Special Education</v>
      </c>
      <c r="C2099" s="755" t="s">
        <v>246</v>
      </c>
      <c r="D2099" s="751" t="s">
        <v>686</v>
      </c>
      <c r="E2099" s="751" t="s">
        <v>719</v>
      </c>
      <c r="F2099" s="751" t="s">
        <v>254</v>
      </c>
      <c r="G2099" s="752" t="s">
        <v>1681</v>
      </c>
      <c r="H2099" s="753">
        <v>52360</v>
      </c>
      <c r="I2099" s="754">
        <v>10616.07</v>
      </c>
      <c r="J2099" s="754">
        <v>0</v>
      </c>
      <c r="K2099" s="754">
        <v>0</v>
      </c>
      <c r="L2099" s="754">
        <v>2056.77</v>
      </c>
      <c r="M2099" s="754">
        <f t="shared" si="89"/>
        <v>2056.77</v>
      </c>
      <c r="N2099" s="756">
        <v>10616.07</v>
      </c>
      <c r="O2099" s="720">
        <f t="shared" si="90"/>
        <v>0</v>
      </c>
    </row>
    <row r="2100" spans="1:15" outlineLevel="2" x14ac:dyDescent="0.25">
      <c r="A2100" s="207" t="str">
        <f>VLOOKUP(RIGHT(E2100,3)+0,SchLocTable!$A$2:$B$47,2,FALSE)</f>
        <v>Bassick HS</v>
      </c>
      <c r="B2100" s="207" t="str">
        <f>VLOOKUP(VALUE(D2100),$D$3:F$106,3,FALSE)</f>
        <v>Special Education</v>
      </c>
      <c r="C2100" s="751" t="s">
        <v>246</v>
      </c>
      <c r="D2100" s="751" t="s">
        <v>686</v>
      </c>
      <c r="E2100" s="751" t="s">
        <v>719</v>
      </c>
      <c r="F2100" s="751" t="s">
        <v>292</v>
      </c>
      <c r="G2100" s="752" t="s">
        <v>1681</v>
      </c>
      <c r="H2100" s="753">
        <v>52385</v>
      </c>
      <c r="I2100" s="754">
        <v>496</v>
      </c>
      <c r="J2100" s="754">
        <v>0</v>
      </c>
      <c r="K2100" s="754">
        <v>0</v>
      </c>
      <c r="L2100" s="754">
        <v>496</v>
      </c>
      <c r="M2100" s="754">
        <f t="shared" si="89"/>
        <v>496</v>
      </c>
      <c r="N2100" s="756">
        <v>496</v>
      </c>
      <c r="O2100" s="720">
        <f t="shared" si="90"/>
        <v>0</v>
      </c>
    </row>
    <row r="2101" spans="1:15" outlineLevel="2" x14ac:dyDescent="0.25">
      <c r="A2101" s="207" t="str">
        <f>VLOOKUP(RIGHT(E2101,3)+0,SchLocTable!$A$2:$B$47,2,FALSE)</f>
        <v>Bassick HS</v>
      </c>
      <c r="B2101" s="207" t="str">
        <f>VLOOKUP(VALUE(D2101),$D$3:F$106,3,FALSE)</f>
        <v>Special Education</v>
      </c>
      <c r="C2101" s="751" t="s">
        <v>246</v>
      </c>
      <c r="D2101" s="751" t="s">
        <v>686</v>
      </c>
      <c r="E2101" s="751" t="s">
        <v>719</v>
      </c>
      <c r="F2101" s="751" t="s">
        <v>259</v>
      </c>
      <c r="G2101" s="752" t="s">
        <v>1681</v>
      </c>
      <c r="H2101" s="753">
        <v>52917</v>
      </c>
      <c r="I2101" s="754">
        <v>163740.32999999999</v>
      </c>
      <c r="J2101" s="754">
        <v>0</v>
      </c>
      <c r="K2101" s="754">
        <v>0</v>
      </c>
      <c r="L2101" s="754">
        <v>44076.17</v>
      </c>
      <c r="M2101" s="754">
        <f t="shared" si="89"/>
        <v>44076.17</v>
      </c>
      <c r="N2101" s="756">
        <v>163740.32999999999</v>
      </c>
      <c r="O2101" s="720">
        <f t="shared" si="90"/>
        <v>0</v>
      </c>
    </row>
    <row r="2102" spans="1:15" outlineLevel="2" x14ac:dyDescent="0.25">
      <c r="A2102" s="207" t="str">
        <f>VLOOKUP(RIGHT(E2102,3)+0,SchLocTable!$A$2:$B$47,2,FALSE)</f>
        <v>Central HS</v>
      </c>
      <c r="B2102" s="207" t="str">
        <f>VLOOKUP(VALUE(D2102),$D$3:F$106,3,FALSE)</f>
        <v>Special Education</v>
      </c>
      <c r="C2102" s="751" t="s">
        <v>246</v>
      </c>
      <c r="D2102" s="751" t="s">
        <v>686</v>
      </c>
      <c r="E2102" s="751" t="s">
        <v>720</v>
      </c>
      <c r="F2102" s="751" t="s">
        <v>248</v>
      </c>
      <c r="G2102" s="752">
        <v>9</v>
      </c>
      <c r="H2102" s="753">
        <v>51000</v>
      </c>
      <c r="I2102" s="754">
        <v>748871.45</v>
      </c>
      <c r="J2102" s="754">
        <v>0</v>
      </c>
      <c r="K2102" s="754">
        <v>0</v>
      </c>
      <c r="L2102" s="754">
        <v>148714.26</v>
      </c>
      <c r="M2102" s="754">
        <f t="shared" si="89"/>
        <v>148714.26</v>
      </c>
      <c r="N2102" s="756">
        <v>748871.45</v>
      </c>
      <c r="O2102" s="720">
        <f t="shared" si="90"/>
        <v>0</v>
      </c>
    </row>
    <row r="2103" spans="1:15" outlineLevel="2" x14ac:dyDescent="0.25">
      <c r="A2103" s="207" t="str">
        <f>VLOOKUP(RIGHT(E2103,3)+0,SchLocTable!$A$2:$B$47,2,FALSE)</f>
        <v>Central HS</v>
      </c>
      <c r="B2103" s="207" t="str">
        <f>VLOOKUP(VALUE(D2103),$D$3:F$106,3,FALSE)</f>
        <v>Special Education</v>
      </c>
      <c r="C2103" s="755" t="s">
        <v>246</v>
      </c>
      <c r="D2103" s="751" t="s">
        <v>686</v>
      </c>
      <c r="E2103" s="751" t="s">
        <v>720</v>
      </c>
      <c r="F2103" s="751" t="s">
        <v>257</v>
      </c>
      <c r="G2103" s="752" t="s">
        <v>1681</v>
      </c>
      <c r="H2103" s="753">
        <v>51140</v>
      </c>
      <c r="I2103" s="754">
        <v>6200</v>
      </c>
      <c r="J2103" s="754">
        <v>0</v>
      </c>
      <c r="K2103" s="754">
        <v>0</v>
      </c>
      <c r="L2103" s="754">
        <v>0</v>
      </c>
      <c r="M2103" s="754">
        <f t="shared" si="89"/>
        <v>0</v>
      </c>
      <c r="N2103" s="756">
        <v>6200</v>
      </c>
      <c r="O2103" s="720">
        <f t="shared" si="90"/>
        <v>0</v>
      </c>
    </row>
    <row r="2104" spans="1:15" outlineLevel="2" x14ac:dyDescent="0.25">
      <c r="A2104" s="207" t="str">
        <f>VLOOKUP(RIGHT(E2104,3)+0,SchLocTable!$A$2:$B$47,2,FALSE)</f>
        <v>Central HS</v>
      </c>
      <c r="B2104" s="207" t="str">
        <f>VLOOKUP(VALUE(D2104),$D$3:F$106,3,FALSE)</f>
        <v>Special Education</v>
      </c>
      <c r="C2104" s="751" t="s">
        <v>246</v>
      </c>
      <c r="D2104" s="751" t="s">
        <v>686</v>
      </c>
      <c r="E2104" s="751" t="s">
        <v>720</v>
      </c>
      <c r="F2104" s="751" t="s">
        <v>252</v>
      </c>
      <c r="G2104" s="752" t="s">
        <v>1681</v>
      </c>
      <c r="H2104" s="753">
        <v>51154</v>
      </c>
      <c r="I2104" s="754">
        <v>0</v>
      </c>
      <c r="J2104" s="754">
        <v>0</v>
      </c>
      <c r="K2104" s="754">
        <v>0</v>
      </c>
      <c r="L2104" s="754">
        <v>0</v>
      </c>
      <c r="M2104" s="754">
        <f t="shared" si="89"/>
        <v>0</v>
      </c>
      <c r="N2104" s="756">
        <v>0</v>
      </c>
      <c r="O2104" s="720">
        <f t="shared" si="90"/>
        <v>0</v>
      </c>
    </row>
    <row r="2105" spans="1:15" outlineLevel="2" x14ac:dyDescent="0.25">
      <c r="A2105" s="207" t="str">
        <f>VLOOKUP(RIGHT(E2105,3)+0,SchLocTable!$A$2:$B$47,2,FALSE)</f>
        <v>Central HS</v>
      </c>
      <c r="B2105" s="207" t="str">
        <f>VLOOKUP(VALUE(D2105),$D$3:F$106,3,FALSE)</f>
        <v>Special Education</v>
      </c>
      <c r="C2105" s="751" t="s">
        <v>246</v>
      </c>
      <c r="D2105" s="751" t="s">
        <v>686</v>
      </c>
      <c r="E2105" s="751" t="s">
        <v>720</v>
      </c>
      <c r="F2105" s="751" t="s">
        <v>254</v>
      </c>
      <c r="G2105" s="752" t="s">
        <v>1681</v>
      </c>
      <c r="H2105" s="753">
        <v>52360</v>
      </c>
      <c r="I2105" s="754">
        <v>10669.42</v>
      </c>
      <c r="J2105" s="754">
        <v>0</v>
      </c>
      <c r="K2105" s="754">
        <v>0</v>
      </c>
      <c r="L2105" s="754">
        <v>1967.14</v>
      </c>
      <c r="M2105" s="754">
        <f t="shared" si="89"/>
        <v>1967.14</v>
      </c>
      <c r="N2105" s="756">
        <v>10669.42</v>
      </c>
      <c r="O2105" s="720">
        <f t="shared" si="90"/>
        <v>0</v>
      </c>
    </row>
    <row r="2106" spans="1:15" outlineLevel="2" x14ac:dyDescent="0.25">
      <c r="A2106" s="207" t="str">
        <f>VLOOKUP(RIGHT(E2106,3)+0,SchLocTable!$A$2:$B$47,2,FALSE)</f>
        <v>Central HS</v>
      </c>
      <c r="B2106" s="207" t="str">
        <f>VLOOKUP(VALUE(D2106),$D$3:F$106,3,FALSE)</f>
        <v>Special Education</v>
      </c>
      <c r="C2106" s="751" t="s">
        <v>246</v>
      </c>
      <c r="D2106" s="751" t="s">
        <v>686</v>
      </c>
      <c r="E2106" s="751" t="s">
        <v>720</v>
      </c>
      <c r="F2106" s="751" t="s">
        <v>292</v>
      </c>
      <c r="G2106" s="752" t="s">
        <v>1681</v>
      </c>
      <c r="H2106" s="753">
        <v>52385</v>
      </c>
      <c r="I2106" s="754">
        <v>3103.22</v>
      </c>
      <c r="J2106" s="754">
        <v>0</v>
      </c>
      <c r="K2106" s="754">
        <v>0</v>
      </c>
      <c r="L2106" s="754">
        <v>764.7</v>
      </c>
      <c r="M2106" s="754">
        <f t="shared" si="89"/>
        <v>764.7</v>
      </c>
      <c r="N2106" s="756">
        <v>3103.22</v>
      </c>
      <c r="O2106" s="720">
        <f t="shared" si="90"/>
        <v>0</v>
      </c>
    </row>
    <row r="2107" spans="1:15" outlineLevel="2" x14ac:dyDescent="0.25">
      <c r="A2107" s="207" t="str">
        <f>VLOOKUP(RIGHT(E2107,3)+0,SchLocTable!$A$2:$B$47,2,FALSE)</f>
        <v>Central HS</v>
      </c>
      <c r="B2107" s="207" t="str">
        <f>VLOOKUP(VALUE(D2107),$D$3:F$106,3,FALSE)</f>
        <v>Special Education</v>
      </c>
      <c r="C2107" s="751" t="s">
        <v>246</v>
      </c>
      <c r="D2107" s="751" t="s">
        <v>686</v>
      </c>
      <c r="E2107" s="751" t="s">
        <v>720</v>
      </c>
      <c r="F2107" s="751" t="s">
        <v>806</v>
      </c>
      <c r="G2107" s="752" t="s">
        <v>1681</v>
      </c>
      <c r="H2107" s="753">
        <v>52397</v>
      </c>
      <c r="I2107" s="754">
        <v>0</v>
      </c>
      <c r="J2107" s="754">
        <v>0</v>
      </c>
      <c r="K2107" s="754">
        <v>0</v>
      </c>
      <c r="L2107" s="754">
        <v>0</v>
      </c>
      <c r="M2107" s="754">
        <f t="shared" si="89"/>
        <v>0</v>
      </c>
      <c r="N2107" s="756">
        <v>0</v>
      </c>
      <c r="O2107" s="720">
        <f t="shared" si="90"/>
        <v>0</v>
      </c>
    </row>
    <row r="2108" spans="1:15" outlineLevel="2" x14ac:dyDescent="0.25">
      <c r="A2108" s="207" t="str">
        <f>VLOOKUP(RIGHT(E2108,3)+0,SchLocTable!$A$2:$B$47,2,FALSE)</f>
        <v>Central HS</v>
      </c>
      <c r="B2108" s="207" t="str">
        <f>VLOOKUP(VALUE(D2108),$D$3:F$106,3,FALSE)</f>
        <v>Special Education</v>
      </c>
      <c r="C2108" s="751" t="s">
        <v>246</v>
      </c>
      <c r="D2108" s="751" t="s">
        <v>686</v>
      </c>
      <c r="E2108" s="751" t="s">
        <v>720</v>
      </c>
      <c r="F2108" s="751" t="s">
        <v>259</v>
      </c>
      <c r="G2108" s="752" t="s">
        <v>1681</v>
      </c>
      <c r="H2108" s="753">
        <v>52917</v>
      </c>
      <c r="I2108" s="754">
        <v>183910.44</v>
      </c>
      <c r="J2108" s="754">
        <v>0</v>
      </c>
      <c r="K2108" s="754">
        <v>0</v>
      </c>
      <c r="L2108" s="754">
        <v>41006.36</v>
      </c>
      <c r="M2108" s="754">
        <f t="shared" si="89"/>
        <v>41006.36</v>
      </c>
      <c r="N2108" s="756">
        <v>183910.44</v>
      </c>
      <c r="O2108" s="720">
        <f t="shared" si="90"/>
        <v>0</v>
      </c>
    </row>
    <row r="2109" spans="1:15" outlineLevel="2" x14ac:dyDescent="0.25">
      <c r="A2109" s="207" t="str">
        <f>VLOOKUP(RIGHT(E2109,3)+0,SchLocTable!$A$2:$B$47,2,FALSE)</f>
        <v>Harding HS</v>
      </c>
      <c r="B2109" s="207" t="str">
        <f>VLOOKUP(VALUE(D2109),$D$3:F$106,3,FALSE)</f>
        <v>Special Education</v>
      </c>
      <c r="C2109" s="751" t="s">
        <v>246</v>
      </c>
      <c r="D2109" s="751" t="s">
        <v>686</v>
      </c>
      <c r="E2109" s="751" t="s">
        <v>721</v>
      </c>
      <c r="F2109" s="751" t="s">
        <v>248</v>
      </c>
      <c r="G2109" s="752">
        <v>12</v>
      </c>
      <c r="H2109" s="753">
        <v>51000</v>
      </c>
      <c r="I2109" s="754">
        <v>1035442.8</v>
      </c>
      <c r="J2109" s="754">
        <v>0</v>
      </c>
      <c r="K2109" s="754">
        <v>0</v>
      </c>
      <c r="L2109" s="754">
        <v>200806.1</v>
      </c>
      <c r="M2109" s="754">
        <f t="shared" si="89"/>
        <v>200806.1</v>
      </c>
      <c r="N2109" s="756">
        <v>1035442.8</v>
      </c>
      <c r="O2109" s="720">
        <f t="shared" si="90"/>
        <v>0</v>
      </c>
    </row>
    <row r="2110" spans="1:15" outlineLevel="2" x14ac:dyDescent="0.25">
      <c r="A2110" s="207" t="str">
        <f>VLOOKUP(RIGHT(E2110,3)+0,SchLocTable!$A$2:$B$47,2,FALSE)</f>
        <v>Harding HS</v>
      </c>
      <c r="B2110" s="207" t="str">
        <f>VLOOKUP(VALUE(D2110),$D$3:F$106,3,FALSE)</f>
        <v>Special Education</v>
      </c>
      <c r="C2110" s="751" t="s">
        <v>246</v>
      </c>
      <c r="D2110" s="751" t="s">
        <v>686</v>
      </c>
      <c r="E2110" s="751" t="s">
        <v>721</v>
      </c>
      <c r="F2110" s="751" t="s">
        <v>257</v>
      </c>
      <c r="G2110" s="752" t="s">
        <v>1681</v>
      </c>
      <c r="H2110" s="753">
        <v>51140</v>
      </c>
      <c r="I2110" s="754">
        <v>4000</v>
      </c>
      <c r="J2110" s="754">
        <v>0</v>
      </c>
      <c r="K2110" s="754">
        <v>0</v>
      </c>
      <c r="L2110" s="754">
        <v>0</v>
      </c>
      <c r="M2110" s="754">
        <f t="shared" si="89"/>
        <v>0</v>
      </c>
      <c r="N2110" s="756">
        <v>4000</v>
      </c>
      <c r="O2110" s="720">
        <f t="shared" si="90"/>
        <v>0</v>
      </c>
    </row>
    <row r="2111" spans="1:15" outlineLevel="2" x14ac:dyDescent="0.25">
      <c r="A2111" s="207" t="str">
        <f>VLOOKUP(RIGHT(E2111,3)+0,SchLocTable!$A$2:$B$47,2,FALSE)</f>
        <v>Harding HS</v>
      </c>
      <c r="B2111" s="207" t="str">
        <f>VLOOKUP(VALUE(D2111),$D$3:F$106,3,FALSE)</f>
        <v>Special Education</v>
      </c>
      <c r="C2111" s="751" t="s">
        <v>246</v>
      </c>
      <c r="D2111" s="751" t="s">
        <v>686</v>
      </c>
      <c r="E2111" s="751" t="s">
        <v>721</v>
      </c>
      <c r="F2111" s="751" t="s">
        <v>254</v>
      </c>
      <c r="G2111" s="752" t="s">
        <v>1681</v>
      </c>
      <c r="H2111" s="753">
        <v>52360</v>
      </c>
      <c r="I2111" s="754">
        <v>14644.01</v>
      </c>
      <c r="J2111" s="754">
        <v>0</v>
      </c>
      <c r="K2111" s="754">
        <v>0</v>
      </c>
      <c r="L2111" s="754">
        <v>2541.7800000000002</v>
      </c>
      <c r="M2111" s="754">
        <f t="shared" ref="M2111:M2174" si="91">SUM(J2111:L2111)</f>
        <v>2541.7800000000002</v>
      </c>
      <c r="N2111" s="756">
        <v>14644.01</v>
      </c>
      <c r="O2111" s="720">
        <f t="shared" ref="O2111:O2174" si="92">I2111-N2111</f>
        <v>0</v>
      </c>
    </row>
    <row r="2112" spans="1:15" outlineLevel="2" x14ac:dyDescent="0.25">
      <c r="A2112" s="207" t="str">
        <f>VLOOKUP(RIGHT(E2112,3)+0,SchLocTable!$A$2:$B$47,2,FALSE)</f>
        <v>Harding HS</v>
      </c>
      <c r="B2112" s="207" t="str">
        <f>VLOOKUP(VALUE(D2112),$D$3:F$106,3,FALSE)</f>
        <v>Special Education</v>
      </c>
      <c r="C2112" s="751" t="s">
        <v>246</v>
      </c>
      <c r="D2112" s="751" t="s">
        <v>686</v>
      </c>
      <c r="E2112" s="751" t="s">
        <v>721</v>
      </c>
      <c r="F2112" s="751" t="s">
        <v>259</v>
      </c>
      <c r="G2112" s="752" t="s">
        <v>1681</v>
      </c>
      <c r="H2112" s="753">
        <v>52917</v>
      </c>
      <c r="I2112" s="754">
        <v>360811.92</v>
      </c>
      <c r="J2112" s="754">
        <v>0</v>
      </c>
      <c r="K2112" s="754">
        <v>0</v>
      </c>
      <c r="L2112" s="754">
        <v>85907.6</v>
      </c>
      <c r="M2112" s="754">
        <f t="shared" si="91"/>
        <v>85907.6</v>
      </c>
      <c r="N2112" s="756">
        <v>360811.92</v>
      </c>
      <c r="O2112" s="720">
        <f t="shared" si="92"/>
        <v>0</v>
      </c>
    </row>
    <row r="2113" spans="1:15" outlineLevel="2" x14ac:dyDescent="0.25">
      <c r="A2113" s="207" t="e">
        <f>VLOOKUP(RIGHT(E2113,3)+0,SchLocTable!$A$2:$B$47,2,FALSE)</f>
        <v>#N/A</v>
      </c>
      <c r="B2113" s="207" t="str">
        <f>VLOOKUP(VALUE(D2113),$D$3:F$106,3,FALSE)</f>
        <v>SPED Administrators</v>
      </c>
      <c r="C2113" s="751" t="s">
        <v>246</v>
      </c>
      <c r="D2113" s="751" t="s">
        <v>722</v>
      </c>
      <c r="E2113" s="751" t="s">
        <v>723</v>
      </c>
      <c r="F2113" s="751" t="s">
        <v>248</v>
      </c>
      <c r="G2113" s="752">
        <v>3</v>
      </c>
      <c r="H2113" s="753">
        <v>51000</v>
      </c>
      <c r="I2113" s="754">
        <v>456396.91</v>
      </c>
      <c r="J2113" s="754">
        <v>0</v>
      </c>
      <c r="K2113" s="754">
        <v>0</v>
      </c>
      <c r="L2113" s="754">
        <v>115738.26</v>
      </c>
      <c r="M2113" s="754">
        <f t="shared" si="91"/>
        <v>115738.26</v>
      </c>
      <c r="N2113" s="756">
        <v>456396.91</v>
      </c>
      <c r="O2113" s="720">
        <f t="shared" si="92"/>
        <v>0</v>
      </c>
    </row>
    <row r="2114" spans="1:15" outlineLevel="2" x14ac:dyDescent="0.25">
      <c r="A2114" s="207" t="e">
        <f>VLOOKUP(RIGHT(E2114,3)+0,SchLocTable!$A$2:$B$47,2,FALSE)</f>
        <v>#N/A</v>
      </c>
      <c r="B2114" s="207" t="str">
        <f>VLOOKUP(VALUE(D2114),$D$3:F$106,3,FALSE)</f>
        <v>SPED Administrators</v>
      </c>
      <c r="C2114" s="755" t="s">
        <v>246</v>
      </c>
      <c r="D2114" s="751" t="s">
        <v>722</v>
      </c>
      <c r="E2114" s="751" t="s">
        <v>723</v>
      </c>
      <c r="F2114" s="751" t="s">
        <v>257</v>
      </c>
      <c r="G2114" s="752" t="s">
        <v>1681</v>
      </c>
      <c r="H2114" s="753">
        <v>51140</v>
      </c>
      <c r="I2114" s="754">
        <v>2400</v>
      </c>
      <c r="J2114" s="754">
        <v>0</v>
      </c>
      <c r="K2114" s="754">
        <v>0</v>
      </c>
      <c r="L2114" s="754">
        <v>0</v>
      </c>
      <c r="M2114" s="754">
        <f t="shared" si="91"/>
        <v>0</v>
      </c>
      <c r="N2114" s="756">
        <v>2400</v>
      </c>
      <c r="O2114" s="720">
        <f t="shared" si="92"/>
        <v>0</v>
      </c>
    </row>
    <row r="2115" spans="1:15" outlineLevel="2" x14ac:dyDescent="0.25">
      <c r="A2115" s="207" t="e">
        <f>VLOOKUP(RIGHT(E2115,3)+0,SchLocTable!$A$2:$B$47,2,FALSE)</f>
        <v>#N/A</v>
      </c>
      <c r="B2115" s="207" t="str">
        <f>VLOOKUP(VALUE(D2115),$D$3:F$106,3,FALSE)</f>
        <v>SPED Administrators</v>
      </c>
      <c r="C2115" s="751" t="s">
        <v>246</v>
      </c>
      <c r="D2115" s="751" t="s">
        <v>722</v>
      </c>
      <c r="E2115" s="751" t="s">
        <v>723</v>
      </c>
      <c r="F2115" s="751" t="s">
        <v>402</v>
      </c>
      <c r="G2115" s="752" t="s">
        <v>1681</v>
      </c>
      <c r="H2115" s="753">
        <v>51400</v>
      </c>
      <c r="I2115" s="754">
        <v>0</v>
      </c>
      <c r="J2115" s="754">
        <v>0</v>
      </c>
      <c r="K2115" s="754">
        <v>0</v>
      </c>
      <c r="L2115" s="754">
        <v>0</v>
      </c>
      <c r="M2115" s="754">
        <f t="shared" si="91"/>
        <v>0</v>
      </c>
      <c r="N2115" s="756">
        <v>0</v>
      </c>
      <c r="O2115" s="720">
        <f t="shared" si="92"/>
        <v>0</v>
      </c>
    </row>
    <row r="2116" spans="1:15" outlineLevel="2" x14ac:dyDescent="0.25">
      <c r="A2116" s="207" t="e">
        <f>VLOOKUP(RIGHT(E2116,3)+0,SchLocTable!$A$2:$B$47,2,FALSE)</f>
        <v>#N/A</v>
      </c>
      <c r="B2116" s="207" t="str">
        <f>VLOOKUP(VALUE(D2116),$D$3:F$106,3,FALSE)</f>
        <v>SPED Administrators</v>
      </c>
      <c r="C2116" s="751" t="s">
        <v>246</v>
      </c>
      <c r="D2116" s="751" t="s">
        <v>722</v>
      </c>
      <c r="E2116" s="751" t="s">
        <v>723</v>
      </c>
      <c r="F2116" s="751" t="s">
        <v>454</v>
      </c>
      <c r="G2116" s="752" t="s">
        <v>1681</v>
      </c>
      <c r="H2116" s="753">
        <v>51404</v>
      </c>
      <c r="I2116" s="754">
        <v>350</v>
      </c>
      <c r="J2116" s="754">
        <v>0</v>
      </c>
      <c r="K2116" s="754">
        <v>0</v>
      </c>
      <c r="L2116" s="754">
        <v>350</v>
      </c>
      <c r="M2116" s="754">
        <f t="shared" si="91"/>
        <v>350</v>
      </c>
      <c r="N2116" s="756">
        <v>350</v>
      </c>
      <c r="O2116" s="720">
        <f t="shared" si="92"/>
        <v>0</v>
      </c>
    </row>
    <row r="2117" spans="1:15" outlineLevel="2" x14ac:dyDescent="0.25">
      <c r="A2117" s="207" t="e">
        <f>VLOOKUP(RIGHT(E2117,3)+0,SchLocTable!$A$2:$B$47,2,FALSE)</f>
        <v>#N/A</v>
      </c>
      <c r="B2117" s="207" t="str">
        <f>VLOOKUP(VALUE(D2117),$D$3:F$106,3,FALSE)</f>
        <v>SPED Administrators</v>
      </c>
      <c r="C2117" s="751" t="s">
        <v>246</v>
      </c>
      <c r="D2117" s="751" t="s">
        <v>722</v>
      </c>
      <c r="E2117" s="751" t="s">
        <v>723</v>
      </c>
      <c r="F2117" s="751" t="s">
        <v>254</v>
      </c>
      <c r="G2117" s="752" t="s">
        <v>1681</v>
      </c>
      <c r="H2117" s="753">
        <v>52360</v>
      </c>
      <c r="I2117" s="754">
        <v>6557.68</v>
      </c>
      <c r="J2117" s="754">
        <v>0</v>
      </c>
      <c r="K2117" s="754">
        <v>0</v>
      </c>
      <c r="L2117" s="754">
        <v>1618.13</v>
      </c>
      <c r="M2117" s="754">
        <f t="shared" si="91"/>
        <v>1618.13</v>
      </c>
      <c r="N2117" s="756">
        <v>6557.68</v>
      </c>
      <c r="O2117" s="720">
        <f t="shared" si="92"/>
        <v>0</v>
      </c>
    </row>
    <row r="2118" spans="1:15" outlineLevel="2" x14ac:dyDescent="0.25">
      <c r="A2118" s="207" t="e">
        <f>VLOOKUP(RIGHT(E2118,3)+0,SchLocTable!$A$2:$B$47,2,FALSE)</f>
        <v>#N/A</v>
      </c>
      <c r="B2118" s="207" t="str">
        <f>VLOOKUP(VALUE(D2118),$D$3:F$106,3,FALSE)</f>
        <v>SPED Administrators</v>
      </c>
      <c r="C2118" s="751" t="s">
        <v>246</v>
      </c>
      <c r="D2118" s="751" t="s">
        <v>722</v>
      </c>
      <c r="E2118" s="751" t="s">
        <v>723</v>
      </c>
      <c r="F2118" s="751" t="s">
        <v>259</v>
      </c>
      <c r="G2118" s="752" t="s">
        <v>1681</v>
      </c>
      <c r="H2118" s="753">
        <v>52917</v>
      </c>
      <c r="I2118" s="754">
        <v>43810.49</v>
      </c>
      <c r="J2118" s="754">
        <v>0</v>
      </c>
      <c r="K2118" s="754">
        <v>0</v>
      </c>
      <c r="L2118" s="754">
        <v>12608.99</v>
      </c>
      <c r="M2118" s="754">
        <f t="shared" si="91"/>
        <v>12608.99</v>
      </c>
      <c r="N2118" s="756">
        <v>43810.49</v>
      </c>
      <c r="O2118" s="720">
        <f t="shared" si="92"/>
        <v>0</v>
      </c>
    </row>
    <row r="2119" spans="1:15" outlineLevel="2" x14ac:dyDescent="0.25">
      <c r="A2119" s="207" t="str">
        <f>VLOOKUP(RIGHT(E2119,3)+0,SchLocTable!$A$2:$B$47,2,FALSE)</f>
        <v>Bridgeport Learning Center</v>
      </c>
      <c r="B2119" s="207" t="str">
        <f>VLOOKUP(VALUE(D2119),$D$3:F$106,3,FALSE)</f>
        <v>SPED Administrators</v>
      </c>
      <c r="C2119" s="751" t="s">
        <v>246</v>
      </c>
      <c r="D2119" s="751" t="s">
        <v>722</v>
      </c>
      <c r="E2119" s="751" t="s">
        <v>724</v>
      </c>
      <c r="F2119" s="751" t="s">
        <v>248</v>
      </c>
      <c r="G2119" s="752">
        <v>1</v>
      </c>
      <c r="H2119" s="753">
        <v>51000</v>
      </c>
      <c r="I2119" s="754">
        <v>160438.6</v>
      </c>
      <c r="J2119" s="754">
        <v>0</v>
      </c>
      <c r="K2119" s="754">
        <v>0</v>
      </c>
      <c r="L2119" s="754">
        <v>48630.559999999998</v>
      </c>
      <c r="M2119" s="754">
        <f t="shared" si="91"/>
        <v>48630.559999999998</v>
      </c>
      <c r="N2119" s="756">
        <v>160438.6</v>
      </c>
      <c r="O2119" s="720">
        <f t="shared" si="92"/>
        <v>0</v>
      </c>
    </row>
    <row r="2120" spans="1:15" outlineLevel="2" x14ac:dyDescent="0.25">
      <c r="A2120" s="207" t="str">
        <f>VLOOKUP(RIGHT(E2120,3)+0,SchLocTable!$A$2:$B$47,2,FALSE)</f>
        <v>Bridgeport Learning Center</v>
      </c>
      <c r="B2120" s="207" t="str">
        <f>VLOOKUP(VALUE(D2120),$D$3:F$106,3,FALSE)</f>
        <v>SPED Administrators</v>
      </c>
      <c r="C2120" s="751" t="s">
        <v>246</v>
      </c>
      <c r="D2120" s="751" t="s">
        <v>722</v>
      </c>
      <c r="E2120" s="751" t="s">
        <v>724</v>
      </c>
      <c r="F2120" s="751" t="s">
        <v>257</v>
      </c>
      <c r="G2120" s="752" t="s">
        <v>1681</v>
      </c>
      <c r="H2120" s="753">
        <v>51140</v>
      </c>
      <c r="I2120" s="754">
        <v>1400</v>
      </c>
      <c r="J2120" s="754">
        <v>0</v>
      </c>
      <c r="K2120" s="754">
        <v>0</v>
      </c>
      <c r="L2120" s="754">
        <v>0</v>
      </c>
      <c r="M2120" s="754">
        <f t="shared" si="91"/>
        <v>0</v>
      </c>
      <c r="N2120" s="756">
        <v>1400</v>
      </c>
      <c r="O2120" s="720">
        <f t="shared" si="92"/>
        <v>0</v>
      </c>
    </row>
    <row r="2121" spans="1:15" outlineLevel="2" x14ac:dyDescent="0.25">
      <c r="A2121" s="207" t="str">
        <f>VLOOKUP(RIGHT(E2121,3)+0,SchLocTable!$A$2:$B$47,2,FALSE)</f>
        <v>Bridgeport Learning Center</v>
      </c>
      <c r="B2121" s="207" t="str">
        <f>VLOOKUP(VALUE(D2121),$D$3:F$106,3,FALSE)</f>
        <v>SPED Administrators</v>
      </c>
      <c r="C2121" s="751" t="s">
        <v>246</v>
      </c>
      <c r="D2121" s="751" t="s">
        <v>722</v>
      </c>
      <c r="E2121" s="751" t="s">
        <v>724</v>
      </c>
      <c r="F2121" s="751" t="s">
        <v>254</v>
      </c>
      <c r="G2121" s="752" t="s">
        <v>1681</v>
      </c>
      <c r="H2121" s="753">
        <v>52360</v>
      </c>
      <c r="I2121" s="754">
        <v>2313.59</v>
      </c>
      <c r="J2121" s="754">
        <v>0</v>
      </c>
      <c r="K2121" s="754">
        <v>0</v>
      </c>
      <c r="L2121" s="754">
        <v>692.37</v>
      </c>
      <c r="M2121" s="754">
        <f t="shared" si="91"/>
        <v>692.37</v>
      </c>
      <c r="N2121" s="756">
        <v>2313.59</v>
      </c>
      <c r="O2121" s="720">
        <f t="shared" si="92"/>
        <v>0</v>
      </c>
    </row>
    <row r="2122" spans="1:15" outlineLevel="2" x14ac:dyDescent="0.25">
      <c r="A2122" s="207" t="str">
        <f>VLOOKUP(RIGHT(E2122,3)+0,SchLocTable!$A$2:$B$47,2,FALSE)</f>
        <v>Bridgeport Learning Center</v>
      </c>
      <c r="B2122" s="207" t="str">
        <f>VLOOKUP(VALUE(D2122),$D$3:F$106,3,FALSE)</f>
        <v>SPED Administrators</v>
      </c>
      <c r="C2122" s="751" t="s">
        <v>246</v>
      </c>
      <c r="D2122" s="751" t="s">
        <v>722</v>
      </c>
      <c r="E2122" s="751" t="s">
        <v>724</v>
      </c>
      <c r="F2122" s="751" t="s">
        <v>259</v>
      </c>
      <c r="G2122" s="752" t="s">
        <v>1681</v>
      </c>
      <c r="H2122" s="753">
        <v>52917</v>
      </c>
      <c r="I2122" s="754">
        <v>10534.86</v>
      </c>
      <c r="J2122" s="754">
        <v>0</v>
      </c>
      <c r="K2122" s="754">
        <v>0</v>
      </c>
      <c r="L2122" s="754">
        <v>3063.72</v>
      </c>
      <c r="M2122" s="754">
        <f t="shared" si="91"/>
        <v>3063.72</v>
      </c>
      <c r="N2122" s="756">
        <v>10534.86</v>
      </c>
      <c r="O2122" s="720">
        <f t="shared" si="92"/>
        <v>0</v>
      </c>
    </row>
    <row r="2123" spans="1:15" outlineLevel="2" x14ac:dyDescent="0.25">
      <c r="A2123" s="207" t="str">
        <f>VLOOKUP(RIGHT(E2123,3)+0,SchLocTable!$A$2:$B$47,2,FALSE)</f>
        <v>Skane</v>
      </c>
      <c r="B2123" s="207" t="str">
        <f>VLOOKUP(VALUE(D2123),$D$3:F$106,3,FALSE)</f>
        <v>SPED Administrators</v>
      </c>
      <c r="C2123" s="751" t="s">
        <v>246</v>
      </c>
      <c r="D2123" s="751" t="s">
        <v>722</v>
      </c>
      <c r="E2123" s="751" t="s">
        <v>725</v>
      </c>
      <c r="F2123" s="751" t="s">
        <v>248</v>
      </c>
      <c r="G2123" s="752" t="s">
        <v>1681</v>
      </c>
      <c r="H2123" s="753">
        <v>51000</v>
      </c>
      <c r="I2123" s="754">
        <v>0</v>
      </c>
      <c r="J2123" s="754">
        <v>0</v>
      </c>
      <c r="K2123" s="754">
        <v>0</v>
      </c>
      <c r="L2123" s="754">
        <v>0</v>
      </c>
      <c r="M2123" s="754">
        <f t="shared" si="91"/>
        <v>0</v>
      </c>
      <c r="N2123" s="756">
        <v>0</v>
      </c>
      <c r="O2123" s="720">
        <f t="shared" si="92"/>
        <v>0</v>
      </c>
    </row>
    <row r="2124" spans="1:15" outlineLevel="2" x14ac:dyDescent="0.25">
      <c r="A2124" s="207" t="str">
        <f>VLOOKUP(RIGHT(E2124,3)+0,SchLocTable!$A$2:$B$47,2,FALSE)</f>
        <v>Skane</v>
      </c>
      <c r="B2124" s="207" t="str">
        <f>VLOOKUP(VALUE(D2124),$D$3:F$106,3,FALSE)</f>
        <v>SPED Administrators</v>
      </c>
      <c r="C2124" s="755" t="s">
        <v>246</v>
      </c>
      <c r="D2124" s="751" t="s">
        <v>722</v>
      </c>
      <c r="E2124" s="751" t="s">
        <v>725</v>
      </c>
      <c r="F2124" s="751" t="s">
        <v>454</v>
      </c>
      <c r="G2124" s="752" t="s">
        <v>1681</v>
      </c>
      <c r="H2124" s="753">
        <v>51404</v>
      </c>
      <c r="I2124" s="754">
        <v>0</v>
      </c>
      <c r="J2124" s="754">
        <v>0</v>
      </c>
      <c r="K2124" s="754">
        <v>0</v>
      </c>
      <c r="L2124" s="754">
        <v>0</v>
      </c>
      <c r="M2124" s="754">
        <f t="shared" si="91"/>
        <v>0</v>
      </c>
      <c r="N2124" s="756">
        <v>0</v>
      </c>
      <c r="O2124" s="720">
        <f t="shared" si="92"/>
        <v>0</v>
      </c>
    </row>
    <row r="2125" spans="1:15" outlineLevel="2" x14ac:dyDescent="0.25">
      <c r="A2125" s="207" t="str">
        <f>VLOOKUP(RIGHT(E2125,3)+0,SchLocTable!$A$2:$B$47,2,FALSE)</f>
        <v>Skane</v>
      </c>
      <c r="B2125" s="207" t="str">
        <f>VLOOKUP(VALUE(D2125),$D$3:F$106,3,FALSE)</f>
        <v>SPED Administrators</v>
      </c>
      <c r="C2125" s="751" t="s">
        <v>246</v>
      </c>
      <c r="D2125" s="751" t="s">
        <v>722</v>
      </c>
      <c r="E2125" s="751" t="s">
        <v>725</v>
      </c>
      <c r="F2125" s="751" t="s">
        <v>254</v>
      </c>
      <c r="G2125" s="752" t="s">
        <v>1681</v>
      </c>
      <c r="H2125" s="753">
        <v>52360</v>
      </c>
      <c r="I2125" s="754">
        <v>0</v>
      </c>
      <c r="J2125" s="754">
        <v>0</v>
      </c>
      <c r="K2125" s="754">
        <v>0</v>
      </c>
      <c r="L2125" s="754">
        <v>0</v>
      </c>
      <c r="M2125" s="754">
        <f t="shared" si="91"/>
        <v>0</v>
      </c>
      <c r="N2125" s="756">
        <v>0</v>
      </c>
      <c r="O2125" s="720">
        <f t="shared" si="92"/>
        <v>0</v>
      </c>
    </row>
    <row r="2126" spans="1:15" outlineLevel="2" x14ac:dyDescent="0.25">
      <c r="A2126" s="207" t="str">
        <f>VLOOKUP(RIGHT(E2126,3)+0,SchLocTable!$A$2:$B$47,2,FALSE)</f>
        <v>Skane</v>
      </c>
      <c r="B2126" s="207" t="str">
        <f>VLOOKUP(VALUE(D2126),$D$3:F$106,3,FALSE)</f>
        <v>SPED Administrators</v>
      </c>
      <c r="C2126" s="751" t="s">
        <v>246</v>
      </c>
      <c r="D2126" s="751" t="s">
        <v>722</v>
      </c>
      <c r="E2126" s="751" t="s">
        <v>725</v>
      </c>
      <c r="F2126" s="751" t="s">
        <v>259</v>
      </c>
      <c r="G2126" s="752" t="s">
        <v>1681</v>
      </c>
      <c r="H2126" s="753">
        <v>52917</v>
      </c>
      <c r="I2126" s="754">
        <v>0</v>
      </c>
      <c r="J2126" s="754">
        <v>0</v>
      </c>
      <c r="K2126" s="754">
        <v>0</v>
      </c>
      <c r="L2126" s="754">
        <v>0</v>
      </c>
      <c r="M2126" s="754">
        <f t="shared" si="91"/>
        <v>0</v>
      </c>
      <c r="N2126" s="756">
        <v>0</v>
      </c>
      <c r="O2126" s="720">
        <f t="shared" si="92"/>
        <v>0</v>
      </c>
    </row>
    <row r="2127" spans="1:15" outlineLevel="2" x14ac:dyDescent="0.25">
      <c r="A2127" s="207" t="e">
        <f>VLOOKUP(RIGHT(E2127,3)+0,SchLocTable!$A$2:$B$47,2,FALSE)</f>
        <v>#N/A</v>
      </c>
      <c r="B2127" s="207" t="str">
        <f>VLOOKUP(VALUE(D2127),$D$3:F$106,3,FALSE)</f>
        <v>SPED Aides</v>
      </c>
      <c r="C2127" s="751" t="s">
        <v>246</v>
      </c>
      <c r="D2127" s="751" t="s">
        <v>726</v>
      </c>
      <c r="E2127" s="751" t="s">
        <v>2116</v>
      </c>
      <c r="F2127" s="751" t="s">
        <v>257</v>
      </c>
      <c r="G2127" s="752" t="s">
        <v>1681</v>
      </c>
      <c r="H2127" s="753">
        <v>51140</v>
      </c>
      <c r="I2127" s="754">
        <v>1610</v>
      </c>
      <c r="J2127" s="754">
        <v>0</v>
      </c>
      <c r="K2127" s="754">
        <v>0</v>
      </c>
      <c r="L2127" s="754">
        <v>0</v>
      </c>
      <c r="M2127" s="754">
        <f t="shared" si="91"/>
        <v>0</v>
      </c>
      <c r="N2127" s="756">
        <v>1610</v>
      </c>
      <c r="O2127" s="720">
        <f t="shared" si="92"/>
        <v>0</v>
      </c>
    </row>
    <row r="2128" spans="1:15" outlineLevel="2" x14ac:dyDescent="0.25">
      <c r="A2128" s="207" t="e">
        <f>VLOOKUP(RIGHT(E2128,3)+0,SchLocTable!$A$2:$B$47,2,FALSE)</f>
        <v>#N/A</v>
      </c>
      <c r="B2128" s="207" t="str">
        <f>VLOOKUP(VALUE(D2128),$D$3:F$106,3,FALSE)</f>
        <v>SPED Aides</v>
      </c>
      <c r="C2128" s="751" t="s">
        <v>246</v>
      </c>
      <c r="D2128" s="751" t="s">
        <v>726</v>
      </c>
      <c r="E2128" s="751" t="s">
        <v>2116</v>
      </c>
      <c r="F2128" s="751" t="s">
        <v>254</v>
      </c>
      <c r="G2128" s="752" t="s">
        <v>1681</v>
      </c>
      <c r="H2128" s="753">
        <v>52360</v>
      </c>
      <c r="I2128" s="754">
        <v>0</v>
      </c>
      <c r="J2128" s="754">
        <v>0</v>
      </c>
      <c r="K2128" s="754">
        <v>0</v>
      </c>
      <c r="L2128" s="754">
        <v>0</v>
      </c>
      <c r="M2128" s="754">
        <f t="shared" si="91"/>
        <v>0</v>
      </c>
      <c r="N2128" s="756">
        <v>0</v>
      </c>
      <c r="O2128" s="720">
        <f t="shared" si="92"/>
        <v>0</v>
      </c>
    </row>
    <row r="2129" spans="1:15" outlineLevel="2" x14ac:dyDescent="0.25">
      <c r="A2129" s="207" t="e">
        <f>VLOOKUP(RIGHT(E2129,3)+0,SchLocTable!$A$2:$B$47,2,FALSE)</f>
        <v>#N/A</v>
      </c>
      <c r="B2129" s="207" t="str">
        <f>VLOOKUP(VALUE(D2129),$D$3:F$106,3,FALSE)</f>
        <v>SPED Aides</v>
      </c>
      <c r="C2129" s="751" t="s">
        <v>246</v>
      </c>
      <c r="D2129" s="751" t="s">
        <v>726</v>
      </c>
      <c r="E2129" s="751" t="s">
        <v>2116</v>
      </c>
      <c r="F2129" s="751" t="s">
        <v>331</v>
      </c>
      <c r="G2129" s="752" t="s">
        <v>1681</v>
      </c>
      <c r="H2129" s="753">
        <v>52504</v>
      </c>
      <c r="I2129" s="754">
        <v>0</v>
      </c>
      <c r="J2129" s="754">
        <v>0</v>
      </c>
      <c r="K2129" s="754">
        <v>0</v>
      </c>
      <c r="L2129" s="754">
        <v>0</v>
      </c>
      <c r="M2129" s="754">
        <f t="shared" si="91"/>
        <v>0</v>
      </c>
      <c r="N2129" s="756">
        <v>0</v>
      </c>
      <c r="O2129" s="720">
        <f t="shared" si="92"/>
        <v>0</v>
      </c>
    </row>
    <row r="2130" spans="1:15" outlineLevel="2" x14ac:dyDescent="0.25">
      <c r="A2130" s="207" t="str">
        <f>VLOOKUP(RIGHT(E2130,3)+0,SchLocTable!$A$2:$B$47,2,FALSE)</f>
        <v>Barnum</v>
      </c>
      <c r="B2130" s="207" t="str">
        <f>VLOOKUP(VALUE(D2130),$D$3:F$106,3,FALSE)</f>
        <v>SPED Aides</v>
      </c>
      <c r="C2130" s="751" t="s">
        <v>246</v>
      </c>
      <c r="D2130" s="751" t="s">
        <v>726</v>
      </c>
      <c r="E2130" s="751" t="s">
        <v>727</v>
      </c>
      <c r="F2130" s="751" t="s">
        <v>248</v>
      </c>
      <c r="G2130" s="752">
        <v>5</v>
      </c>
      <c r="H2130" s="753">
        <v>51000</v>
      </c>
      <c r="I2130" s="754">
        <v>178124.84</v>
      </c>
      <c r="J2130" s="754">
        <v>0</v>
      </c>
      <c r="K2130" s="754">
        <v>0</v>
      </c>
      <c r="L2130" s="754">
        <v>48745.57</v>
      </c>
      <c r="M2130" s="754">
        <f t="shared" si="91"/>
        <v>48745.57</v>
      </c>
      <c r="N2130" s="756">
        <v>178124.84</v>
      </c>
      <c r="O2130" s="720">
        <f t="shared" si="92"/>
        <v>0</v>
      </c>
    </row>
    <row r="2131" spans="1:15" outlineLevel="2" x14ac:dyDescent="0.25">
      <c r="A2131" s="207" t="str">
        <f>VLOOKUP(RIGHT(E2131,3)+0,SchLocTable!$A$2:$B$47,2,FALSE)</f>
        <v>Barnum</v>
      </c>
      <c r="B2131" s="207" t="str">
        <f>VLOOKUP(VALUE(D2131),$D$3:F$106,3,FALSE)</f>
        <v>SPED Aides</v>
      </c>
      <c r="C2131" s="751" t="s">
        <v>246</v>
      </c>
      <c r="D2131" s="751" t="s">
        <v>726</v>
      </c>
      <c r="E2131" s="751" t="s">
        <v>727</v>
      </c>
      <c r="F2131" s="751" t="s">
        <v>257</v>
      </c>
      <c r="G2131" s="752" t="s">
        <v>1681</v>
      </c>
      <c r="H2131" s="753">
        <v>51140</v>
      </c>
      <c r="I2131" s="754">
        <v>9240</v>
      </c>
      <c r="J2131" s="754">
        <v>0</v>
      </c>
      <c r="K2131" s="754">
        <v>0</v>
      </c>
      <c r="L2131" s="754">
        <v>0</v>
      </c>
      <c r="M2131" s="754">
        <f t="shared" si="91"/>
        <v>0</v>
      </c>
      <c r="N2131" s="756">
        <v>9240</v>
      </c>
      <c r="O2131" s="720">
        <f t="shared" si="92"/>
        <v>0</v>
      </c>
    </row>
    <row r="2132" spans="1:15" outlineLevel="2" x14ac:dyDescent="0.25">
      <c r="A2132" s="207" t="str">
        <f>VLOOKUP(RIGHT(E2132,3)+0,SchLocTable!$A$2:$B$47,2,FALSE)</f>
        <v>Barnum</v>
      </c>
      <c r="B2132" s="207" t="str">
        <f>VLOOKUP(VALUE(D2132),$D$3:F$106,3,FALSE)</f>
        <v>SPED Aides</v>
      </c>
      <c r="C2132" s="755" t="s">
        <v>246</v>
      </c>
      <c r="D2132" s="751" t="s">
        <v>726</v>
      </c>
      <c r="E2132" s="751" t="s">
        <v>727</v>
      </c>
      <c r="F2132" s="751" t="s">
        <v>402</v>
      </c>
      <c r="G2132" s="752" t="s">
        <v>1681</v>
      </c>
      <c r="H2132" s="753">
        <v>51400</v>
      </c>
      <c r="I2132" s="754">
        <v>3126.17</v>
      </c>
      <c r="J2132" s="754">
        <v>0</v>
      </c>
      <c r="K2132" s="754">
        <v>0</v>
      </c>
      <c r="L2132" s="754">
        <v>0</v>
      </c>
      <c r="M2132" s="754">
        <f t="shared" si="91"/>
        <v>0</v>
      </c>
      <c r="N2132" s="756">
        <v>3126.17</v>
      </c>
      <c r="O2132" s="720">
        <f t="shared" si="92"/>
        <v>0</v>
      </c>
    </row>
    <row r="2133" spans="1:15" outlineLevel="2" x14ac:dyDescent="0.25">
      <c r="A2133" s="207" t="str">
        <f>VLOOKUP(RIGHT(E2133,3)+0,SchLocTable!$A$2:$B$47,2,FALSE)</f>
        <v>Barnum</v>
      </c>
      <c r="B2133" s="207" t="str">
        <f>VLOOKUP(VALUE(D2133),$D$3:F$106,3,FALSE)</f>
        <v>SPED Aides</v>
      </c>
      <c r="C2133" s="751" t="s">
        <v>246</v>
      </c>
      <c r="D2133" s="751" t="s">
        <v>726</v>
      </c>
      <c r="E2133" s="751" t="s">
        <v>727</v>
      </c>
      <c r="F2133" s="751" t="s">
        <v>254</v>
      </c>
      <c r="G2133" s="752" t="s">
        <v>1681</v>
      </c>
      <c r="H2133" s="753">
        <v>52360</v>
      </c>
      <c r="I2133" s="754">
        <v>2459.77</v>
      </c>
      <c r="J2133" s="754">
        <v>0</v>
      </c>
      <c r="K2133" s="754">
        <v>0</v>
      </c>
      <c r="L2133" s="754">
        <v>583.77</v>
      </c>
      <c r="M2133" s="754">
        <f t="shared" si="91"/>
        <v>583.77</v>
      </c>
      <c r="N2133" s="756">
        <v>2459.77</v>
      </c>
      <c r="O2133" s="720">
        <f t="shared" si="92"/>
        <v>0</v>
      </c>
    </row>
    <row r="2134" spans="1:15" outlineLevel="2" x14ac:dyDescent="0.25">
      <c r="A2134" s="207" t="str">
        <f>VLOOKUP(RIGHT(E2134,3)+0,SchLocTable!$A$2:$B$47,2,FALSE)</f>
        <v>Barnum</v>
      </c>
      <c r="B2134" s="207" t="str">
        <f>VLOOKUP(VALUE(D2134),$D$3:F$106,3,FALSE)</f>
        <v>SPED Aides</v>
      </c>
      <c r="C2134" s="755" t="s">
        <v>246</v>
      </c>
      <c r="D2134" s="751" t="s">
        <v>726</v>
      </c>
      <c r="E2134" s="751" t="s">
        <v>727</v>
      </c>
      <c r="F2134" s="751" t="s">
        <v>292</v>
      </c>
      <c r="G2134" s="752" t="s">
        <v>1681</v>
      </c>
      <c r="H2134" s="753">
        <v>52385</v>
      </c>
      <c r="I2134" s="754">
        <v>2434.02</v>
      </c>
      <c r="J2134" s="754">
        <v>0</v>
      </c>
      <c r="K2134" s="754">
        <v>0</v>
      </c>
      <c r="L2134" s="754">
        <v>742.37</v>
      </c>
      <c r="M2134" s="754">
        <f t="shared" si="91"/>
        <v>742.37</v>
      </c>
      <c r="N2134" s="756">
        <v>2434.02</v>
      </c>
      <c r="O2134" s="720">
        <f t="shared" si="92"/>
        <v>0</v>
      </c>
    </row>
    <row r="2135" spans="1:15" outlineLevel="2" x14ac:dyDescent="0.25">
      <c r="A2135" s="207" t="str">
        <f>VLOOKUP(RIGHT(E2135,3)+0,SchLocTable!$A$2:$B$47,2,FALSE)</f>
        <v>Barnum</v>
      </c>
      <c r="B2135" s="207" t="str">
        <f>VLOOKUP(VALUE(D2135),$D$3:F$106,3,FALSE)</f>
        <v>SPED Aides</v>
      </c>
      <c r="C2135" s="751" t="s">
        <v>246</v>
      </c>
      <c r="D2135" s="751" t="s">
        <v>726</v>
      </c>
      <c r="E2135" s="751" t="s">
        <v>727</v>
      </c>
      <c r="F2135" s="751" t="s">
        <v>806</v>
      </c>
      <c r="G2135" s="752" t="s">
        <v>1681</v>
      </c>
      <c r="H2135" s="753">
        <v>52397</v>
      </c>
      <c r="I2135" s="754">
        <v>0</v>
      </c>
      <c r="J2135" s="754">
        <v>0</v>
      </c>
      <c r="K2135" s="754">
        <v>0</v>
      </c>
      <c r="L2135" s="754">
        <v>0</v>
      </c>
      <c r="M2135" s="754">
        <f t="shared" si="91"/>
        <v>0</v>
      </c>
      <c r="N2135" s="756">
        <v>0</v>
      </c>
      <c r="O2135" s="720">
        <f t="shared" si="92"/>
        <v>0</v>
      </c>
    </row>
    <row r="2136" spans="1:15" outlineLevel="2" x14ac:dyDescent="0.25">
      <c r="A2136" s="207" t="str">
        <f>VLOOKUP(RIGHT(E2136,3)+0,SchLocTable!$A$2:$B$47,2,FALSE)</f>
        <v>Barnum</v>
      </c>
      <c r="B2136" s="207" t="str">
        <f>VLOOKUP(VALUE(D2136),$D$3:F$106,3,FALSE)</f>
        <v>SPED Aides</v>
      </c>
      <c r="C2136" s="751" t="s">
        <v>246</v>
      </c>
      <c r="D2136" s="751" t="s">
        <v>726</v>
      </c>
      <c r="E2136" s="751" t="s">
        <v>727</v>
      </c>
      <c r="F2136" s="751" t="s">
        <v>331</v>
      </c>
      <c r="G2136" s="752" t="s">
        <v>1681</v>
      </c>
      <c r="H2136" s="753">
        <v>52504</v>
      </c>
      <c r="I2136" s="754">
        <v>33953.51</v>
      </c>
      <c r="J2136" s="754">
        <v>0</v>
      </c>
      <c r="K2136" s="754">
        <v>0</v>
      </c>
      <c r="L2136" s="754">
        <v>7314.32</v>
      </c>
      <c r="M2136" s="754">
        <f t="shared" si="91"/>
        <v>7314.32</v>
      </c>
      <c r="N2136" s="756">
        <v>33953.51</v>
      </c>
      <c r="O2136" s="720">
        <f t="shared" si="92"/>
        <v>0</v>
      </c>
    </row>
    <row r="2137" spans="1:15" outlineLevel="2" x14ac:dyDescent="0.25">
      <c r="A2137" s="207" t="str">
        <f>VLOOKUP(RIGHT(E2137,3)+0,SchLocTable!$A$2:$B$47,2,FALSE)</f>
        <v>Barnum</v>
      </c>
      <c r="B2137" s="207" t="str">
        <f>VLOOKUP(VALUE(D2137),$D$3:F$106,3,FALSE)</f>
        <v>SPED Aides</v>
      </c>
      <c r="C2137" s="751" t="s">
        <v>246</v>
      </c>
      <c r="D2137" s="751" t="s">
        <v>726</v>
      </c>
      <c r="E2137" s="751" t="s">
        <v>727</v>
      </c>
      <c r="F2137" s="751" t="s">
        <v>259</v>
      </c>
      <c r="G2137" s="752" t="s">
        <v>1681</v>
      </c>
      <c r="H2137" s="753">
        <v>52917</v>
      </c>
      <c r="I2137" s="754">
        <v>80635.259999999995</v>
      </c>
      <c r="J2137" s="754">
        <v>0</v>
      </c>
      <c r="K2137" s="754">
        <v>0</v>
      </c>
      <c r="L2137" s="754">
        <v>19415.09</v>
      </c>
      <c r="M2137" s="754">
        <f t="shared" si="91"/>
        <v>19415.09</v>
      </c>
      <c r="N2137" s="756">
        <v>80635.259999999995</v>
      </c>
      <c r="O2137" s="720">
        <f t="shared" si="92"/>
        <v>0</v>
      </c>
    </row>
    <row r="2138" spans="1:15" outlineLevel="2" x14ac:dyDescent="0.25">
      <c r="A2138" s="207" t="str">
        <f>VLOOKUP(RIGHT(E2138,3)+0,SchLocTable!$A$2:$B$47,2,FALSE)</f>
        <v>Barnum</v>
      </c>
      <c r="B2138" s="207" t="str">
        <f>VLOOKUP(VALUE(D2138),$D$3:F$106,3,FALSE)</f>
        <v>SPED Aides</v>
      </c>
      <c r="C2138" s="751" t="s">
        <v>246</v>
      </c>
      <c r="D2138" s="751" t="s">
        <v>726</v>
      </c>
      <c r="E2138" s="751" t="s">
        <v>727</v>
      </c>
      <c r="F2138" s="751" t="s">
        <v>333</v>
      </c>
      <c r="G2138" s="752" t="s">
        <v>1681</v>
      </c>
      <c r="H2138" s="753">
        <v>52920</v>
      </c>
      <c r="I2138" s="754">
        <v>500</v>
      </c>
      <c r="J2138" s="754">
        <v>0</v>
      </c>
      <c r="K2138" s="754">
        <v>0</v>
      </c>
      <c r="L2138" s="754">
        <v>0</v>
      </c>
      <c r="M2138" s="754">
        <f t="shared" si="91"/>
        <v>0</v>
      </c>
      <c r="N2138" s="756">
        <v>500</v>
      </c>
      <c r="O2138" s="720">
        <f t="shared" si="92"/>
        <v>0</v>
      </c>
    </row>
    <row r="2139" spans="1:15" outlineLevel="2" x14ac:dyDescent="0.25">
      <c r="A2139" s="207" t="str">
        <f>VLOOKUP(RIGHT(E2139,3)+0,SchLocTable!$A$2:$B$47,2,FALSE)</f>
        <v>Beardsley</v>
      </c>
      <c r="B2139" s="207" t="str">
        <f>VLOOKUP(VALUE(D2139),$D$3:F$106,3,FALSE)</f>
        <v>SPED Aides</v>
      </c>
      <c r="C2139" s="751" t="s">
        <v>246</v>
      </c>
      <c r="D2139" s="751" t="s">
        <v>726</v>
      </c>
      <c r="E2139" s="751" t="s">
        <v>1827</v>
      </c>
      <c r="F2139" s="751" t="s">
        <v>257</v>
      </c>
      <c r="G2139" s="752" t="s">
        <v>1681</v>
      </c>
      <c r="H2139" s="753">
        <v>51140</v>
      </c>
      <c r="I2139" s="754">
        <v>2240</v>
      </c>
      <c r="J2139" s="754">
        <v>0</v>
      </c>
      <c r="K2139" s="754">
        <v>0</v>
      </c>
      <c r="L2139" s="754">
        <v>0</v>
      </c>
      <c r="M2139" s="754">
        <f t="shared" si="91"/>
        <v>0</v>
      </c>
      <c r="N2139" s="756">
        <v>2240</v>
      </c>
      <c r="O2139" s="720">
        <f t="shared" si="92"/>
        <v>0</v>
      </c>
    </row>
    <row r="2140" spans="1:15" outlineLevel="2" x14ac:dyDescent="0.25">
      <c r="A2140" s="207" t="str">
        <f>VLOOKUP(RIGHT(E2140,3)+0,SchLocTable!$A$2:$B$47,2,FALSE)</f>
        <v>Beardsley</v>
      </c>
      <c r="B2140" s="207" t="str">
        <f>VLOOKUP(VALUE(D2140),$D$3:F$106,3,FALSE)</f>
        <v>SPED Aides</v>
      </c>
      <c r="C2140" s="751" t="s">
        <v>246</v>
      </c>
      <c r="D2140" s="751" t="s">
        <v>726</v>
      </c>
      <c r="E2140" s="751" t="s">
        <v>1827</v>
      </c>
      <c r="F2140" s="751" t="s">
        <v>254</v>
      </c>
      <c r="G2140" s="752" t="s">
        <v>1681</v>
      </c>
      <c r="H2140" s="753">
        <v>52360</v>
      </c>
      <c r="I2140" s="754">
        <v>0</v>
      </c>
      <c r="J2140" s="754">
        <v>0</v>
      </c>
      <c r="K2140" s="754">
        <v>0</v>
      </c>
      <c r="L2140" s="754">
        <v>0</v>
      </c>
      <c r="M2140" s="754">
        <f t="shared" si="91"/>
        <v>0</v>
      </c>
      <c r="N2140" s="756">
        <v>0</v>
      </c>
      <c r="O2140" s="720">
        <f t="shared" si="92"/>
        <v>0</v>
      </c>
    </row>
    <row r="2141" spans="1:15" outlineLevel="2" x14ac:dyDescent="0.25">
      <c r="A2141" s="207" t="str">
        <f>VLOOKUP(RIGHT(E2141,3)+0,SchLocTable!$A$2:$B$47,2,FALSE)</f>
        <v>Beardsley</v>
      </c>
      <c r="B2141" s="207" t="str">
        <f>VLOOKUP(VALUE(D2141),$D$3:F$106,3,FALSE)</f>
        <v>SPED Aides</v>
      </c>
      <c r="C2141" s="751" t="s">
        <v>246</v>
      </c>
      <c r="D2141" s="751" t="s">
        <v>726</v>
      </c>
      <c r="E2141" s="751" t="s">
        <v>1827</v>
      </c>
      <c r="F2141" s="751" t="s">
        <v>331</v>
      </c>
      <c r="G2141" s="752" t="s">
        <v>1681</v>
      </c>
      <c r="H2141" s="753">
        <v>52504</v>
      </c>
      <c r="I2141" s="754">
        <v>0</v>
      </c>
      <c r="J2141" s="754">
        <v>0</v>
      </c>
      <c r="K2141" s="754">
        <v>0</v>
      </c>
      <c r="L2141" s="754">
        <v>0</v>
      </c>
      <c r="M2141" s="754">
        <f t="shared" si="91"/>
        <v>0</v>
      </c>
      <c r="N2141" s="756">
        <v>0</v>
      </c>
      <c r="O2141" s="720">
        <f t="shared" si="92"/>
        <v>0</v>
      </c>
    </row>
    <row r="2142" spans="1:15" outlineLevel="2" x14ac:dyDescent="0.25">
      <c r="A2142" s="207" t="str">
        <f>VLOOKUP(RIGHT(E2142,3)+0,SchLocTable!$A$2:$B$47,2,FALSE)</f>
        <v>Black Rock</v>
      </c>
      <c r="B2142" s="207" t="str">
        <f>VLOOKUP(VALUE(D2142),$D$3:F$106,3,FALSE)</f>
        <v>SPED Aides</v>
      </c>
      <c r="C2142" s="751" t="s">
        <v>246</v>
      </c>
      <c r="D2142" s="751" t="s">
        <v>726</v>
      </c>
      <c r="E2142" s="751" t="s">
        <v>728</v>
      </c>
      <c r="F2142" s="751" t="s">
        <v>248</v>
      </c>
      <c r="G2142" s="752">
        <v>2</v>
      </c>
      <c r="H2142" s="753">
        <v>51000</v>
      </c>
      <c r="I2142" s="754">
        <v>89506.53</v>
      </c>
      <c r="J2142" s="754">
        <v>0</v>
      </c>
      <c r="K2142" s="754">
        <v>0</v>
      </c>
      <c r="L2142" s="754">
        <v>27031.040000000001</v>
      </c>
      <c r="M2142" s="754">
        <f t="shared" si="91"/>
        <v>27031.040000000001</v>
      </c>
      <c r="N2142" s="756">
        <v>89506.53</v>
      </c>
      <c r="O2142" s="720">
        <f t="shared" si="92"/>
        <v>0</v>
      </c>
    </row>
    <row r="2143" spans="1:15" outlineLevel="2" x14ac:dyDescent="0.25">
      <c r="A2143" s="207" t="str">
        <f>VLOOKUP(RIGHT(E2143,3)+0,SchLocTable!$A$2:$B$47,2,FALSE)</f>
        <v>Black Rock</v>
      </c>
      <c r="B2143" s="207" t="str">
        <f>VLOOKUP(VALUE(D2143),$D$3:F$106,3,FALSE)</f>
        <v>SPED Aides</v>
      </c>
      <c r="C2143" s="751" t="s">
        <v>246</v>
      </c>
      <c r="D2143" s="751" t="s">
        <v>726</v>
      </c>
      <c r="E2143" s="751" t="s">
        <v>728</v>
      </c>
      <c r="F2143" s="751" t="s">
        <v>257</v>
      </c>
      <c r="G2143" s="752" t="s">
        <v>1681</v>
      </c>
      <c r="H2143" s="753">
        <v>51140</v>
      </c>
      <c r="I2143" s="754">
        <v>8520</v>
      </c>
      <c r="J2143" s="754">
        <v>0</v>
      </c>
      <c r="K2143" s="754">
        <v>0</v>
      </c>
      <c r="L2143" s="754">
        <v>0</v>
      </c>
      <c r="M2143" s="754">
        <f t="shared" si="91"/>
        <v>0</v>
      </c>
      <c r="N2143" s="756">
        <v>8520</v>
      </c>
      <c r="O2143" s="720">
        <f t="shared" si="92"/>
        <v>0</v>
      </c>
    </row>
    <row r="2144" spans="1:15" outlineLevel="2" x14ac:dyDescent="0.25">
      <c r="A2144" s="207" t="str">
        <f>VLOOKUP(RIGHT(E2144,3)+0,SchLocTable!$A$2:$B$47,2,FALSE)</f>
        <v>Black Rock</v>
      </c>
      <c r="B2144" s="207" t="str">
        <f>VLOOKUP(VALUE(D2144),$D$3:F$106,3,FALSE)</f>
        <v>SPED Aides</v>
      </c>
      <c r="C2144" s="751" t="s">
        <v>246</v>
      </c>
      <c r="D2144" s="751" t="s">
        <v>726</v>
      </c>
      <c r="E2144" s="751" t="s">
        <v>728</v>
      </c>
      <c r="F2144" s="751" t="s">
        <v>254</v>
      </c>
      <c r="G2144" s="752" t="s">
        <v>1681</v>
      </c>
      <c r="H2144" s="753">
        <v>52360</v>
      </c>
      <c r="I2144" s="754">
        <v>1267.1400000000001</v>
      </c>
      <c r="J2144" s="754">
        <v>0</v>
      </c>
      <c r="K2144" s="754">
        <v>0</v>
      </c>
      <c r="L2144" s="754">
        <v>361.25</v>
      </c>
      <c r="M2144" s="754">
        <f t="shared" si="91"/>
        <v>361.25</v>
      </c>
      <c r="N2144" s="756">
        <v>1267.1400000000001</v>
      </c>
      <c r="O2144" s="720">
        <f t="shared" si="92"/>
        <v>0</v>
      </c>
    </row>
    <row r="2145" spans="1:15" outlineLevel="2" x14ac:dyDescent="0.25">
      <c r="A2145" s="207" t="str">
        <f>VLOOKUP(RIGHT(E2145,3)+0,SchLocTable!$A$2:$B$47,2,FALSE)</f>
        <v>Black Rock</v>
      </c>
      <c r="B2145" s="207" t="str">
        <f>VLOOKUP(VALUE(D2145),$D$3:F$106,3,FALSE)</f>
        <v>SPED Aides</v>
      </c>
      <c r="C2145" s="751" t="s">
        <v>246</v>
      </c>
      <c r="D2145" s="751" t="s">
        <v>726</v>
      </c>
      <c r="E2145" s="751" t="s">
        <v>728</v>
      </c>
      <c r="F2145" s="751" t="s">
        <v>331</v>
      </c>
      <c r="G2145" s="752" t="s">
        <v>1681</v>
      </c>
      <c r="H2145" s="753">
        <v>52504</v>
      </c>
      <c r="I2145" s="754">
        <v>18429.38</v>
      </c>
      <c r="J2145" s="754">
        <v>0</v>
      </c>
      <c r="K2145" s="754">
        <v>0</v>
      </c>
      <c r="L2145" s="754">
        <v>5565.68</v>
      </c>
      <c r="M2145" s="754">
        <f t="shared" si="91"/>
        <v>5565.68</v>
      </c>
      <c r="N2145" s="756">
        <v>18429.38</v>
      </c>
      <c r="O2145" s="720">
        <f t="shared" si="92"/>
        <v>0</v>
      </c>
    </row>
    <row r="2146" spans="1:15" outlineLevel="2" x14ac:dyDescent="0.25">
      <c r="A2146" s="207" t="str">
        <f>VLOOKUP(RIGHT(E2146,3)+0,SchLocTable!$A$2:$B$47,2,FALSE)</f>
        <v>Black Rock</v>
      </c>
      <c r="B2146" s="207" t="str">
        <f>VLOOKUP(VALUE(D2146),$D$3:F$106,3,FALSE)</f>
        <v>SPED Aides</v>
      </c>
      <c r="C2146" s="751" t="s">
        <v>246</v>
      </c>
      <c r="D2146" s="751" t="s">
        <v>726</v>
      </c>
      <c r="E2146" s="751" t="s">
        <v>728</v>
      </c>
      <c r="F2146" s="751" t="s">
        <v>259</v>
      </c>
      <c r="G2146" s="752" t="s">
        <v>1681</v>
      </c>
      <c r="H2146" s="753">
        <v>52917</v>
      </c>
      <c r="I2146" s="754">
        <v>22774.01</v>
      </c>
      <c r="J2146" s="754">
        <v>0</v>
      </c>
      <c r="K2146" s="754">
        <v>0</v>
      </c>
      <c r="L2146" s="754">
        <v>6644.74</v>
      </c>
      <c r="M2146" s="754">
        <f t="shared" si="91"/>
        <v>6644.74</v>
      </c>
      <c r="N2146" s="756">
        <v>22774.01</v>
      </c>
      <c r="O2146" s="720">
        <f t="shared" si="92"/>
        <v>0</v>
      </c>
    </row>
    <row r="2147" spans="1:15" outlineLevel="2" x14ac:dyDescent="0.25">
      <c r="A2147" s="207" t="str">
        <f>VLOOKUP(RIGHT(E2147,3)+0,SchLocTable!$A$2:$B$47,2,FALSE)</f>
        <v>Bryant</v>
      </c>
      <c r="B2147" s="207" t="str">
        <f>VLOOKUP(VALUE(D2147),$D$3:F$106,3,FALSE)</f>
        <v>SPED Aides</v>
      </c>
      <c r="C2147" s="751" t="s">
        <v>246</v>
      </c>
      <c r="D2147" s="751" t="s">
        <v>726</v>
      </c>
      <c r="E2147" s="751" t="s">
        <v>729</v>
      </c>
      <c r="F2147" s="751" t="s">
        <v>248</v>
      </c>
      <c r="G2147" s="752">
        <v>2</v>
      </c>
      <c r="H2147" s="753">
        <v>51000</v>
      </c>
      <c r="I2147" s="754">
        <v>85811.09</v>
      </c>
      <c r="J2147" s="754">
        <v>0</v>
      </c>
      <c r="K2147" s="754">
        <v>0</v>
      </c>
      <c r="L2147" s="754">
        <v>32147.38</v>
      </c>
      <c r="M2147" s="754">
        <f t="shared" si="91"/>
        <v>32147.38</v>
      </c>
      <c r="N2147" s="756">
        <v>85811.09</v>
      </c>
      <c r="O2147" s="720">
        <f t="shared" si="92"/>
        <v>0</v>
      </c>
    </row>
    <row r="2148" spans="1:15" outlineLevel="2" x14ac:dyDescent="0.25">
      <c r="A2148" s="207" t="str">
        <f>VLOOKUP(RIGHT(E2148,3)+0,SchLocTable!$A$2:$B$47,2,FALSE)</f>
        <v>Bryant</v>
      </c>
      <c r="B2148" s="207" t="str">
        <f>VLOOKUP(VALUE(D2148),$D$3:F$106,3,FALSE)</f>
        <v>SPED Aides</v>
      </c>
      <c r="C2148" s="751" t="s">
        <v>246</v>
      </c>
      <c r="D2148" s="751" t="s">
        <v>726</v>
      </c>
      <c r="E2148" s="751" t="s">
        <v>729</v>
      </c>
      <c r="F2148" s="751" t="s">
        <v>257</v>
      </c>
      <c r="G2148" s="752" t="s">
        <v>1681</v>
      </c>
      <c r="H2148" s="753">
        <v>51140</v>
      </c>
      <c r="I2148" s="754">
        <v>2100</v>
      </c>
      <c r="J2148" s="754">
        <v>0</v>
      </c>
      <c r="K2148" s="754">
        <v>0</v>
      </c>
      <c r="L2148" s="754">
        <v>0</v>
      </c>
      <c r="M2148" s="754">
        <f t="shared" si="91"/>
        <v>0</v>
      </c>
      <c r="N2148" s="756">
        <v>2100</v>
      </c>
      <c r="O2148" s="720">
        <f t="shared" si="92"/>
        <v>0</v>
      </c>
    </row>
    <row r="2149" spans="1:15" outlineLevel="2" x14ac:dyDescent="0.25">
      <c r="A2149" s="207" t="str">
        <f>VLOOKUP(RIGHT(E2149,3)+0,SchLocTable!$A$2:$B$47,2,FALSE)</f>
        <v>Bryant</v>
      </c>
      <c r="B2149" s="207" t="str">
        <f>VLOOKUP(VALUE(D2149),$D$3:F$106,3,FALSE)</f>
        <v>SPED Aides</v>
      </c>
      <c r="C2149" s="751" t="s">
        <v>246</v>
      </c>
      <c r="D2149" s="751" t="s">
        <v>726</v>
      </c>
      <c r="E2149" s="751" t="s">
        <v>729</v>
      </c>
      <c r="F2149" s="751" t="s">
        <v>254</v>
      </c>
      <c r="G2149" s="752" t="s">
        <v>1681</v>
      </c>
      <c r="H2149" s="753">
        <v>52360</v>
      </c>
      <c r="I2149" s="754">
        <v>1162.1400000000001</v>
      </c>
      <c r="J2149" s="754">
        <v>0</v>
      </c>
      <c r="K2149" s="754">
        <v>0</v>
      </c>
      <c r="L2149" s="754">
        <v>384.02</v>
      </c>
      <c r="M2149" s="754">
        <f t="shared" si="91"/>
        <v>384.02</v>
      </c>
      <c r="N2149" s="756">
        <v>1162.1400000000001</v>
      </c>
      <c r="O2149" s="720">
        <f t="shared" si="92"/>
        <v>0</v>
      </c>
    </row>
    <row r="2150" spans="1:15" outlineLevel="2" x14ac:dyDescent="0.25">
      <c r="A2150" s="207" t="str">
        <f>VLOOKUP(RIGHT(E2150,3)+0,SchLocTable!$A$2:$B$47,2,FALSE)</f>
        <v>Bryant</v>
      </c>
      <c r="B2150" s="207" t="str">
        <f>VLOOKUP(VALUE(D2150),$D$3:F$106,3,FALSE)</f>
        <v>SPED Aides</v>
      </c>
      <c r="C2150" s="751" t="s">
        <v>246</v>
      </c>
      <c r="D2150" s="751" t="s">
        <v>726</v>
      </c>
      <c r="E2150" s="751" t="s">
        <v>729</v>
      </c>
      <c r="F2150" s="751" t="s">
        <v>292</v>
      </c>
      <c r="G2150" s="752" t="s">
        <v>1681</v>
      </c>
      <c r="H2150" s="753">
        <v>52385</v>
      </c>
      <c r="I2150" s="754">
        <v>0</v>
      </c>
      <c r="J2150" s="754">
        <v>0</v>
      </c>
      <c r="K2150" s="754">
        <v>0</v>
      </c>
      <c r="L2150" s="754">
        <v>0</v>
      </c>
      <c r="M2150" s="754">
        <f t="shared" si="91"/>
        <v>0</v>
      </c>
      <c r="N2150" s="756">
        <v>0</v>
      </c>
      <c r="O2150" s="720">
        <f t="shared" si="92"/>
        <v>0</v>
      </c>
    </row>
    <row r="2151" spans="1:15" outlineLevel="2" x14ac:dyDescent="0.25">
      <c r="A2151" s="207" t="str">
        <f>VLOOKUP(RIGHT(E2151,3)+0,SchLocTable!$A$2:$B$47,2,FALSE)</f>
        <v>Bryant</v>
      </c>
      <c r="B2151" s="207" t="str">
        <f>VLOOKUP(VALUE(D2151),$D$3:F$106,3,FALSE)</f>
        <v>SPED Aides</v>
      </c>
      <c r="C2151" s="751" t="s">
        <v>246</v>
      </c>
      <c r="D2151" s="751" t="s">
        <v>726</v>
      </c>
      <c r="E2151" s="751" t="s">
        <v>729</v>
      </c>
      <c r="F2151" s="751" t="s">
        <v>806</v>
      </c>
      <c r="G2151" s="752" t="s">
        <v>1681</v>
      </c>
      <c r="H2151" s="753">
        <v>52397</v>
      </c>
      <c r="I2151" s="754">
        <v>0</v>
      </c>
      <c r="J2151" s="754">
        <v>0</v>
      </c>
      <c r="K2151" s="754">
        <v>0</v>
      </c>
      <c r="L2151" s="754">
        <v>0</v>
      </c>
      <c r="M2151" s="754">
        <f t="shared" si="91"/>
        <v>0</v>
      </c>
      <c r="N2151" s="756">
        <v>0</v>
      </c>
      <c r="O2151" s="720">
        <f t="shared" si="92"/>
        <v>0</v>
      </c>
    </row>
    <row r="2152" spans="1:15" outlineLevel="2" x14ac:dyDescent="0.25">
      <c r="A2152" s="207" t="str">
        <f>VLOOKUP(RIGHT(E2152,3)+0,SchLocTable!$A$2:$B$47,2,FALSE)</f>
        <v>Bryant</v>
      </c>
      <c r="B2152" s="207" t="str">
        <f>VLOOKUP(VALUE(D2152),$D$3:F$106,3,FALSE)</f>
        <v>SPED Aides</v>
      </c>
      <c r="C2152" s="751" t="s">
        <v>246</v>
      </c>
      <c r="D2152" s="751" t="s">
        <v>726</v>
      </c>
      <c r="E2152" s="751" t="s">
        <v>729</v>
      </c>
      <c r="F2152" s="751" t="s">
        <v>331</v>
      </c>
      <c r="G2152" s="752" t="s">
        <v>1681</v>
      </c>
      <c r="H2152" s="753">
        <v>52504</v>
      </c>
      <c r="I2152" s="754">
        <v>15491.24</v>
      </c>
      <c r="J2152" s="754">
        <v>0</v>
      </c>
      <c r="K2152" s="754">
        <v>0</v>
      </c>
      <c r="L2152" s="754">
        <v>4441.88</v>
      </c>
      <c r="M2152" s="754">
        <f t="shared" si="91"/>
        <v>4441.88</v>
      </c>
      <c r="N2152" s="756">
        <v>15491.24</v>
      </c>
      <c r="O2152" s="720">
        <f t="shared" si="92"/>
        <v>0</v>
      </c>
    </row>
    <row r="2153" spans="1:15" outlineLevel="2" x14ac:dyDescent="0.25">
      <c r="A2153" s="207" t="str">
        <f>VLOOKUP(RIGHT(E2153,3)+0,SchLocTable!$A$2:$B$47,2,FALSE)</f>
        <v>Bryant</v>
      </c>
      <c r="B2153" s="207" t="str">
        <f>VLOOKUP(VALUE(D2153),$D$3:F$106,3,FALSE)</f>
        <v>SPED Aides</v>
      </c>
      <c r="C2153" s="751" t="s">
        <v>246</v>
      </c>
      <c r="D2153" s="751" t="s">
        <v>726</v>
      </c>
      <c r="E2153" s="751" t="s">
        <v>729</v>
      </c>
      <c r="F2153" s="751" t="s">
        <v>259</v>
      </c>
      <c r="G2153" s="752" t="s">
        <v>1681</v>
      </c>
      <c r="H2153" s="753">
        <v>52917</v>
      </c>
      <c r="I2153" s="754">
        <v>42328.98</v>
      </c>
      <c r="J2153" s="754">
        <v>0</v>
      </c>
      <c r="K2153" s="754">
        <v>0</v>
      </c>
      <c r="L2153" s="754">
        <v>14908.2</v>
      </c>
      <c r="M2153" s="754">
        <f t="shared" si="91"/>
        <v>14908.2</v>
      </c>
      <c r="N2153" s="756">
        <v>42328.98</v>
      </c>
      <c r="O2153" s="720">
        <f t="shared" si="92"/>
        <v>0</v>
      </c>
    </row>
    <row r="2154" spans="1:15" outlineLevel="2" x14ac:dyDescent="0.25">
      <c r="A2154" s="207" t="str">
        <f>VLOOKUP(RIGHT(E2154,3)+0,SchLocTable!$A$2:$B$47,2,FALSE)</f>
        <v>Columbus</v>
      </c>
      <c r="B2154" s="207" t="str">
        <f>VLOOKUP(VALUE(D2154),$D$3:F$106,3,FALSE)</f>
        <v>SPED Aides</v>
      </c>
      <c r="C2154" s="751" t="s">
        <v>246</v>
      </c>
      <c r="D2154" s="751" t="s">
        <v>726</v>
      </c>
      <c r="E2154" s="751" t="s">
        <v>1758</v>
      </c>
      <c r="F2154" s="751" t="s">
        <v>248</v>
      </c>
      <c r="G2154" s="752">
        <v>2</v>
      </c>
      <c r="H2154" s="753">
        <v>51000</v>
      </c>
      <c r="I2154" s="754">
        <v>70415.649999999994</v>
      </c>
      <c r="J2154" s="754">
        <v>0</v>
      </c>
      <c r="K2154" s="754">
        <v>0</v>
      </c>
      <c r="L2154" s="754">
        <v>15243.52</v>
      </c>
      <c r="M2154" s="754">
        <f t="shared" si="91"/>
        <v>15243.52</v>
      </c>
      <c r="N2154" s="756">
        <v>70415.649999999994</v>
      </c>
      <c r="O2154" s="720">
        <f t="shared" si="92"/>
        <v>0</v>
      </c>
    </row>
    <row r="2155" spans="1:15" outlineLevel="2" x14ac:dyDescent="0.25">
      <c r="A2155" s="207" t="str">
        <f>VLOOKUP(RIGHT(E2155,3)+0,SchLocTable!$A$2:$B$47,2,FALSE)</f>
        <v>Columbus</v>
      </c>
      <c r="B2155" s="207" t="str">
        <f>VLOOKUP(VALUE(D2155),$D$3:F$106,3,FALSE)</f>
        <v>SPED Aides</v>
      </c>
      <c r="C2155" s="751" t="s">
        <v>246</v>
      </c>
      <c r="D2155" s="751" t="s">
        <v>726</v>
      </c>
      <c r="E2155" s="751" t="s">
        <v>1758</v>
      </c>
      <c r="F2155" s="751" t="s">
        <v>257</v>
      </c>
      <c r="G2155" s="752" t="s">
        <v>1681</v>
      </c>
      <c r="H2155" s="753">
        <v>51140</v>
      </c>
      <c r="I2155" s="754">
        <v>3080</v>
      </c>
      <c r="J2155" s="754">
        <v>0</v>
      </c>
      <c r="K2155" s="754">
        <v>0</v>
      </c>
      <c r="L2155" s="754">
        <v>0</v>
      </c>
      <c r="M2155" s="754">
        <f t="shared" si="91"/>
        <v>0</v>
      </c>
      <c r="N2155" s="756">
        <v>3080</v>
      </c>
      <c r="O2155" s="720">
        <f t="shared" si="92"/>
        <v>0</v>
      </c>
    </row>
    <row r="2156" spans="1:15" outlineLevel="2" x14ac:dyDescent="0.25">
      <c r="A2156" s="207" t="str">
        <f>VLOOKUP(RIGHT(E2156,3)+0,SchLocTable!$A$2:$B$47,2,FALSE)</f>
        <v>Columbus</v>
      </c>
      <c r="B2156" s="207" t="str">
        <f>VLOOKUP(VALUE(D2156),$D$3:F$106,3,FALSE)</f>
        <v>SPED Aides</v>
      </c>
      <c r="C2156" s="751" t="s">
        <v>246</v>
      </c>
      <c r="D2156" s="751" t="s">
        <v>726</v>
      </c>
      <c r="E2156" s="751" t="s">
        <v>1758</v>
      </c>
      <c r="F2156" s="751" t="s">
        <v>254</v>
      </c>
      <c r="G2156" s="752" t="s">
        <v>1681</v>
      </c>
      <c r="H2156" s="753">
        <v>52360</v>
      </c>
      <c r="I2156" s="754">
        <v>1013.36</v>
      </c>
      <c r="J2156" s="754">
        <v>0</v>
      </c>
      <c r="K2156" s="754">
        <v>0</v>
      </c>
      <c r="L2156" s="754">
        <v>213.36</v>
      </c>
      <c r="M2156" s="754">
        <f t="shared" si="91"/>
        <v>213.36</v>
      </c>
      <c r="N2156" s="756">
        <v>1013.36</v>
      </c>
      <c r="O2156" s="720">
        <f t="shared" si="92"/>
        <v>0</v>
      </c>
    </row>
    <row r="2157" spans="1:15" outlineLevel="2" x14ac:dyDescent="0.25">
      <c r="A2157" s="207" t="str">
        <f>VLOOKUP(RIGHT(E2157,3)+0,SchLocTable!$A$2:$B$47,2,FALSE)</f>
        <v>Columbus</v>
      </c>
      <c r="B2157" s="207" t="str">
        <f>VLOOKUP(VALUE(D2157),$D$3:F$106,3,FALSE)</f>
        <v>SPED Aides</v>
      </c>
      <c r="C2157" s="751" t="s">
        <v>246</v>
      </c>
      <c r="D2157" s="751" t="s">
        <v>726</v>
      </c>
      <c r="E2157" s="751" t="s">
        <v>1758</v>
      </c>
      <c r="F2157" s="751" t="s">
        <v>292</v>
      </c>
      <c r="G2157" s="752" t="s">
        <v>1681</v>
      </c>
      <c r="H2157" s="753">
        <v>52385</v>
      </c>
      <c r="I2157" s="754">
        <v>0</v>
      </c>
      <c r="J2157" s="754">
        <v>0</v>
      </c>
      <c r="K2157" s="754">
        <v>0</v>
      </c>
      <c r="L2157" s="754">
        <v>0</v>
      </c>
      <c r="M2157" s="754">
        <f t="shared" si="91"/>
        <v>0</v>
      </c>
      <c r="N2157" s="756">
        <v>0</v>
      </c>
      <c r="O2157" s="720">
        <f t="shared" si="92"/>
        <v>0</v>
      </c>
    </row>
    <row r="2158" spans="1:15" outlineLevel="2" x14ac:dyDescent="0.25">
      <c r="A2158" s="207" t="str">
        <f>VLOOKUP(RIGHT(E2158,3)+0,SchLocTable!$A$2:$B$47,2,FALSE)</f>
        <v>Columbus</v>
      </c>
      <c r="B2158" s="207" t="str">
        <f>VLOOKUP(VALUE(D2158),$D$3:F$106,3,FALSE)</f>
        <v>SPED Aides</v>
      </c>
      <c r="C2158" s="751" t="s">
        <v>246</v>
      </c>
      <c r="D2158" s="751" t="s">
        <v>726</v>
      </c>
      <c r="E2158" s="751" t="s">
        <v>1758</v>
      </c>
      <c r="F2158" s="751" t="s">
        <v>331</v>
      </c>
      <c r="G2158" s="752" t="s">
        <v>1681</v>
      </c>
      <c r="H2158" s="753">
        <v>52504</v>
      </c>
      <c r="I2158" s="754">
        <v>14498.55</v>
      </c>
      <c r="J2158" s="754">
        <v>0</v>
      </c>
      <c r="K2158" s="754">
        <v>0</v>
      </c>
      <c r="L2158" s="754">
        <v>3138.61</v>
      </c>
      <c r="M2158" s="754">
        <f t="shared" si="91"/>
        <v>3138.61</v>
      </c>
      <c r="N2158" s="756">
        <v>14498.55</v>
      </c>
      <c r="O2158" s="720">
        <f t="shared" si="92"/>
        <v>0</v>
      </c>
    </row>
    <row r="2159" spans="1:15" outlineLevel="2" x14ac:dyDescent="0.25">
      <c r="A2159" s="207" t="str">
        <f>VLOOKUP(RIGHT(E2159,3)+0,SchLocTable!$A$2:$B$47,2,FALSE)</f>
        <v>Columbus</v>
      </c>
      <c r="B2159" s="207" t="str">
        <f>VLOOKUP(VALUE(D2159),$D$3:F$106,3,FALSE)</f>
        <v>SPED Aides</v>
      </c>
      <c r="C2159" s="751" t="s">
        <v>246</v>
      </c>
      <c r="D2159" s="751" t="s">
        <v>726</v>
      </c>
      <c r="E2159" s="751" t="s">
        <v>1758</v>
      </c>
      <c r="F2159" s="751" t="s">
        <v>259</v>
      </c>
      <c r="G2159" s="752" t="s">
        <v>1681</v>
      </c>
      <c r="H2159" s="753">
        <v>52917</v>
      </c>
      <c r="I2159" s="754">
        <v>11645.72</v>
      </c>
      <c r="J2159" s="754">
        <v>0</v>
      </c>
      <c r="K2159" s="754">
        <v>0</v>
      </c>
      <c r="L2159" s="754">
        <v>1655.79</v>
      </c>
      <c r="M2159" s="754">
        <f t="shared" si="91"/>
        <v>1655.79</v>
      </c>
      <c r="N2159" s="756">
        <v>11645.72</v>
      </c>
      <c r="O2159" s="720">
        <f t="shared" si="92"/>
        <v>0</v>
      </c>
    </row>
    <row r="2160" spans="1:15" outlineLevel="2" x14ac:dyDescent="0.25">
      <c r="A2160" s="207" t="str">
        <f>VLOOKUP(RIGHT(E2160,3)+0,SchLocTable!$A$2:$B$47,2,FALSE)</f>
        <v>Columbus</v>
      </c>
      <c r="B2160" s="207" t="str">
        <f>VLOOKUP(VALUE(D2160),$D$3:F$106,3,FALSE)</f>
        <v>SPED Aides</v>
      </c>
      <c r="C2160" s="751" t="s">
        <v>246</v>
      </c>
      <c r="D2160" s="751" t="s">
        <v>726</v>
      </c>
      <c r="E2160" s="751" t="s">
        <v>1758</v>
      </c>
      <c r="F2160" s="751" t="s">
        <v>333</v>
      </c>
      <c r="G2160" s="752" t="s">
        <v>1681</v>
      </c>
      <c r="H2160" s="753">
        <v>52920</v>
      </c>
      <c r="I2160" s="754">
        <v>958.35</v>
      </c>
      <c r="J2160" s="754">
        <v>0</v>
      </c>
      <c r="K2160" s="754">
        <v>0</v>
      </c>
      <c r="L2160" s="754">
        <v>0</v>
      </c>
      <c r="M2160" s="754">
        <f t="shared" si="91"/>
        <v>0</v>
      </c>
      <c r="N2160" s="756">
        <v>958.35</v>
      </c>
      <c r="O2160" s="720">
        <f t="shared" si="92"/>
        <v>0</v>
      </c>
    </row>
    <row r="2161" spans="1:15" outlineLevel="2" x14ac:dyDescent="0.25">
      <c r="A2161" s="207" t="str">
        <f>VLOOKUP(RIGHT(E2161,3)+0,SchLocTable!$A$2:$B$47,2,FALSE)</f>
        <v>Edison</v>
      </c>
      <c r="B2161" s="207" t="str">
        <f>VLOOKUP(VALUE(D2161),$D$3:F$106,3,FALSE)</f>
        <v>SPED Aides</v>
      </c>
      <c r="C2161" s="751" t="s">
        <v>246</v>
      </c>
      <c r="D2161" s="751" t="s">
        <v>726</v>
      </c>
      <c r="E2161" s="751" t="s">
        <v>730</v>
      </c>
      <c r="F2161" s="751" t="s">
        <v>248</v>
      </c>
      <c r="G2161" s="752">
        <v>1</v>
      </c>
      <c r="H2161" s="753">
        <v>51000</v>
      </c>
      <c r="I2161" s="754">
        <v>36845.599999999999</v>
      </c>
      <c r="J2161" s="754">
        <v>0</v>
      </c>
      <c r="K2161" s="754">
        <v>0</v>
      </c>
      <c r="L2161" s="754">
        <v>6553.25</v>
      </c>
      <c r="M2161" s="754">
        <f t="shared" si="91"/>
        <v>6553.25</v>
      </c>
      <c r="N2161" s="756">
        <v>36845.599999999999</v>
      </c>
      <c r="O2161" s="720">
        <f t="shared" si="92"/>
        <v>0</v>
      </c>
    </row>
    <row r="2162" spans="1:15" outlineLevel="2" x14ac:dyDescent="0.25">
      <c r="A2162" s="207" t="str">
        <f>VLOOKUP(RIGHT(E2162,3)+0,SchLocTable!$A$2:$B$47,2,FALSE)</f>
        <v>Edison</v>
      </c>
      <c r="B2162" s="207" t="str">
        <f>VLOOKUP(VALUE(D2162),$D$3:F$106,3,FALSE)</f>
        <v>SPED Aides</v>
      </c>
      <c r="C2162" s="751" t="s">
        <v>246</v>
      </c>
      <c r="D2162" s="751" t="s">
        <v>726</v>
      </c>
      <c r="E2162" s="751" t="s">
        <v>730</v>
      </c>
      <c r="F2162" s="751" t="s">
        <v>257</v>
      </c>
      <c r="G2162" s="752" t="s">
        <v>1681</v>
      </c>
      <c r="H2162" s="753">
        <v>51140</v>
      </c>
      <c r="I2162" s="754">
        <v>3710</v>
      </c>
      <c r="J2162" s="754">
        <v>0</v>
      </c>
      <c r="K2162" s="754">
        <v>0</v>
      </c>
      <c r="L2162" s="754">
        <v>0</v>
      </c>
      <c r="M2162" s="754">
        <f t="shared" si="91"/>
        <v>0</v>
      </c>
      <c r="N2162" s="756">
        <v>3710</v>
      </c>
      <c r="O2162" s="720">
        <f t="shared" si="92"/>
        <v>0</v>
      </c>
    </row>
    <row r="2163" spans="1:15" outlineLevel="2" x14ac:dyDescent="0.25">
      <c r="A2163" s="207" t="str">
        <f>VLOOKUP(RIGHT(E2163,3)+0,SchLocTable!$A$2:$B$47,2,FALSE)</f>
        <v>Edison</v>
      </c>
      <c r="B2163" s="207" t="str">
        <f>VLOOKUP(VALUE(D2163),$D$3:F$106,3,FALSE)</f>
        <v>SPED Aides</v>
      </c>
      <c r="C2163" s="755" t="s">
        <v>246</v>
      </c>
      <c r="D2163" s="751" t="s">
        <v>726</v>
      </c>
      <c r="E2163" s="751" t="s">
        <v>730</v>
      </c>
      <c r="F2163" s="751" t="s">
        <v>254</v>
      </c>
      <c r="G2163" s="752" t="s">
        <v>1681</v>
      </c>
      <c r="H2163" s="753">
        <v>52360</v>
      </c>
      <c r="I2163" s="754">
        <v>526</v>
      </c>
      <c r="J2163" s="754">
        <v>0</v>
      </c>
      <c r="K2163" s="754">
        <v>0</v>
      </c>
      <c r="L2163" s="754">
        <v>86.76</v>
      </c>
      <c r="M2163" s="754">
        <f t="shared" si="91"/>
        <v>86.76</v>
      </c>
      <c r="N2163" s="756">
        <v>526</v>
      </c>
      <c r="O2163" s="720">
        <f t="shared" si="92"/>
        <v>0</v>
      </c>
    </row>
    <row r="2164" spans="1:15" outlineLevel="2" x14ac:dyDescent="0.25">
      <c r="A2164" s="207" t="str">
        <f>VLOOKUP(RIGHT(E2164,3)+0,SchLocTable!$A$2:$B$47,2,FALSE)</f>
        <v>Edison</v>
      </c>
      <c r="B2164" s="207" t="str">
        <f>VLOOKUP(VALUE(D2164),$D$3:F$106,3,FALSE)</f>
        <v>SPED Aides</v>
      </c>
      <c r="C2164" s="751" t="s">
        <v>246</v>
      </c>
      <c r="D2164" s="751" t="s">
        <v>726</v>
      </c>
      <c r="E2164" s="751" t="s">
        <v>730</v>
      </c>
      <c r="F2164" s="751" t="s">
        <v>331</v>
      </c>
      <c r="G2164" s="752" t="s">
        <v>1681</v>
      </c>
      <c r="H2164" s="753">
        <v>52504</v>
      </c>
      <c r="I2164" s="754">
        <v>7586.52</v>
      </c>
      <c r="J2164" s="754">
        <v>0</v>
      </c>
      <c r="K2164" s="754">
        <v>0</v>
      </c>
      <c r="L2164" s="754">
        <v>1349.32</v>
      </c>
      <c r="M2164" s="754">
        <f t="shared" si="91"/>
        <v>1349.32</v>
      </c>
      <c r="N2164" s="756">
        <v>7586.52</v>
      </c>
      <c r="O2164" s="720">
        <f t="shared" si="92"/>
        <v>0</v>
      </c>
    </row>
    <row r="2165" spans="1:15" outlineLevel="2" x14ac:dyDescent="0.25">
      <c r="A2165" s="207" t="str">
        <f>VLOOKUP(RIGHT(E2165,3)+0,SchLocTable!$A$2:$B$47,2,FALSE)</f>
        <v>Edison</v>
      </c>
      <c r="B2165" s="207" t="str">
        <f>VLOOKUP(VALUE(D2165),$D$3:F$106,3,FALSE)</f>
        <v>SPED Aides</v>
      </c>
      <c r="C2165" s="751" t="s">
        <v>246</v>
      </c>
      <c r="D2165" s="751" t="s">
        <v>726</v>
      </c>
      <c r="E2165" s="751" t="s">
        <v>730</v>
      </c>
      <c r="F2165" s="751" t="s">
        <v>259</v>
      </c>
      <c r="G2165" s="752" t="s">
        <v>1681</v>
      </c>
      <c r="H2165" s="753">
        <v>52917</v>
      </c>
      <c r="I2165" s="754">
        <v>9821.4599999999991</v>
      </c>
      <c r="J2165" s="754">
        <v>0</v>
      </c>
      <c r="K2165" s="754">
        <v>0</v>
      </c>
      <c r="L2165" s="754">
        <v>1777.64</v>
      </c>
      <c r="M2165" s="754">
        <f t="shared" si="91"/>
        <v>1777.64</v>
      </c>
      <c r="N2165" s="756">
        <v>9821.4599999999991</v>
      </c>
      <c r="O2165" s="720">
        <f t="shared" si="92"/>
        <v>0</v>
      </c>
    </row>
    <row r="2166" spans="1:15" outlineLevel="2" x14ac:dyDescent="0.25">
      <c r="A2166" s="207" t="str">
        <f>VLOOKUP(RIGHT(E2166,3)+0,SchLocTable!$A$2:$B$47,2,FALSE)</f>
        <v>Marin</v>
      </c>
      <c r="B2166" s="207" t="str">
        <f>VLOOKUP(VALUE(D2166),$D$3:F$106,3,FALSE)</f>
        <v>SPED Aides</v>
      </c>
      <c r="C2166" s="751" t="s">
        <v>246</v>
      </c>
      <c r="D2166" s="751" t="s">
        <v>726</v>
      </c>
      <c r="E2166" s="751" t="s">
        <v>1759</v>
      </c>
      <c r="F2166" s="751" t="s">
        <v>248</v>
      </c>
      <c r="G2166" s="752" t="s">
        <v>1681</v>
      </c>
      <c r="H2166" s="753">
        <v>51000</v>
      </c>
      <c r="I2166" s="754">
        <v>0</v>
      </c>
      <c r="J2166" s="754">
        <v>0</v>
      </c>
      <c r="K2166" s="754">
        <v>0</v>
      </c>
      <c r="L2166" s="754">
        <v>0</v>
      </c>
      <c r="M2166" s="754">
        <f t="shared" si="91"/>
        <v>0</v>
      </c>
      <c r="N2166" s="756">
        <v>0</v>
      </c>
      <c r="O2166" s="720">
        <f t="shared" si="92"/>
        <v>0</v>
      </c>
    </row>
    <row r="2167" spans="1:15" outlineLevel="2" x14ac:dyDescent="0.25">
      <c r="A2167" s="207" t="str">
        <f>VLOOKUP(RIGHT(E2167,3)+0,SchLocTable!$A$2:$B$47,2,FALSE)</f>
        <v>Marin</v>
      </c>
      <c r="B2167" s="207" t="str">
        <f>VLOOKUP(VALUE(D2167),$D$3:F$106,3,FALSE)</f>
        <v>SPED Aides</v>
      </c>
      <c r="C2167" s="751" t="s">
        <v>246</v>
      </c>
      <c r="D2167" s="751" t="s">
        <v>726</v>
      </c>
      <c r="E2167" s="751" t="s">
        <v>1759</v>
      </c>
      <c r="F2167" s="751" t="s">
        <v>254</v>
      </c>
      <c r="G2167" s="752" t="s">
        <v>1681</v>
      </c>
      <c r="H2167" s="753">
        <v>52360</v>
      </c>
      <c r="I2167" s="754">
        <v>0</v>
      </c>
      <c r="J2167" s="754">
        <v>0</v>
      </c>
      <c r="K2167" s="754">
        <v>0</v>
      </c>
      <c r="L2167" s="754">
        <v>0</v>
      </c>
      <c r="M2167" s="754">
        <f t="shared" si="91"/>
        <v>0</v>
      </c>
      <c r="N2167" s="756">
        <v>0</v>
      </c>
      <c r="O2167" s="720">
        <f t="shared" si="92"/>
        <v>0</v>
      </c>
    </row>
    <row r="2168" spans="1:15" outlineLevel="2" x14ac:dyDescent="0.25">
      <c r="A2168" s="207" t="str">
        <f>VLOOKUP(RIGHT(E2168,3)+0,SchLocTable!$A$2:$B$47,2,FALSE)</f>
        <v>Marin</v>
      </c>
      <c r="B2168" s="207" t="str">
        <f>VLOOKUP(VALUE(D2168),$D$3:F$106,3,FALSE)</f>
        <v>SPED Aides</v>
      </c>
      <c r="C2168" s="751" t="s">
        <v>246</v>
      </c>
      <c r="D2168" s="751" t="s">
        <v>726</v>
      </c>
      <c r="E2168" s="751" t="s">
        <v>1759</v>
      </c>
      <c r="F2168" s="751" t="s">
        <v>292</v>
      </c>
      <c r="G2168" s="752" t="s">
        <v>1681</v>
      </c>
      <c r="H2168" s="753">
        <v>52385</v>
      </c>
      <c r="I2168" s="754">
        <v>0</v>
      </c>
      <c r="J2168" s="754">
        <v>0</v>
      </c>
      <c r="K2168" s="754">
        <v>0</v>
      </c>
      <c r="L2168" s="754">
        <v>0</v>
      </c>
      <c r="M2168" s="754">
        <f t="shared" si="91"/>
        <v>0</v>
      </c>
      <c r="N2168" s="756">
        <v>0</v>
      </c>
      <c r="O2168" s="720">
        <f t="shared" si="92"/>
        <v>0</v>
      </c>
    </row>
    <row r="2169" spans="1:15" outlineLevel="2" x14ac:dyDescent="0.25">
      <c r="A2169" s="207" t="str">
        <f>VLOOKUP(RIGHT(E2169,3)+0,SchLocTable!$A$2:$B$47,2,FALSE)</f>
        <v>Marin</v>
      </c>
      <c r="B2169" s="207" t="str">
        <f>VLOOKUP(VALUE(D2169),$D$3:F$106,3,FALSE)</f>
        <v>SPED Aides</v>
      </c>
      <c r="C2169" s="751" t="s">
        <v>246</v>
      </c>
      <c r="D2169" s="751" t="s">
        <v>726</v>
      </c>
      <c r="E2169" s="751" t="s">
        <v>1759</v>
      </c>
      <c r="F2169" s="751" t="s">
        <v>331</v>
      </c>
      <c r="G2169" s="752" t="s">
        <v>1681</v>
      </c>
      <c r="H2169" s="753">
        <v>52504</v>
      </c>
      <c r="I2169" s="754">
        <v>0</v>
      </c>
      <c r="J2169" s="754">
        <v>0</v>
      </c>
      <c r="K2169" s="754">
        <v>0</v>
      </c>
      <c r="L2169" s="754">
        <v>0</v>
      </c>
      <c r="M2169" s="754">
        <f t="shared" si="91"/>
        <v>0</v>
      </c>
      <c r="N2169" s="756">
        <v>0</v>
      </c>
      <c r="O2169" s="720">
        <f t="shared" si="92"/>
        <v>0</v>
      </c>
    </row>
    <row r="2170" spans="1:15" outlineLevel="2" x14ac:dyDescent="0.25">
      <c r="A2170" s="207" t="str">
        <f>VLOOKUP(RIGHT(E2170,3)+0,SchLocTable!$A$2:$B$47,2,FALSE)</f>
        <v>Marin</v>
      </c>
      <c r="B2170" s="207" t="str">
        <f>VLOOKUP(VALUE(D2170),$D$3:F$106,3,FALSE)</f>
        <v>SPED Aides</v>
      </c>
      <c r="C2170" s="751" t="s">
        <v>246</v>
      </c>
      <c r="D2170" s="751" t="s">
        <v>726</v>
      </c>
      <c r="E2170" s="751" t="s">
        <v>1759</v>
      </c>
      <c r="F2170" s="751" t="s">
        <v>333</v>
      </c>
      <c r="G2170" s="752" t="s">
        <v>1681</v>
      </c>
      <c r="H2170" s="753">
        <v>52920</v>
      </c>
      <c r="I2170" s="754">
        <v>458.35</v>
      </c>
      <c r="J2170" s="754">
        <v>0</v>
      </c>
      <c r="K2170" s="754">
        <v>0</v>
      </c>
      <c r="L2170" s="754">
        <v>0</v>
      </c>
      <c r="M2170" s="754">
        <f t="shared" si="91"/>
        <v>0</v>
      </c>
      <c r="N2170" s="756">
        <v>458.35</v>
      </c>
      <c r="O2170" s="720">
        <f t="shared" si="92"/>
        <v>0</v>
      </c>
    </row>
    <row r="2171" spans="1:15" outlineLevel="2" x14ac:dyDescent="0.25">
      <c r="A2171" s="207" t="str">
        <f>VLOOKUP(RIGHT(E2171,3)+0,SchLocTable!$A$2:$B$47,2,FALSE)</f>
        <v>Hallen</v>
      </c>
      <c r="B2171" s="207" t="str">
        <f>VLOOKUP(VALUE(D2171),$D$3:F$106,3,FALSE)</f>
        <v>SPED Aides</v>
      </c>
      <c r="C2171" s="751" t="s">
        <v>246</v>
      </c>
      <c r="D2171" s="751" t="s">
        <v>726</v>
      </c>
      <c r="E2171" s="751" t="s">
        <v>731</v>
      </c>
      <c r="F2171" s="751" t="s">
        <v>248</v>
      </c>
      <c r="G2171" s="752">
        <v>2</v>
      </c>
      <c r="H2171" s="753">
        <v>51000</v>
      </c>
      <c r="I2171" s="754">
        <v>82182.73</v>
      </c>
      <c r="J2171" s="754">
        <v>0</v>
      </c>
      <c r="K2171" s="754">
        <v>0</v>
      </c>
      <c r="L2171" s="754">
        <v>21598.03</v>
      </c>
      <c r="M2171" s="754">
        <f t="shared" si="91"/>
        <v>21598.03</v>
      </c>
      <c r="N2171" s="756">
        <v>82182.73</v>
      </c>
      <c r="O2171" s="720">
        <f t="shared" si="92"/>
        <v>0</v>
      </c>
    </row>
    <row r="2172" spans="1:15" outlineLevel="2" x14ac:dyDescent="0.25">
      <c r="A2172" s="207" t="str">
        <f>VLOOKUP(RIGHT(E2172,3)+0,SchLocTable!$A$2:$B$47,2,FALSE)</f>
        <v>Hallen</v>
      </c>
      <c r="B2172" s="207" t="str">
        <f>VLOOKUP(VALUE(D2172),$D$3:F$106,3,FALSE)</f>
        <v>SPED Aides</v>
      </c>
      <c r="C2172" s="751" t="s">
        <v>246</v>
      </c>
      <c r="D2172" s="751" t="s">
        <v>726</v>
      </c>
      <c r="E2172" s="751" t="s">
        <v>731</v>
      </c>
      <c r="F2172" s="751" t="s">
        <v>257</v>
      </c>
      <c r="G2172" s="752" t="s">
        <v>1681</v>
      </c>
      <c r="H2172" s="753">
        <v>51140</v>
      </c>
      <c r="I2172" s="754">
        <v>3902.5</v>
      </c>
      <c r="J2172" s="754">
        <v>0</v>
      </c>
      <c r="K2172" s="754">
        <v>0</v>
      </c>
      <c r="L2172" s="754">
        <v>0</v>
      </c>
      <c r="M2172" s="754">
        <f t="shared" si="91"/>
        <v>0</v>
      </c>
      <c r="N2172" s="756">
        <v>3902.5</v>
      </c>
      <c r="O2172" s="720">
        <f t="shared" si="92"/>
        <v>0</v>
      </c>
    </row>
    <row r="2173" spans="1:15" outlineLevel="2" x14ac:dyDescent="0.25">
      <c r="A2173" s="207" t="str">
        <f>VLOOKUP(RIGHT(E2173,3)+0,SchLocTable!$A$2:$B$47,2,FALSE)</f>
        <v>Hallen</v>
      </c>
      <c r="B2173" s="207" t="str">
        <f>VLOOKUP(VALUE(D2173),$D$3:F$106,3,FALSE)</f>
        <v>SPED Aides</v>
      </c>
      <c r="C2173" s="751" t="s">
        <v>246</v>
      </c>
      <c r="D2173" s="751" t="s">
        <v>726</v>
      </c>
      <c r="E2173" s="751" t="s">
        <v>731</v>
      </c>
      <c r="F2173" s="751" t="s">
        <v>254</v>
      </c>
      <c r="G2173" s="752" t="s">
        <v>1681</v>
      </c>
      <c r="H2173" s="753">
        <v>52360</v>
      </c>
      <c r="I2173" s="754">
        <v>1158.6099999999999</v>
      </c>
      <c r="J2173" s="754">
        <v>0</v>
      </c>
      <c r="K2173" s="754">
        <v>0</v>
      </c>
      <c r="L2173" s="754">
        <v>280.13</v>
      </c>
      <c r="M2173" s="754">
        <f t="shared" si="91"/>
        <v>280.13</v>
      </c>
      <c r="N2173" s="756">
        <v>1158.6099999999999</v>
      </c>
      <c r="O2173" s="720">
        <f t="shared" si="92"/>
        <v>0</v>
      </c>
    </row>
    <row r="2174" spans="1:15" outlineLevel="2" x14ac:dyDescent="0.25">
      <c r="A2174" s="207" t="str">
        <f>VLOOKUP(RIGHT(E2174,3)+0,SchLocTable!$A$2:$B$47,2,FALSE)</f>
        <v>Hallen</v>
      </c>
      <c r="B2174" s="207" t="str">
        <f>VLOOKUP(VALUE(D2174),$D$3:F$106,3,FALSE)</f>
        <v>SPED Aides</v>
      </c>
      <c r="C2174" s="751" t="s">
        <v>246</v>
      </c>
      <c r="D2174" s="751" t="s">
        <v>726</v>
      </c>
      <c r="E2174" s="751" t="s">
        <v>731</v>
      </c>
      <c r="F2174" s="751" t="s">
        <v>331</v>
      </c>
      <c r="G2174" s="752" t="s">
        <v>1681</v>
      </c>
      <c r="H2174" s="753">
        <v>52504</v>
      </c>
      <c r="I2174" s="754">
        <v>16921.45</v>
      </c>
      <c r="J2174" s="754">
        <v>0</v>
      </c>
      <c r="K2174" s="754">
        <v>0</v>
      </c>
      <c r="L2174" s="754">
        <v>4447.0600000000004</v>
      </c>
      <c r="M2174" s="754">
        <f t="shared" si="91"/>
        <v>4447.0600000000004</v>
      </c>
      <c r="N2174" s="756">
        <v>16921.45</v>
      </c>
      <c r="O2174" s="720">
        <f t="shared" si="92"/>
        <v>0</v>
      </c>
    </row>
    <row r="2175" spans="1:15" outlineLevel="2" x14ac:dyDescent="0.25">
      <c r="A2175" s="207" t="str">
        <f>VLOOKUP(RIGHT(E2175,3)+0,SchLocTable!$A$2:$B$47,2,FALSE)</f>
        <v>Hallen</v>
      </c>
      <c r="B2175" s="207" t="str">
        <f>VLOOKUP(VALUE(D2175),$D$3:F$106,3,FALSE)</f>
        <v>SPED Aides</v>
      </c>
      <c r="C2175" s="751" t="s">
        <v>246</v>
      </c>
      <c r="D2175" s="751" t="s">
        <v>726</v>
      </c>
      <c r="E2175" s="751" t="s">
        <v>731</v>
      </c>
      <c r="F2175" s="751" t="s">
        <v>259</v>
      </c>
      <c r="G2175" s="752" t="s">
        <v>1681</v>
      </c>
      <c r="H2175" s="753">
        <v>52917</v>
      </c>
      <c r="I2175" s="754">
        <v>20778.900000000001</v>
      </c>
      <c r="J2175" s="754">
        <v>0</v>
      </c>
      <c r="K2175" s="754">
        <v>0</v>
      </c>
      <c r="L2175" s="754">
        <v>5303.4</v>
      </c>
      <c r="M2175" s="754">
        <f t="shared" ref="M2175:M2238" si="93">SUM(J2175:L2175)</f>
        <v>5303.4</v>
      </c>
      <c r="N2175" s="756">
        <v>20778.900000000001</v>
      </c>
      <c r="O2175" s="720">
        <f t="shared" ref="O2175:O2238" si="94">I2175-N2175</f>
        <v>0</v>
      </c>
    </row>
    <row r="2176" spans="1:15" outlineLevel="2" x14ac:dyDescent="0.25">
      <c r="A2176" s="207" t="str">
        <f>VLOOKUP(RIGHT(E2176,3)+0,SchLocTable!$A$2:$B$47,2,FALSE)</f>
        <v>Hooker</v>
      </c>
      <c r="B2176" s="207" t="str">
        <f>VLOOKUP(VALUE(D2176),$D$3:F$106,3,FALSE)</f>
        <v>SPED Aides</v>
      </c>
      <c r="C2176" s="751" t="s">
        <v>246</v>
      </c>
      <c r="D2176" s="751" t="s">
        <v>726</v>
      </c>
      <c r="E2176" s="751" t="s">
        <v>732</v>
      </c>
      <c r="F2176" s="751" t="s">
        <v>248</v>
      </c>
      <c r="G2176" s="752" t="s">
        <v>1681</v>
      </c>
      <c r="H2176" s="753">
        <v>51000</v>
      </c>
      <c r="I2176" s="754">
        <v>1936.08</v>
      </c>
      <c r="J2176" s="754">
        <v>0</v>
      </c>
      <c r="K2176" s="754">
        <v>0</v>
      </c>
      <c r="L2176" s="754">
        <v>1936.08</v>
      </c>
      <c r="M2176" s="754">
        <f t="shared" si="93"/>
        <v>1936.08</v>
      </c>
      <c r="N2176" s="756">
        <v>1936.08</v>
      </c>
      <c r="O2176" s="720">
        <f t="shared" si="94"/>
        <v>0</v>
      </c>
    </row>
    <row r="2177" spans="1:15" outlineLevel="2" x14ac:dyDescent="0.25">
      <c r="A2177" s="207" t="str">
        <f>VLOOKUP(RIGHT(E2177,3)+0,SchLocTable!$A$2:$B$47,2,FALSE)</f>
        <v>Hooker</v>
      </c>
      <c r="B2177" s="207" t="str">
        <f>VLOOKUP(VALUE(D2177),$D$3:F$106,3,FALSE)</f>
        <v>SPED Aides</v>
      </c>
      <c r="C2177" s="751" t="s">
        <v>246</v>
      </c>
      <c r="D2177" s="751" t="s">
        <v>726</v>
      </c>
      <c r="E2177" s="751" t="s">
        <v>732</v>
      </c>
      <c r="F2177" s="751" t="s">
        <v>257</v>
      </c>
      <c r="G2177" s="752" t="s">
        <v>1681</v>
      </c>
      <c r="H2177" s="753">
        <v>51140</v>
      </c>
      <c r="I2177" s="754">
        <v>1295</v>
      </c>
      <c r="J2177" s="754">
        <v>0</v>
      </c>
      <c r="K2177" s="754">
        <v>0</v>
      </c>
      <c r="L2177" s="754">
        <v>0</v>
      </c>
      <c r="M2177" s="754">
        <f t="shared" si="93"/>
        <v>0</v>
      </c>
      <c r="N2177" s="756">
        <v>1295</v>
      </c>
      <c r="O2177" s="720">
        <f t="shared" si="94"/>
        <v>0</v>
      </c>
    </row>
    <row r="2178" spans="1:15" outlineLevel="2" x14ac:dyDescent="0.25">
      <c r="A2178" s="207" t="str">
        <f>VLOOKUP(RIGHT(E2178,3)+0,SchLocTable!$A$2:$B$47,2,FALSE)</f>
        <v>Hooker</v>
      </c>
      <c r="B2178" s="207" t="str">
        <f>VLOOKUP(VALUE(D2178),$D$3:F$106,3,FALSE)</f>
        <v>SPED Aides</v>
      </c>
      <c r="C2178" s="751" t="s">
        <v>246</v>
      </c>
      <c r="D2178" s="751" t="s">
        <v>726</v>
      </c>
      <c r="E2178" s="751" t="s">
        <v>732</v>
      </c>
      <c r="F2178" s="751" t="s">
        <v>254</v>
      </c>
      <c r="G2178" s="752" t="s">
        <v>1681</v>
      </c>
      <c r="H2178" s="753">
        <v>52360</v>
      </c>
      <c r="I2178" s="754">
        <v>28.07</v>
      </c>
      <c r="J2178" s="754">
        <v>0</v>
      </c>
      <c r="K2178" s="754">
        <v>0</v>
      </c>
      <c r="L2178" s="754">
        <v>28.07</v>
      </c>
      <c r="M2178" s="754">
        <f t="shared" si="93"/>
        <v>28.07</v>
      </c>
      <c r="N2178" s="756">
        <v>28.07</v>
      </c>
      <c r="O2178" s="720">
        <f t="shared" si="94"/>
        <v>0</v>
      </c>
    </row>
    <row r="2179" spans="1:15" outlineLevel="2" x14ac:dyDescent="0.25">
      <c r="A2179" s="207" t="str">
        <f>VLOOKUP(RIGHT(E2179,3)+0,SchLocTable!$A$2:$B$47,2,FALSE)</f>
        <v>Hooker</v>
      </c>
      <c r="B2179" s="207" t="str">
        <f>VLOOKUP(VALUE(D2179),$D$3:F$106,3,FALSE)</f>
        <v>SPED Aides</v>
      </c>
      <c r="C2179" s="755" t="s">
        <v>246</v>
      </c>
      <c r="D2179" s="751" t="s">
        <v>726</v>
      </c>
      <c r="E2179" s="751" t="s">
        <v>732</v>
      </c>
      <c r="F2179" s="751" t="s">
        <v>292</v>
      </c>
      <c r="G2179" s="752" t="s">
        <v>1681</v>
      </c>
      <c r="H2179" s="753">
        <v>52385</v>
      </c>
      <c r="I2179" s="754">
        <v>0</v>
      </c>
      <c r="J2179" s="754">
        <v>0</v>
      </c>
      <c r="K2179" s="754">
        <v>0</v>
      </c>
      <c r="L2179" s="754">
        <v>0</v>
      </c>
      <c r="M2179" s="754">
        <f t="shared" si="93"/>
        <v>0</v>
      </c>
      <c r="N2179" s="756">
        <v>0</v>
      </c>
      <c r="O2179" s="720">
        <f t="shared" si="94"/>
        <v>0</v>
      </c>
    </row>
    <row r="2180" spans="1:15" outlineLevel="2" x14ac:dyDescent="0.25">
      <c r="A2180" s="207" t="str">
        <f>VLOOKUP(RIGHT(E2180,3)+0,SchLocTable!$A$2:$B$47,2,FALSE)</f>
        <v>Hooker</v>
      </c>
      <c r="B2180" s="207" t="str">
        <f>VLOOKUP(VALUE(D2180),$D$3:F$106,3,FALSE)</f>
        <v>SPED Aides</v>
      </c>
      <c r="C2180" s="751" t="s">
        <v>246</v>
      </c>
      <c r="D2180" s="751" t="s">
        <v>726</v>
      </c>
      <c r="E2180" s="751" t="s">
        <v>732</v>
      </c>
      <c r="F2180" s="751" t="s">
        <v>331</v>
      </c>
      <c r="G2180" s="752" t="s">
        <v>1681</v>
      </c>
      <c r="H2180" s="753">
        <v>52504</v>
      </c>
      <c r="I2180" s="754">
        <v>398.64</v>
      </c>
      <c r="J2180" s="754">
        <v>0</v>
      </c>
      <c r="K2180" s="754">
        <v>0</v>
      </c>
      <c r="L2180" s="754">
        <v>398.64</v>
      </c>
      <c r="M2180" s="754">
        <f t="shared" si="93"/>
        <v>398.64</v>
      </c>
      <c r="N2180" s="756">
        <v>398.64</v>
      </c>
      <c r="O2180" s="720">
        <f t="shared" si="94"/>
        <v>0</v>
      </c>
    </row>
    <row r="2181" spans="1:15" outlineLevel="2" x14ac:dyDescent="0.25">
      <c r="A2181" s="207" t="str">
        <f>VLOOKUP(RIGHT(E2181,3)+0,SchLocTable!$A$2:$B$47,2,FALSE)</f>
        <v>Hooker</v>
      </c>
      <c r="B2181" s="207" t="str">
        <f>VLOOKUP(VALUE(D2181),$D$3:F$106,3,FALSE)</f>
        <v>SPED Aides</v>
      </c>
      <c r="C2181" s="751" t="s">
        <v>246</v>
      </c>
      <c r="D2181" s="751" t="s">
        <v>726</v>
      </c>
      <c r="E2181" s="751" t="s">
        <v>732</v>
      </c>
      <c r="F2181" s="751" t="s">
        <v>259</v>
      </c>
      <c r="G2181" s="752" t="s">
        <v>1681</v>
      </c>
      <c r="H2181" s="753">
        <v>52917</v>
      </c>
      <c r="I2181" s="754">
        <v>0</v>
      </c>
      <c r="J2181" s="754">
        <v>0</v>
      </c>
      <c r="K2181" s="754">
        <v>0</v>
      </c>
      <c r="L2181" s="754">
        <v>0</v>
      </c>
      <c r="M2181" s="754">
        <f t="shared" si="93"/>
        <v>0</v>
      </c>
      <c r="N2181" s="756">
        <v>0</v>
      </c>
      <c r="O2181" s="720">
        <f t="shared" si="94"/>
        <v>0</v>
      </c>
    </row>
    <row r="2182" spans="1:15" outlineLevel="2" x14ac:dyDescent="0.25">
      <c r="A2182" s="207" t="str">
        <f>VLOOKUP(RIGHT(E2182,3)+0,SchLocTable!$A$2:$B$47,2,FALSE)</f>
        <v>Hooker</v>
      </c>
      <c r="B2182" s="207" t="str">
        <f>VLOOKUP(VALUE(D2182),$D$3:F$106,3,FALSE)</f>
        <v>SPED Aides</v>
      </c>
      <c r="C2182" s="751" t="s">
        <v>246</v>
      </c>
      <c r="D2182" s="751" t="s">
        <v>726</v>
      </c>
      <c r="E2182" s="751" t="s">
        <v>732</v>
      </c>
      <c r="F2182" s="751" t="s">
        <v>333</v>
      </c>
      <c r="G2182" s="752" t="s">
        <v>1681</v>
      </c>
      <c r="H2182" s="753">
        <v>52920</v>
      </c>
      <c r="I2182" s="754">
        <v>333.34</v>
      </c>
      <c r="J2182" s="754">
        <v>0</v>
      </c>
      <c r="K2182" s="754">
        <v>0</v>
      </c>
      <c r="L2182" s="754">
        <v>0</v>
      </c>
      <c r="M2182" s="754">
        <f t="shared" si="93"/>
        <v>0</v>
      </c>
      <c r="N2182" s="756">
        <v>333.34</v>
      </c>
      <c r="O2182" s="720">
        <f t="shared" si="94"/>
        <v>0</v>
      </c>
    </row>
    <row r="2183" spans="1:15" outlineLevel="2" x14ac:dyDescent="0.25">
      <c r="A2183" s="207" t="str">
        <f>VLOOKUP(RIGHT(E2183,3)+0,SchLocTable!$A$2:$B$47,2,FALSE)</f>
        <v>Batalla</v>
      </c>
      <c r="B2183" s="207" t="str">
        <f>VLOOKUP(VALUE(D2183),$D$3:F$106,3,FALSE)</f>
        <v>SPED Aides</v>
      </c>
      <c r="C2183" s="751" t="s">
        <v>246</v>
      </c>
      <c r="D2183" s="751" t="s">
        <v>726</v>
      </c>
      <c r="E2183" s="751" t="s">
        <v>733</v>
      </c>
      <c r="F2183" s="751" t="s">
        <v>248</v>
      </c>
      <c r="G2183" s="752">
        <v>5</v>
      </c>
      <c r="H2183" s="753">
        <v>51000</v>
      </c>
      <c r="I2183" s="754">
        <v>210430.05</v>
      </c>
      <c r="J2183" s="754">
        <v>0</v>
      </c>
      <c r="K2183" s="754">
        <v>0</v>
      </c>
      <c r="L2183" s="754">
        <v>63835.97</v>
      </c>
      <c r="M2183" s="754">
        <f t="shared" si="93"/>
        <v>63835.97</v>
      </c>
      <c r="N2183" s="756">
        <v>210430.05</v>
      </c>
      <c r="O2183" s="720">
        <f t="shared" si="94"/>
        <v>0</v>
      </c>
    </row>
    <row r="2184" spans="1:15" outlineLevel="2" x14ac:dyDescent="0.25">
      <c r="A2184" s="207" t="str">
        <f>VLOOKUP(RIGHT(E2184,3)+0,SchLocTable!$A$2:$B$47,2,FALSE)</f>
        <v>Batalla</v>
      </c>
      <c r="B2184" s="207" t="str">
        <f>VLOOKUP(VALUE(D2184),$D$3:F$106,3,FALSE)</f>
        <v>SPED Aides</v>
      </c>
      <c r="C2184" s="751" t="s">
        <v>246</v>
      </c>
      <c r="D2184" s="751" t="s">
        <v>726</v>
      </c>
      <c r="E2184" s="751" t="s">
        <v>733</v>
      </c>
      <c r="F2184" s="751" t="s">
        <v>257</v>
      </c>
      <c r="G2184" s="752" t="s">
        <v>1681</v>
      </c>
      <c r="H2184" s="753">
        <v>51140</v>
      </c>
      <c r="I2184" s="754">
        <v>6440</v>
      </c>
      <c r="J2184" s="754">
        <v>0</v>
      </c>
      <c r="K2184" s="754">
        <v>0</v>
      </c>
      <c r="L2184" s="754">
        <v>0</v>
      </c>
      <c r="M2184" s="754">
        <f t="shared" si="93"/>
        <v>0</v>
      </c>
      <c r="N2184" s="756">
        <v>6440</v>
      </c>
      <c r="O2184" s="720">
        <f t="shared" si="94"/>
        <v>0</v>
      </c>
    </row>
    <row r="2185" spans="1:15" outlineLevel="2" x14ac:dyDescent="0.25">
      <c r="A2185" s="207" t="str">
        <f>VLOOKUP(RIGHT(E2185,3)+0,SchLocTable!$A$2:$B$47,2,FALSE)</f>
        <v>Batalla</v>
      </c>
      <c r="B2185" s="207" t="str">
        <f>VLOOKUP(VALUE(D2185),$D$3:F$106,3,FALSE)</f>
        <v>SPED Aides</v>
      </c>
      <c r="C2185" s="751" t="s">
        <v>246</v>
      </c>
      <c r="D2185" s="751" t="s">
        <v>726</v>
      </c>
      <c r="E2185" s="751" t="s">
        <v>733</v>
      </c>
      <c r="F2185" s="751" t="s">
        <v>254</v>
      </c>
      <c r="G2185" s="752" t="s">
        <v>1681</v>
      </c>
      <c r="H2185" s="753">
        <v>52360</v>
      </c>
      <c r="I2185" s="754">
        <v>2982.44</v>
      </c>
      <c r="J2185" s="754">
        <v>0</v>
      </c>
      <c r="K2185" s="754">
        <v>0</v>
      </c>
      <c r="L2185" s="754">
        <v>856.83</v>
      </c>
      <c r="M2185" s="754">
        <f t="shared" si="93"/>
        <v>856.83</v>
      </c>
      <c r="N2185" s="756">
        <v>2982.44</v>
      </c>
      <c r="O2185" s="720">
        <f t="shared" si="94"/>
        <v>0</v>
      </c>
    </row>
    <row r="2186" spans="1:15" outlineLevel="2" x14ac:dyDescent="0.25">
      <c r="A2186" s="207" t="str">
        <f>VLOOKUP(RIGHT(E2186,3)+0,SchLocTable!$A$2:$B$47,2,FALSE)</f>
        <v>Batalla</v>
      </c>
      <c r="B2186" s="207" t="str">
        <f>VLOOKUP(VALUE(D2186),$D$3:F$106,3,FALSE)</f>
        <v>SPED Aides</v>
      </c>
      <c r="C2186" s="751" t="s">
        <v>246</v>
      </c>
      <c r="D2186" s="751" t="s">
        <v>726</v>
      </c>
      <c r="E2186" s="751" t="s">
        <v>733</v>
      </c>
      <c r="F2186" s="751" t="s">
        <v>292</v>
      </c>
      <c r="G2186" s="752" t="s">
        <v>1681</v>
      </c>
      <c r="H2186" s="753">
        <v>52385</v>
      </c>
      <c r="I2186" s="754">
        <v>0</v>
      </c>
      <c r="J2186" s="754">
        <v>0</v>
      </c>
      <c r="K2186" s="754">
        <v>0</v>
      </c>
      <c r="L2186" s="754">
        <v>0</v>
      </c>
      <c r="M2186" s="754">
        <f t="shared" si="93"/>
        <v>0</v>
      </c>
      <c r="N2186" s="756">
        <v>0</v>
      </c>
      <c r="O2186" s="720">
        <f t="shared" si="94"/>
        <v>0</v>
      </c>
    </row>
    <row r="2187" spans="1:15" outlineLevel="2" x14ac:dyDescent="0.25">
      <c r="A2187" s="207" t="str">
        <f>VLOOKUP(RIGHT(E2187,3)+0,SchLocTable!$A$2:$B$47,2,FALSE)</f>
        <v>Batalla</v>
      </c>
      <c r="B2187" s="207" t="str">
        <f>VLOOKUP(VALUE(D2187),$D$3:F$106,3,FALSE)</f>
        <v>SPED Aides</v>
      </c>
      <c r="C2187" s="751" t="s">
        <v>246</v>
      </c>
      <c r="D2187" s="751" t="s">
        <v>726</v>
      </c>
      <c r="E2187" s="751" t="s">
        <v>733</v>
      </c>
      <c r="F2187" s="751" t="s">
        <v>331</v>
      </c>
      <c r="G2187" s="752" t="s">
        <v>1681</v>
      </c>
      <c r="H2187" s="753">
        <v>52504</v>
      </c>
      <c r="I2187" s="754">
        <v>43327.519999999997</v>
      </c>
      <c r="J2187" s="754">
        <v>0</v>
      </c>
      <c r="K2187" s="754">
        <v>0</v>
      </c>
      <c r="L2187" s="754">
        <v>13143.8</v>
      </c>
      <c r="M2187" s="754">
        <f t="shared" si="93"/>
        <v>13143.8</v>
      </c>
      <c r="N2187" s="756">
        <v>43327.519999999997</v>
      </c>
      <c r="O2187" s="720">
        <f t="shared" si="94"/>
        <v>0</v>
      </c>
    </row>
    <row r="2188" spans="1:15" outlineLevel="2" x14ac:dyDescent="0.25">
      <c r="A2188" s="207" t="str">
        <f>VLOOKUP(RIGHT(E2188,3)+0,SchLocTable!$A$2:$B$47,2,FALSE)</f>
        <v>Batalla</v>
      </c>
      <c r="B2188" s="207" t="str">
        <f>VLOOKUP(VALUE(D2188),$D$3:F$106,3,FALSE)</f>
        <v>SPED Aides</v>
      </c>
      <c r="C2188" s="755" t="s">
        <v>246</v>
      </c>
      <c r="D2188" s="751" t="s">
        <v>726</v>
      </c>
      <c r="E2188" s="751" t="s">
        <v>733</v>
      </c>
      <c r="F2188" s="751" t="s">
        <v>259</v>
      </c>
      <c r="G2188" s="752" t="s">
        <v>1681</v>
      </c>
      <c r="H2188" s="753">
        <v>52917</v>
      </c>
      <c r="I2188" s="754">
        <v>55514</v>
      </c>
      <c r="J2188" s="754">
        <v>0</v>
      </c>
      <c r="K2188" s="754">
        <v>0</v>
      </c>
      <c r="L2188" s="754">
        <v>16203.15</v>
      </c>
      <c r="M2188" s="754">
        <f t="shared" si="93"/>
        <v>16203.15</v>
      </c>
      <c r="N2188" s="756">
        <v>55514</v>
      </c>
      <c r="O2188" s="720">
        <f t="shared" si="94"/>
        <v>0</v>
      </c>
    </row>
    <row r="2189" spans="1:15" outlineLevel="2" x14ac:dyDescent="0.25">
      <c r="A2189" s="207" t="str">
        <f>VLOOKUP(RIGHT(E2189,3)+0,SchLocTable!$A$2:$B$47,2,FALSE)</f>
        <v>Park City Magnet</v>
      </c>
      <c r="B2189" s="207" t="str">
        <f>VLOOKUP(VALUE(D2189),$D$3:F$106,3,FALSE)</f>
        <v>SPED Aides</v>
      </c>
      <c r="C2189" s="751" t="s">
        <v>246</v>
      </c>
      <c r="D2189" s="751" t="s">
        <v>726</v>
      </c>
      <c r="E2189" s="751" t="s">
        <v>734</v>
      </c>
      <c r="F2189" s="751" t="s">
        <v>248</v>
      </c>
      <c r="G2189" s="752">
        <v>2</v>
      </c>
      <c r="H2189" s="753">
        <v>51000</v>
      </c>
      <c r="I2189" s="754">
        <v>69290.19</v>
      </c>
      <c r="J2189" s="754">
        <v>0</v>
      </c>
      <c r="K2189" s="754">
        <v>0</v>
      </c>
      <c r="L2189" s="754">
        <v>18511.5</v>
      </c>
      <c r="M2189" s="754">
        <f t="shared" si="93"/>
        <v>18511.5</v>
      </c>
      <c r="N2189" s="756">
        <v>69290.19</v>
      </c>
      <c r="O2189" s="720">
        <f t="shared" si="94"/>
        <v>0</v>
      </c>
    </row>
    <row r="2190" spans="1:15" outlineLevel="2" x14ac:dyDescent="0.25">
      <c r="A2190" s="207" t="str">
        <f>VLOOKUP(RIGHT(E2190,3)+0,SchLocTable!$A$2:$B$47,2,FALSE)</f>
        <v>Park City Magnet</v>
      </c>
      <c r="B2190" s="207" t="str">
        <f>VLOOKUP(VALUE(D2190),$D$3:F$106,3,FALSE)</f>
        <v>SPED Aides</v>
      </c>
      <c r="C2190" s="751" t="s">
        <v>246</v>
      </c>
      <c r="D2190" s="751" t="s">
        <v>726</v>
      </c>
      <c r="E2190" s="751" t="s">
        <v>734</v>
      </c>
      <c r="F2190" s="751" t="s">
        <v>257</v>
      </c>
      <c r="G2190" s="752" t="s">
        <v>1681</v>
      </c>
      <c r="H2190" s="753">
        <v>51140</v>
      </c>
      <c r="I2190" s="754">
        <v>3920</v>
      </c>
      <c r="J2190" s="754">
        <v>0</v>
      </c>
      <c r="K2190" s="754">
        <v>0</v>
      </c>
      <c r="L2190" s="754">
        <v>0</v>
      </c>
      <c r="M2190" s="754">
        <f t="shared" si="93"/>
        <v>0</v>
      </c>
      <c r="N2190" s="756">
        <v>3920</v>
      </c>
      <c r="O2190" s="720">
        <f t="shared" si="94"/>
        <v>0</v>
      </c>
    </row>
    <row r="2191" spans="1:15" outlineLevel="2" x14ac:dyDescent="0.25">
      <c r="A2191" s="207" t="str">
        <f>VLOOKUP(RIGHT(E2191,3)+0,SchLocTable!$A$2:$B$47,2,FALSE)</f>
        <v>Park City Magnet</v>
      </c>
      <c r="B2191" s="207" t="str">
        <f>VLOOKUP(VALUE(D2191),$D$3:F$106,3,FALSE)</f>
        <v>SPED Aides</v>
      </c>
      <c r="C2191" s="751" t="s">
        <v>246</v>
      </c>
      <c r="D2191" s="751" t="s">
        <v>726</v>
      </c>
      <c r="E2191" s="751" t="s">
        <v>734</v>
      </c>
      <c r="F2191" s="751" t="s">
        <v>254</v>
      </c>
      <c r="G2191" s="752" t="s">
        <v>1681</v>
      </c>
      <c r="H2191" s="753">
        <v>52360</v>
      </c>
      <c r="I2191" s="754">
        <v>1004.71</v>
      </c>
      <c r="J2191" s="754">
        <v>0</v>
      </c>
      <c r="K2191" s="754">
        <v>0</v>
      </c>
      <c r="L2191" s="754">
        <v>268.42</v>
      </c>
      <c r="M2191" s="754">
        <f t="shared" si="93"/>
        <v>268.42</v>
      </c>
      <c r="N2191" s="756">
        <v>1004.71</v>
      </c>
      <c r="O2191" s="720">
        <f t="shared" si="94"/>
        <v>0</v>
      </c>
    </row>
    <row r="2192" spans="1:15" outlineLevel="2" x14ac:dyDescent="0.25">
      <c r="A2192" s="207" t="str">
        <f>VLOOKUP(RIGHT(E2192,3)+0,SchLocTable!$A$2:$B$47,2,FALSE)</f>
        <v>Park City Magnet</v>
      </c>
      <c r="B2192" s="207" t="str">
        <f>VLOOKUP(VALUE(D2192),$D$3:F$106,3,FALSE)</f>
        <v>SPED Aides</v>
      </c>
      <c r="C2192" s="751" t="s">
        <v>246</v>
      </c>
      <c r="D2192" s="751" t="s">
        <v>726</v>
      </c>
      <c r="E2192" s="751" t="s">
        <v>734</v>
      </c>
      <c r="F2192" s="751" t="s">
        <v>292</v>
      </c>
      <c r="G2192" s="752" t="s">
        <v>1681</v>
      </c>
      <c r="H2192" s="753">
        <v>52385</v>
      </c>
      <c r="I2192" s="754">
        <v>0</v>
      </c>
      <c r="J2192" s="754">
        <v>0</v>
      </c>
      <c r="K2192" s="754">
        <v>0</v>
      </c>
      <c r="L2192" s="754">
        <v>0</v>
      </c>
      <c r="M2192" s="754">
        <f t="shared" si="93"/>
        <v>0</v>
      </c>
      <c r="N2192" s="756">
        <v>0</v>
      </c>
      <c r="O2192" s="720">
        <f t="shared" si="94"/>
        <v>0</v>
      </c>
    </row>
    <row r="2193" spans="1:15" outlineLevel="2" x14ac:dyDescent="0.25">
      <c r="A2193" s="207" t="str">
        <f>VLOOKUP(RIGHT(E2193,3)+0,SchLocTable!$A$2:$B$47,2,FALSE)</f>
        <v>Park City Magnet</v>
      </c>
      <c r="B2193" s="207" t="str">
        <f>VLOOKUP(VALUE(D2193),$D$3:F$106,3,FALSE)</f>
        <v>SPED Aides</v>
      </c>
      <c r="C2193" s="751" t="s">
        <v>246</v>
      </c>
      <c r="D2193" s="751" t="s">
        <v>726</v>
      </c>
      <c r="E2193" s="751" t="s">
        <v>734</v>
      </c>
      <c r="F2193" s="751" t="s">
        <v>331</v>
      </c>
      <c r="G2193" s="752" t="s">
        <v>1681</v>
      </c>
      <c r="H2193" s="753">
        <v>52504</v>
      </c>
      <c r="I2193" s="754">
        <v>14266.8</v>
      </c>
      <c r="J2193" s="754">
        <v>0</v>
      </c>
      <c r="K2193" s="754">
        <v>0</v>
      </c>
      <c r="L2193" s="754">
        <v>3811.47</v>
      </c>
      <c r="M2193" s="754">
        <f t="shared" si="93"/>
        <v>3811.47</v>
      </c>
      <c r="N2193" s="756">
        <v>14266.8</v>
      </c>
      <c r="O2193" s="720">
        <f t="shared" si="94"/>
        <v>0</v>
      </c>
    </row>
    <row r="2194" spans="1:15" outlineLevel="2" x14ac:dyDescent="0.25">
      <c r="A2194" s="207" t="str">
        <f>VLOOKUP(RIGHT(E2194,3)+0,SchLocTable!$A$2:$B$47,2,FALSE)</f>
        <v>Park City Magnet</v>
      </c>
      <c r="B2194" s="207" t="str">
        <f>VLOOKUP(VALUE(D2194),$D$3:F$106,3,FALSE)</f>
        <v>SPED Aides</v>
      </c>
      <c r="C2194" s="751" t="s">
        <v>246</v>
      </c>
      <c r="D2194" s="751" t="s">
        <v>726</v>
      </c>
      <c r="E2194" s="751" t="s">
        <v>734</v>
      </c>
      <c r="F2194" s="751" t="s">
        <v>259</v>
      </c>
      <c r="G2194" s="752" t="s">
        <v>1681</v>
      </c>
      <c r="H2194" s="753">
        <v>52917</v>
      </c>
      <c r="I2194" s="754">
        <v>550.79999999999995</v>
      </c>
      <c r="J2194" s="754">
        <v>0</v>
      </c>
      <c r="K2194" s="754">
        <v>0</v>
      </c>
      <c r="L2194" s="754">
        <v>183.6</v>
      </c>
      <c r="M2194" s="754">
        <f t="shared" si="93"/>
        <v>183.6</v>
      </c>
      <c r="N2194" s="756">
        <v>550.79999999999995</v>
      </c>
      <c r="O2194" s="720">
        <f t="shared" si="94"/>
        <v>0</v>
      </c>
    </row>
    <row r="2195" spans="1:15" outlineLevel="2" x14ac:dyDescent="0.25">
      <c r="A2195" s="207" t="str">
        <f>VLOOKUP(RIGHT(E2195,3)+0,SchLocTable!$A$2:$B$47,2,FALSE)</f>
        <v>Park City Magnet</v>
      </c>
      <c r="B2195" s="207" t="str">
        <f>VLOOKUP(VALUE(D2195),$D$3:F$106,3,FALSE)</f>
        <v>SPED Aides</v>
      </c>
      <c r="C2195" s="751" t="s">
        <v>246</v>
      </c>
      <c r="D2195" s="751" t="s">
        <v>726</v>
      </c>
      <c r="E2195" s="751" t="s">
        <v>734</v>
      </c>
      <c r="F2195" s="751" t="s">
        <v>333</v>
      </c>
      <c r="G2195" s="752" t="s">
        <v>1681</v>
      </c>
      <c r="H2195" s="753">
        <v>52920</v>
      </c>
      <c r="I2195" s="754">
        <v>500</v>
      </c>
      <c r="J2195" s="754">
        <v>0</v>
      </c>
      <c r="K2195" s="754">
        <v>0</v>
      </c>
      <c r="L2195" s="754">
        <v>0</v>
      </c>
      <c r="M2195" s="754">
        <f t="shared" si="93"/>
        <v>0</v>
      </c>
      <c r="N2195" s="756">
        <v>500</v>
      </c>
      <c r="O2195" s="720">
        <f t="shared" si="94"/>
        <v>0</v>
      </c>
    </row>
    <row r="2196" spans="1:15" outlineLevel="2" x14ac:dyDescent="0.25">
      <c r="A2196" s="207" t="str">
        <f>VLOOKUP(RIGHT(E2196,3)+0,SchLocTable!$A$2:$B$47,2,FALSE)</f>
        <v>Madison</v>
      </c>
      <c r="B2196" s="207" t="str">
        <f>VLOOKUP(VALUE(D2196),$D$3:F$106,3,FALSE)</f>
        <v>SPED Aides</v>
      </c>
      <c r="C2196" s="751" t="s">
        <v>246</v>
      </c>
      <c r="D2196" s="751" t="s">
        <v>726</v>
      </c>
      <c r="E2196" s="751" t="s">
        <v>2117</v>
      </c>
      <c r="F2196" s="751" t="s">
        <v>257</v>
      </c>
      <c r="G2196" s="752" t="s">
        <v>1681</v>
      </c>
      <c r="H2196" s="753">
        <v>51140</v>
      </c>
      <c r="I2196" s="754">
        <v>8780</v>
      </c>
      <c r="J2196" s="754">
        <v>0</v>
      </c>
      <c r="K2196" s="754">
        <v>0</v>
      </c>
      <c r="L2196" s="754">
        <v>0</v>
      </c>
      <c r="M2196" s="754">
        <f t="shared" si="93"/>
        <v>0</v>
      </c>
      <c r="N2196" s="756">
        <v>8780</v>
      </c>
      <c r="O2196" s="720">
        <f t="shared" si="94"/>
        <v>0</v>
      </c>
    </row>
    <row r="2197" spans="1:15" outlineLevel="2" x14ac:dyDescent="0.25">
      <c r="A2197" s="207" t="str">
        <f>VLOOKUP(RIGHT(E2197,3)+0,SchLocTable!$A$2:$B$47,2,FALSE)</f>
        <v>Madison</v>
      </c>
      <c r="B2197" s="207" t="str">
        <f>VLOOKUP(VALUE(D2197),$D$3:F$106,3,FALSE)</f>
        <v>SPED Aides</v>
      </c>
      <c r="C2197" s="751" t="s">
        <v>246</v>
      </c>
      <c r="D2197" s="751" t="s">
        <v>726</v>
      </c>
      <c r="E2197" s="751" t="s">
        <v>2117</v>
      </c>
      <c r="F2197" s="751" t="s">
        <v>254</v>
      </c>
      <c r="G2197" s="752" t="s">
        <v>1681</v>
      </c>
      <c r="H2197" s="753">
        <v>52360</v>
      </c>
      <c r="I2197" s="754">
        <v>0</v>
      </c>
      <c r="J2197" s="754">
        <v>0</v>
      </c>
      <c r="K2197" s="754">
        <v>0</v>
      </c>
      <c r="L2197" s="754">
        <v>0</v>
      </c>
      <c r="M2197" s="754">
        <f t="shared" si="93"/>
        <v>0</v>
      </c>
      <c r="N2197" s="756">
        <v>0</v>
      </c>
      <c r="O2197" s="720">
        <f t="shared" si="94"/>
        <v>0</v>
      </c>
    </row>
    <row r="2198" spans="1:15" outlineLevel="2" x14ac:dyDescent="0.25">
      <c r="A2198" s="207" t="str">
        <f>VLOOKUP(RIGHT(E2198,3)+0,SchLocTable!$A$2:$B$47,2,FALSE)</f>
        <v>Madison</v>
      </c>
      <c r="B2198" s="207" t="str">
        <f>VLOOKUP(VALUE(D2198),$D$3:F$106,3,FALSE)</f>
        <v>SPED Aides</v>
      </c>
      <c r="C2198" s="751" t="s">
        <v>246</v>
      </c>
      <c r="D2198" s="751" t="s">
        <v>726</v>
      </c>
      <c r="E2198" s="751" t="s">
        <v>2117</v>
      </c>
      <c r="F2198" s="751" t="s">
        <v>331</v>
      </c>
      <c r="G2198" s="752" t="s">
        <v>1681</v>
      </c>
      <c r="H2198" s="753">
        <v>52504</v>
      </c>
      <c r="I2198" s="754">
        <v>0</v>
      </c>
      <c r="J2198" s="754">
        <v>0</v>
      </c>
      <c r="K2198" s="754">
        <v>0</v>
      </c>
      <c r="L2198" s="754">
        <v>0</v>
      </c>
      <c r="M2198" s="754">
        <f t="shared" si="93"/>
        <v>0</v>
      </c>
      <c r="N2198" s="756">
        <v>0</v>
      </c>
      <c r="O2198" s="720">
        <f t="shared" si="94"/>
        <v>0</v>
      </c>
    </row>
    <row r="2199" spans="1:15" outlineLevel="2" x14ac:dyDescent="0.25">
      <c r="A2199" s="207" t="str">
        <f>VLOOKUP(RIGHT(E2199,3)+0,SchLocTable!$A$2:$B$47,2,FALSE)</f>
        <v>Classical Studies Academy</v>
      </c>
      <c r="B2199" s="207" t="str">
        <f>VLOOKUP(VALUE(D2199),$D$3:F$106,3,FALSE)</f>
        <v>SPED Aides</v>
      </c>
      <c r="C2199" s="751" t="s">
        <v>246</v>
      </c>
      <c r="D2199" s="751" t="s">
        <v>726</v>
      </c>
      <c r="E2199" s="751" t="s">
        <v>735</v>
      </c>
      <c r="F2199" s="751" t="s">
        <v>248</v>
      </c>
      <c r="G2199" s="752" t="s">
        <v>1681</v>
      </c>
      <c r="H2199" s="753">
        <v>51000</v>
      </c>
      <c r="I2199" s="754">
        <v>0</v>
      </c>
      <c r="J2199" s="754">
        <v>0</v>
      </c>
      <c r="K2199" s="754">
        <v>0</v>
      </c>
      <c r="L2199" s="754">
        <v>0</v>
      </c>
      <c r="M2199" s="754">
        <f t="shared" si="93"/>
        <v>0</v>
      </c>
      <c r="N2199" s="756">
        <v>0</v>
      </c>
      <c r="O2199" s="720">
        <f t="shared" si="94"/>
        <v>0</v>
      </c>
    </row>
    <row r="2200" spans="1:15" outlineLevel="2" x14ac:dyDescent="0.25">
      <c r="A2200" s="207" t="str">
        <f>VLOOKUP(RIGHT(E2200,3)+0,SchLocTable!$A$2:$B$47,2,FALSE)</f>
        <v>Classical Studies Academy</v>
      </c>
      <c r="B2200" s="207" t="str">
        <f>VLOOKUP(VALUE(D2200),$D$3:F$106,3,FALSE)</f>
        <v>SPED Aides</v>
      </c>
      <c r="C2200" s="751" t="s">
        <v>246</v>
      </c>
      <c r="D2200" s="751" t="s">
        <v>726</v>
      </c>
      <c r="E2200" s="751" t="s">
        <v>735</v>
      </c>
      <c r="F2200" s="751" t="s">
        <v>257</v>
      </c>
      <c r="G2200" s="752" t="s">
        <v>1681</v>
      </c>
      <c r="H2200" s="753">
        <v>51140</v>
      </c>
      <c r="I2200" s="754">
        <v>4830</v>
      </c>
      <c r="J2200" s="754">
        <v>0</v>
      </c>
      <c r="K2200" s="754">
        <v>0</v>
      </c>
      <c r="L2200" s="754">
        <v>0</v>
      </c>
      <c r="M2200" s="754">
        <f t="shared" si="93"/>
        <v>0</v>
      </c>
      <c r="N2200" s="756">
        <v>4830</v>
      </c>
      <c r="O2200" s="720">
        <f t="shared" si="94"/>
        <v>0</v>
      </c>
    </row>
    <row r="2201" spans="1:15" outlineLevel="2" x14ac:dyDescent="0.25">
      <c r="A2201" s="207" t="str">
        <f>VLOOKUP(RIGHT(E2201,3)+0,SchLocTable!$A$2:$B$47,2,FALSE)</f>
        <v>Classical Studies Academy</v>
      </c>
      <c r="B2201" s="207" t="str">
        <f>VLOOKUP(VALUE(D2201),$D$3:F$106,3,FALSE)</f>
        <v>SPED Aides</v>
      </c>
      <c r="C2201" s="755" t="s">
        <v>246</v>
      </c>
      <c r="D2201" s="751" t="s">
        <v>726</v>
      </c>
      <c r="E2201" s="751" t="s">
        <v>735</v>
      </c>
      <c r="F2201" s="751" t="s">
        <v>252</v>
      </c>
      <c r="G2201" s="752" t="s">
        <v>1681</v>
      </c>
      <c r="H2201" s="753">
        <v>51154</v>
      </c>
      <c r="I2201" s="754">
        <v>0</v>
      </c>
      <c r="J2201" s="754">
        <v>0</v>
      </c>
      <c r="K2201" s="754">
        <v>0</v>
      </c>
      <c r="L2201" s="754">
        <v>0</v>
      </c>
      <c r="M2201" s="754">
        <f t="shared" si="93"/>
        <v>0</v>
      </c>
      <c r="N2201" s="756">
        <v>0</v>
      </c>
      <c r="O2201" s="720">
        <f t="shared" si="94"/>
        <v>0</v>
      </c>
    </row>
    <row r="2202" spans="1:15" outlineLevel="2" x14ac:dyDescent="0.25">
      <c r="A2202" s="207" t="str">
        <f>VLOOKUP(RIGHT(E2202,3)+0,SchLocTable!$A$2:$B$47,2,FALSE)</f>
        <v>Classical Studies Academy</v>
      </c>
      <c r="B2202" s="207" t="str">
        <f>VLOOKUP(VALUE(D2202),$D$3:F$106,3,FALSE)</f>
        <v>SPED Aides</v>
      </c>
      <c r="C2202" s="751" t="s">
        <v>246</v>
      </c>
      <c r="D2202" s="751" t="s">
        <v>726</v>
      </c>
      <c r="E2202" s="751" t="s">
        <v>735</v>
      </c>
      <c r="F2202" s="751" t="s">
        <v>254</v>
      </c>
      <c r="G2202" s="752" t="s">
        <v>1681</v>
      </c>
      <c r="H2202" s="753">
        <v>52360</v>
      </c>
      <c r="I2202" s="754">
        <v>0</v>
      </c>
      <c r="J2202" s="754">
        <v>0</v>
      </c>
      <c r="K2202" s="754">
        <v>0</v>
      </c>
      <c r="L2202" s="754">
        <v>0</v>
      </c>
      <c r="M2202" s="754">
        <f t="shared" si="93"/>
        <v>0</v>
      </c>
      <c r="N2202" s="756">
        <v>0</v>
      </c>
      <c r="O2202" s="720">
        <f t="shared" si="94"/>
        <v>0</v>
      </c>
    </row>
    <row r="2203" spans="1:15" outlineLevel="2" x14ac:dyDescent="0.25">
      <c r="A2203" s="207" t="str">
        <f>VLOOKUP(RIGHT(E2203,3)+0,SchLocTable!$A$2:$B$47,2,FALSE)</f>
        <v>Classical Studies Academy</v>
      </c>
      <c r="B2203" s="207" t="str">
        <f>VLOOKUP(VALUE(D2203),$D$3:F$106,3,FALSE)</f>
        <v>SPED Aides</v>
      </c>
      <c r="C2203" s="751" t="s">
        <v>246</v>
      </c>
      <c r="D2203" s="751" t="s">
        <v>726</v>
      </c>
      <c r="E2203" s="751" t="s">
        <v>735</v>
      </c>
      <c r="F2203" s="751" t="s">
        <v>331</v>
      </c>
      <c r="G2203" s="752" t="s">
        <v>1681</v>
      </c>
      <c r="H2203" s="753">
        <v>52504</v>
      </c>
      <c r="I2203" s="754">
        <v>0</v>
      </c>
      <c r="J2203" s="754">
        <v>0</v>
      </c>
      <c r="K2203" s="754">
        <v>0</v>
      </c>
      <c r="L2203" s="754">
        <v>0</v>
      </c>
      <c r="M2203" s="754">
        <f t="shared" si="93"/>
        <v>0</v>
      </c>
      <c r="N2203" s="756">
        <v>0</v>
      </c>
      <c r="O2203" s="720">
        <f t="shared" si="94"/>
        <v>0</v>
      </c>
    </row>
    <row r="2204" spans="1:15" outlineLevel="2" x14ac:dyDescent="0.25">
      <c r="A2204" s="207" t="str">
        <f>VLOOKUP(RIGHT(E2204,3)+0,SchLocTable!$A$2:$B$47,2,FALSE)</f>
        <v>Classical Studies Academy</v>
      </c>
      <c r="B2204" s="207" t="str">
        <f>VLOOKUP(VALUE(D2204),$D$3:F$106,3,FALSE)</f>
        <v>SPED Aides</v>
      </c>
      <c r="C2204" s="751" t="s">
        <v>246</v>
      </c>
      <c r="D2204" s="751" t="s">
        <v>726</v>
      </c>
      <c r="E2204" s="751" t="s">
        <v>735</v>
      </c>
      <c r="F2204" s="751" t="s">
        <v>259</v>
      </c>
      <c r="G2204" s="752" t="s">
        <v>1681</v>
      </c>
      <c r="H2204" s="753">
        <v>52917</v>
      </c>
      <c r="I2204" s="754">
        <v>0</v>
      </c>
      <c r="J2204" s="754">
        <v>0</v>
      </c>
      <c r="K2204" s="754">
        <v>0</v>
      </c>
      <c r="L2204" s="754">
        <v>0</v>
      </c>
      <c r="M2204" s="754">
        <f t="shared" si="93"/>
        <v>0</v>
      </c>
      <c r="N2204" s="756">
        <v>0</v>
      </c>
      <c r="O2204" s="720">
        <f t="shared" si="94"/>
        <v>0</v>
      </c>
    </row>
    <row r="2205" spans="1:15" outlineLevel="2" x14ac:dyDescent="0.25">
      <c r="A2205" s="207" t="str">
        <f>VLOOKUP(RIGHT(E2205,3)+0,SchLocTable!$A$2:$B$47,2,FALSE)</f>
        <v>Tisdale</v>
      </c>
      <c r="B2205" s="207" t="str">
        <f>VLOOKUP(VALUE(D2205),$D$3:F$106,3,FALSE)</f>
        <v>SPED Aides</v>
      </c>
      <c r="C2205" s="751" t="s">
        <v>246</v>
      </c>
      <c r="D2205" s="751" t="s">
        <v>726</v>
      </c>
      <c r="E2205" s="751" t="s">
        <v>736</v>
      </c>
      <c r="F2205" s="751" t="s">
        <v>248</v>
      </c>
      <c r="G2205" s="752">
        <v>6</v>
      </c>
      <c r="H2205" s="753">
        <v>51000</v>
      </c>
      <c r="I2205" s="754">
        <v>232443.07</v>
      </c>
      <c r="J2205" s="754">
        <v>0</v>
      </c>
      <c r="K2205" s="754">
        <v>0</v>
      </c>
      <c r="L2205" s="754">
        <v>61667.42</v>
      </c>
      <c r="M2205" s="754">
        <f t="shared" si="93"/>
        <v>61667.42</v>
      </c>
      <c r="N2205" s="756">
        <v>232443.07</v>
      </c>
      <c r="O2205" s="720">
        <f t="shared" si="94"/>
        <v>0</v>
      </c>
    </row>
    <row r="2206" spans="1:15" outlineLevel="2" x14ac:dyDescent="0.25">
      <c r="A2206" s="207" t="str">
        <f>VLOOKUP(RIGHT(E2206,3)+0,SchLocTable!$A$2:$B$47,2,FALSE)</f>
        <v>Tisdale</v>
      </c>
      <c r="B2206" s="207" t="str">
        <f>VLOOKUP(VALUE(D2206),$D$3:F$106,3,FALSE)</f>
        <v>SPED Aides</v>
      </c>
      <c r="C2206" s="755" t="s">
        <v>246</v>
      </c>
      <c r="D2206" s="751" t="s">
        <v>726</v>
      </c>
      <c r="E2206" s="751" t="s">
        <v>736</v>
      </c>
      <c r="F2206" s="751" t="s">
        <v>257</v>
      </c>
      <c r="G2206" s="752" t="s">
        <v>1681</v>
      </c>
      <c r="H2206" s="753">
        <v>51140</v>
      </c>
      <c r="I2206" s="754">
        <v>12016.67</v>
      </c>
      <c r="J2206" s="754">
        <v>0</v>
      </c>
      <c r="K2206" s="754">
        <v>0</v>
      </c>
      <c r="L2206" s="754">
        <v>0</v>
      </c>
      <c r="M2206" s="754">
        <f t="shared" si="93"/>
        <v>0</v>
      </c>
      <c r="N2206" s="756">
        <v>12016.67</v>
      </c>
      <c r="O2206" s="720">
        <f t="shared" si="94"/>
        <v>0</v>
      </c>
    </row>
    <row r="2207" spans="1:15" outlineLevel="2" x14ac:dyDescent="0.25">
      <c r="A2207" s="207" t="str">
        <f>VLOOKUP(RIGHT(E2207,3)+0,SchLocTable!$A$2:$B$47,2,FALSE)</f>
        <v>Tisdale</v>
      </c>
      <c r="B2207" s="207" t="str">
        <f>VLOOKUP(VALUE(D2207),$D$3:F$106,3,FALSE)</f>
        <v>SPED Aides</v>
      </c>
      <c r="C2207" s="751" t="s">
        <v>246</v>
      </c>
      <c r="D2207" s="751" t="s">
        <v>726</v>
      </c>
      <c r="E2207" s="751" t="s">
        <v>736</v>
      </c>
      <c r="F2207" s="751" t="s">
        <v>254</v>
      </c>
      <c r="G2207" s="752" t="s">
        <v>1681</v>
      </c>
      <c r="H2207" s="753">
        <v>52360</v>
      </c>
      <c r="I2207" s="754">
        <v>3279.66</v>
      </c>
      <c r="J2207" s="754">
        <v>0</v>
      </c>
      <c r="K2207" s="754">
        <v>0</v>
      </c>
      <c r="L2207" s="754">
        <v>803.41</v>
      </c>
      <c r="M2207" s="754">
        <f t="shared" si="93"/>
        <v>803.41</v>
      </c>
      <c r="N2207" s="756">
        <v>3279.66</v>
      </c>
      <c r="O2207" s="720">
        <f t="shared" si="94"/>
        <v>0</v>
      </c>
    </row>
    <row r="2208" spans="1:15" outlineLevel="2" x14ac:dyDescent="0.25">
      <c r="A2208" s="207" t="str">
        <f>VLOOKUP(RIGHT(E2208,3)+0,SchLocTable!$A$2:$B$47,2,FALSE)</f>
        <v>Tisdale</v>
      </c>
      <c r="B2208" s="207" t="str">
        <f>VLOOKUP(VALUE(D2208),$D$3:F$106,3,FALSE)</f>
        <v>SPED Aides</v>
      </c>
      <c r="C2208" s="751" t="s">
        <v>246</v>
      </c>
      <c r="D2208" s="751" t="s">
        <v>726</v>
      </c>
      <c r="E2208" s="751" t="s">
        <v>736</v>
      </c>
      <c r="F2208" s="751" t="s">
        <v>292</v>
      </c>
      <c r="G2208" s="752" t="s">
        <v>1681</v>
      </c>
      <c r="H2208" s="753">
        <v>52385</v>
      </c>
      <c r="I2208" s="754">
        <v>9.3000000000000007</v>
      </c>
      <c r="J2208" s="754">
        <v>0</v>
      </c>
      <c r="K2208" s="754">
        <v>0</v>
      </c>
      <c r="L2208" s="754">
        <v>9.3000000000000007</v>
      </c>
      <c r="M2208" s="754">
        <f t="shared" si="93"/>
        <v>9.3000000000000007</v>
      </c>
      <c r="N2208" s="756">
        <v>9.3000000000000007</v>
      </c>
      <c r="O2208" s="720">
        <f t="shared" si="94"/>
        <v>0</v>
      </c>
    </row>
    <row r="2209" spans="1:15" outlineLevel="2" x14ac:dyDescent="0.25">
      <c r="A2209" s="207" t="str">
        <f>VLOOKUP(RIGHT(E2209,3)+0,SchLocTable!$A$2:$B$47,2,FALSE)</f>
        <v>Tisdale</v>
      </c>
      <c r="B2209" s="207" t="str">
        <f>VLOOKUP(VALUE(D2209),$D$3:F$106,3,FALSE)</f>
        <v>SPED Aides</v>
      </c>
      <c r="C2209" s="755" t="s">
        <v>246</v>
      </c>
      <c r="D2209" s="751" t="s">
        <v>726</v>
      </c>
      <c r="E2209" s="751" t="s">
        <v>736</v>
      </c>
      <c r="F2209" s="751" t="s">
        <v>331</v>
      </c>
      <c r="G2209" s="752" t="s">
        <v>1681</v>
      </c>
      <c r="H2209" s="753">
        <v>52504</v>
      </c>
      <c r="I2209" s="754">
        <v>46142.52</v>
      </c>
      <c r="J2209" s="754">
        <v>0</v>
      </c>
      <c r="K2209" s="754">
        <v>0</v>
      </c>
      <c r="L2209" s="754">
        <v>10979.81</v>
      </c>
      <c r="M2209" s="754">
        <f t="shared" si="93"/>
        <v>10979.81</v>
      </c>
      <c r="N2209" s="756">
        <v>46142.52</v>
      </c>
      <c r="O2209" s="720">
        <f t="shared" si="94"/>
        <v>0</v>
      </c>
    </row>
    <row r="2210" spans="1:15" outlineLevel="2" x14ac:dyDescent="0.25">
      <c r="A2210" s="207" t="str">
        <f>VLOOKUP(RIGHT(E2210,3)+0,SchLocTable!$A$2:$B$47,2,FALSE)</f>
        <v>Tisdale</v>
      </c>
      <c r="B2210" s="207" t="str">
        <f>VLOOKUP(VALUE(D2210),$D$3:F$106,3,FALSE)</f>
        <v>SPED Aides</v>
      </c>
      <c r="C2210" s="751" t="s">
        <v>246</v>
      </c>
      <c r="D2210" s="751" t="s">
        <v>726</v>
      </c>
      <c r="E2210" s="751" t="s">
        <v>736</v>
      </c>
      <c r="F2210" s="751" t="s">
        <v>259</v>
      </c>
      <c r="G2210" s="752" t="s">
        <v>1681</v>
      </c>
      <c r="H2210" s="753">
        <v>52917</v>
      </c>
      <c r="I2210" s="754">
        <v>61447.839999999997</v>
      </c>
      <c r="J2210" s="754">
        <v>0</v>
      </c>
      <c r="K2210" s="754">
        <v>0</v>
      </c>
      <c r="L2210" s="754">
        <v>16754.599999999999</v>
      </c>
      <c r="M2210" s="754">
        <f t="shared" si="93"/>
        <v>16754.599999999999</v>
      </c>
      <c r="N2210" s="756">
        <v>61447.839999999997</v>
      </c>
      <c r="O2210" s="720">
        <f t="shared" si="94"/>
        <v>0</v>
      </c>
    </row>
    <row r="2211" spans="1:15" outlineLevel="2" x14ac:dyDescent="0.25">
      <c r="A2211" s="207" t="str">
        <f>VLOOKUP(RIGHT(E2211,3)+0,SchLocTable!$A$2:$B$47,2,FALSE)</f>
        <v>Tisdale</v>
      </c>
      <c r="B2211" s="207" t="str">
        <f>VLOOKUP(VALUE(D2211),$D$3:F$106,3,FALSE)</f>
        <v>SPED Aides</v>
      </c>
      <c r="C2211" s="751" t="s">
        <v>246</v>
      </c>
      <c r="D2211" s="751" t="s">
        <v>726</v>
      </c>
      <c r="E2211" s="751" t="s">
        <v>736</v>
      </c>
      <c r="F2211" s="751" t="s">
        <v>333</v>
      </c>
      <c r="G2211" s="752" t="s">
        <v>1681</v>
      </c>
      <c r="H2211" s="753">
        <v>52920</v>
      </c>
      <c r="I2211" s="754">
        <v>1625.03</v>
      </c>
      <c r="J2211" s="754">
        <v>0</v>
      </c>
      <c r="K2211" s="754">
        <v>0</v>
      </c>
      <c r="L2211" s="754">
        <v>0</v>
      </c>
      <c r="M2211" s="754">
        <f t="shared" si="93"/>
        <v>0</v>
      </c>
      <c r="N2211" s="756">
        <v>1625.03</v>
      </c>
      <c r="O2211" s="720">
        <f t="shared" si="94"/>
        <v>0</v>
      </c>
    </row>
    <row r="2212" spans="1:15" outlineLevel="2" x14ac:dyDescent="0.25">
      <c r="A2212" s="207" t="str">
        <f>VLOOKUP(RIGHT(E2212,3)+0,SchLocTable!$A$2:$B$47,2,FALSE)</f>
        <v>Read</v>
      </c>
      <c r="B2212" s="207" t="str">
        <f>VLOOKUP(VALUE(D2212),$D$3:F$106,3,FALSE)</f>
        <v>SPED Aides</v>
      </c>
      <c r="C2212" s="755" t="s">
        <v>246</v>
      </c>
      <c r="D2212" s="751" t="s">
        <v>726</v>
      </c>
      <c r="E2212" s="751" t="s">
        <v>737</v>
      </c>
      <c r="F2212" s="751" t="s">
        <v>248</v>
      </c>
      <c r="G2212" s="752">
        <v>3</v>
      </c>
      <c r="H2212" s="753">
        <v>51000</v>
      </c>
      <c r="I2212" s="754">
        <v>99240.61</v>
      </c>
      <c r="J2212" s="754">
        <v>0</v>
      </c>
      <c r="K2212" s="754">
        <v>0</v>
      </c>
      <c r="L2212" s="754">
        <v>23131.13</v>
      </c>
      <c r="M2212" s="754">
        <f t="shared" si="93"/>
        <v>23131.13</v>
      </c>
      <c r="N2212" s="756">
        <v>99240.61</v>
      </c>
      <c r="O2212" s="720">
        <f t="shared" si="94"/>
        <v>0</v>
      </c>
    </row>
    <row r="2213" spans="1:15" outlineLevel="2" x14ac:dyDescent="0.25">
      <c r="A2213" s="207" t="str">
        <f>VLOOKUP(RIGHT(E2213,3)+0,SchLocTable!$A$2:$B$47,2,FALSE)</f>
        <v>Read</v>
      </c>
      <c r="B2213" s="207" t="str">
        <f>VLOOKUP(VALUE(D2213),$D$3:F$106,3,FALSE)</f>
        <v>SPED Aides</v>
      </c>
      <c r="C2213" s="751" t="s">
        <v>246</v>
      </c>
      <c r="D2213" s="751" t="s">
        <v>726</v>
      </c>
      <c r="E2213" s="751" t="s">
        <v>737</v>
      </c>
      <c r="F2213" s="751" t="s">
        <v>257</v>
      </c>
      <c r="G2213" s="752" t="s">
        <v>1681</v>
      </c>
      <c r="H2213" s="753">
        <v>51140</v>
      </c>
      <c r="I2213" s="754">
        <v>4550</v>
      </c>
      <c r="J2213" s="754">
        <v>0</v>
      </c>
      <c r="K2213" s="754">
        <v>0</v>
      </c>
      <c r="L2213" s="754">
        <v>0</v>
      </c>
      <c r="M2213" s="754">
        <f t="shared" si="93"/>
        <v>0</v>
      </c>
      <c r="N2213" s="756">
        <v>4550</v>
      </c>
      <c r="O2213" s="720">
        <f t="shared" si="94"/>
        <v>0</v>
      </c>
    </row>
    <row r="2214" spans="1:15" outlineLevel="2" x14ac:dyDescent="0.25">
      <c r="A2214" s="207" t="str">
        <f>VLOOKUP(RIGHT(E2214,3)+0,SchLocTable!$A$2:$B$47,2,FALSE)</f>
        <v>Read</v>
      </c>
      <c r="B2214" s="207" t="str">
        <f>VLOOKUP(VALUE(D2214),$D$3:F$106,3,FALSE)</f>
        <v>SPED Aides</v>
      </c>
      <c r="C2214" s="751" t="s">
        <v>246</v>
      </c>
      <c r="D2214" s="751" t="s">
        <v>726</v>
      </c>
      <c r="E2214" s="751" t="s">
        <v>737</v>
      </c>
      <c r="F2214" s="751" t="s">
        <v>254</v>
      </c>
      <c r="G2214" s="752" t="s">
        <v>1681</v>
      </c>
      <c r="H2214" s="753">
        <v>52360</v>
      </c>
      <c r="I2214" s="754">
        <v>1406.37</v>
      </c>
      <c r="J2214" s="754">
        <v>0</v>
      </c>
      <c r="K2214" s="754">
        <v>0</v>
      </c>
      <c r="L2214" s="754">
        <v>302.77999999999997</v>
      </c>
      <c r="M2214" s="754">
        <f t="shared" si="93"/>
        <v>302.77999999999997</v>
      </c>
      <c r="N2214" s="756">
        <v>1406.37</v>
      </c>
      <c r="O2214" s="720">
        <f t="shared" si="94"/>
        <v>0</v>
      </c>
    </row>
    <row r="2215" spans="1:15" outlineLevel="1" x14ac:dyDescent="0.25">
      <c r="A2215" s="207" t="str">
        <f>VLOOKUP(RIGHT(E2215,3)+0,SchLocTable!$A$2:$B$47,2,FALSE)</f>
        <v>Read</v>
      </c>
      <c r="B2215" s="207" t="str">
        <f>VLOOKUP(VALUE(D2215),$D$3:F$106,3,FALSE)</f>
        <v>SPED Aides</v>
      </c>
      <c r="C2215" s="751" t="s">
        <v>246</v>
      </c>
      <c r="D2215" s="751" t="s">
        <v>726</v>
      </c>
      <c r="E2215" s="751" t="s">
        <v>737</v>
      </c>
      <c r="F2215" s="751" t="s">
        <v>292</v>
      </c>
      <c r="G2215" s="752" t="s">
        <v>1681</v>
      </c>
      <c r="H2215" s="753">
        <v>52385</v>
      </c>
      <c r="I2215" s="754">
        <v>0</v>
      </c>
      <c r="J2215" s="754">
        <v>0</v>
      </c>
      <c r="K2215" s="754">
        <v>0</v>
      </c>
      <c r="L2215" s="754">
        <v>0</v>
      </c>
      <c r="M2215" s="754">
        <f t="shared" si="93"/>
        <v>0</v>
      </c>
      <c r="N2215" s="756">
        <v>0</v>
      </c>
      <c r="O2215" s="720">
        <f t="shared" si="94"/>
        <v>0</v>
      </c>
    </row>
    <row r="2216" spans="1:15" outlineLevel="2" x14ac:dyDescent="0.25">
      <c r="A2216" s="207" t="str">
        <f>VLOOKUP(RIGHT(E2216,3)+0,SchLocTable!$A$2:$B$47,2,FALSE)</f>
        <v>Read</v>
      </c>
      <c r="B2216" s="207" t="str">
        <f>VLOOKUP(VALUE(D2216),$D$3:F$106,3,FALSE)</f>
        <v>SPED Aides</v>
      </c>
      <c r="C2216" s="751" t="s">
        <v>246</v>
      </c>
      <c r="D2216" s="751" t="s">
        <v>726</v>
      </c>
      <c r="E2216" s="751" t="s">
        <v>737</v>
      </c>
      <c r="F2216" s="751" t="s">
        <v>331</v>
      </c>
      <c r="G2216" s="752" t="s">
        <v>1681</v>
      </c>
      <c r="H2216" s="753">
        <v>52504</v>
      </c>
      <c r="I2216" s="754">
        <v>20433.66</v>
      </c>
      <c r="J2216" s="754">
        <v>0</v>
      </c>
      <c r="K2216" s="754">
        <v>0</v>
      </c>
      <c r="L2216" s="754">
        <v>4762.72</v>
      </c>
      <c r="M2216" s="754">
        <f t="shared" si="93"/>
        <v>4762.72</v>
      </c>
      <c r="N2216" s="756">
        <v>20433.66</v>
      </c>
      <c r="O2216" s="720">
        <f t="shared" si="94"/>
        <v>0</v>
      </c>
    </row>
    <row r="2217" spans="1:15" outlineLevel="2" x14ac:dyDescent="0.25">
      <c r="A2217" s="207" t="str">
        <f>VLOOKUP(RIGHT(E2217,3)+0,SchLocTable!$A$2:$B$47,2,FALSE)</f>
        <v>Read</v>
      </c>
      <c r="B2217" s="207" t="str">
        <f>VLOOKUP(VALUE(D2217),$D$3:F$106,3,FALSE)</f>
        <v>SPED Aides</v>
      </c>
      <c r="C2217" s="751" t="s">
        <v>246</v>
      </c>
      <c r="D2217" s="751" t="s">
        <v>726</v>
      </c>
      <c r="E2217" s="751" t="s">
        <v>737</v>
      </c>
      <c r="F2217" s="751" t="s">
        <v>259</v>
      </c>
      <c r="G2217" s="752" t="s">
        <v>1681</v>
      </c>
      <c r="H2217" s="753">
        <v>52917</v>
      </c>
      <c r="I2217" s="754">
        <v>19897.84</v>
      </c>
      <c r="J2217" s="754">
        <v>0</v>
      </c>
      <c r="K2217" s="754">
        <v>0</v>
      </c>
      <c r="L2217" s="754">
        <v>4711.76</v>
      </c>
      <c r="M2217" s="754">
        <f t="shared" si="93"/>
        <v>4711.76</v>
      </c>
      <c r="N2217" s="756">
        <v>19897.84</v>
      </c>
      <c r="O2217" s="720">
        <f t="shared" si="94"/>
        <v>0</v>
      </c>
    </row>
    <row r="2218" spans="1:15" outlineLevel="2" x14ac:dyDescent="0.25">
      <c r="A2218" s="207" t="str">
        <f>VLOOKUP(RIGHT(E2218,3)+0,SchLocTable!$A$2:$B$47,2,FALSE)</f>
        <v>Read</v>
      </c>
      <c r="B2218" s="207" t="str">
        <f>VLOOKUP(VALUE(D2218),$D$3:F$106,3,FALSE)</f>
        <v>SPED Aides</v>
      </c>
      <c r="C2218" s="751" t="s">
        <v>246</v>
      </c>
      <c r="D2218" s="751" t="s">
        <v>726</v>
      </c>
      <c r="E2218" s="751" t="s">
        <v>737</v>
      </c>
      <c r="F2218" s="751" t="s">
        <v>333</v>
      </c>
      <c r="G2218" s="752" t="s">
        <v>1681</v>
      </c>
      <c r="H2218" s="753">
        <v>52920</v>
      </c>
      <c r="I2218" s="754">
        <v>500</v>
      </c>
      <c r="J2218" s="754">
        <v>0</v>
      </c>
      <c r="K2218" s="754">
        <v>0</v>
      </c>
      <c r="L2218" s="754">
        <v>0</v>
      </c>
      <c r="M2218" s="754">
        <f t="shared" si="93"/>
        <v>0</v>
      </c>
      <c r="N2218" s="756">
        <v>500</v>
      </c>
      <c r="O2218" s="720">
        <f t="shared" si="94"/>
        <v>0</v>
      </c>
    </row>
    <row r="2219" spans="1:15" outlineLevel="2" x14ac:dyDescent="0.25">
      <c r="A2219" s="207" t="str">
        <f>VLOOKUP(RIGHT(E2219,3)+0,SchLocTable!$A$2:$B$47,2,FALSE)</f>
        <v>Roosevelt</v>
      </c>
      <c r="B2219" s="207" t="str">
        <f>VLOOKUP(VALUE(D2219),$D$3:F$106,3,FALSE)</f>
        <v>SPED Aides</v>
      </c>
      <c r="C2219" s="751" t="s">
        <v>246</v>
      </c>
      <c r="D2219" s="751" t="s">
        <v>726</v>
      </c>
      <c r="E2219" s="751" t="s">
        <v>2118</v>
      </c>
      <c r="F2219" s="751" t="s">
        <v>257</v>
      </c>
      <c r="G2219" s="752" t="s">
        <v>1681</v>
      </c>
      <c r="H2219" s="753">
        <v>51140</v>
      </c>
      <c r="I2219" s="754">
        <v>2100</v>
      </c>
      <c r="J2219" s="754">
        <v>0</v>
      </c>
      <c r="K2219" s="754">
        <v>0</v>
      </c>
      <c r="L2219" s="754">
        <v>0</v>
      </c>
      <c r="M2219" s="754">
        <f t="shared" si="93"/>
        <v>0</v>
      </c>
      <c r="N2219" s="756">
        <v>2100</v>
      </c>
      <c r="O2219" s="720">
        <f t="shared" si="94"/>
        <v>0</v>
      </c>
    </row>
    <row r="2220" spans="1:15" outlineLevel="2" x14ac:dyDescent="0.25">
      <c r="A2220" s="207" t="str">
        <f>VLOOKUP(RIGHT(E2220,3)+0,SchLocTable!$A$2:$B$47,2,FALSE)</f>
        <v>Roosevelt</v>
      </c>
      <c r="B2220" s="207" t="str">
        <f>VLOOKUP(VALUE(D2220),$D$3:F$106,3,FALSE)</f>
        <v>SPED Aides</v>
      </c>
      <c r="C2220" s="751" t="s">
        <v>246</v>
      </c>
      <c r="D2220" s="751" t="s">
        <v>726</v>
      </c>
      <c r="E2220" s="751" t="s">
        <v>2118</v>
      </c>
      <c r="F2220" s="751" t="s">
        <v>254</v>
      </c>
      <c r="G2220" s="752" t="s">
        <v>1681</v>
      </c>
      <c r="H2220" s="753">
        <v>52360</v>
      </c>
      <c r="I2220" s="754">
        <v>0</v>
      </c>
      <c r="J2220" s="754">
        <v>0</v>
      </c>
      <c r="K2220" s="754">
        <v>0</v>
      </c>
      <c r="L2220" s="754">
        <v>0</v>
      </c>
      <c r="M2220" s="754">
        <f t="shared" si="93"/>
        <v>0</v>
      </c>
      <c r="N2220" s="756">
        <v>0</v>
      </c>
      <c r="O2220" s="720">
        <f t="shared" si="94"/>
        <v>0</v>
      </c>
    </row>
    <row r="2221" spans="1:15" outlineLevel="2" x14ac:dyDescent="0.25">
      <c r="A2221" s="207" t="str">
        <f>VLOOKUP(RIGHT(E2221,3)+0,SchLocTable!$A$2:$B$47,2,FALSE)</f>
        <v>Roosevelt</v>
      </c>
      <c r="B2221" s="207" t="str">
        <f>VLOOKUP(VALUE(D2221),$D$3:F$106,3,FALSE)</f>
        <v>SPED Aides</v>
      </c>
      <c r="C2221" s="751" t="s">
        <v>246</v>
      </c>
      <c r="D2221" s="751" t="s">
        <v>726</v>
      </c>
      <c r="E2221" s="751" t="s">
        <v>2118</v>
      </c>
      <c r="F2221" s="751" t="s">
        <v>331</v>
      </c>
      <c r="G2221" s="752" t="s">
        <v>1681</v>
      </c>
      <c r="H2221" s="753">
        <v>52504</v>
      </c>
      <c r="I2221" s="754">
        <v>0</v>
      </c>
      <c r="J2221" s="754">
        <v>0</v>
      </c>
      <c r="K2221" s="754">
        <v>0</v>
      </c>
      <c r="L2221" s="754">
        <v>0</v>
      </c>
      <c r="M2221" s="754">
        <f t="shared" si="93"/>
        <v>0</v>
      </c>
      <c r="N2221" s="756">
        <v>0</v>
      </c>
      <c r="O2221" s="720">
        <f t="shared" si="94"/>
        <v>0</v>
      </c>
    </row>
    <row r="2222" spans="1:15" outlineLevel="2" x14ac:dyDescent="0.25">
      <c r="A2222" s="207" t="str">
        <f>VLOOKUP(RIGHT(E2222,3)+0,SchLocTable!$A$2:$B$47,2,FALSE)</f>
        <v>Bridgeport Learning Center</v>
      </c>
      <c r="B2222" s="207" t="str">
        <f>VLOOKUP(VALUE(D2222),$D$3:F$106,3,FALSE)</f>
        <v>SPED Aides</v>
      </c>
      <c r="C2222" s="751" t="s">
        <v>246</v>
      </c>
      <c r="D2222" s="751" t="s">
        <v>726</v>
      </c>
      <c r="E2222" s="751" t="s">
        <v>2119</v>
      </c>
      <c r="F2222" s="751" t="s">
        <v>257</v>
      </c>
      <c r="G2222" s="752" t="s">
        <v>1681</v>
      </c>
      <c r="H2222" s="753">
        <v>51140</v>
      </c>
      <c r="I2222" s="754">
        <v>19302.5</v>
      </c>
      <c r="J2222" s="754">
        <v>0</v>
      </c>
      <c r="K2222" s="754">
        <v>0</v>
      </c>
      <c r="L2222" s="754">
        <v>0</v>
      </c>
      <c r="M2222" s="754">
        <f t="shared" si="93"/>
        <v>0</v>
      </c>
      <c r="N2222" s="756">
        <v>19302.5</v>
      </c>
      <c r="O2222" s="720">
        <f t="shared" si="94"/>
        <v>0</v>
      </c>
    </row>
    <row r="2223" spans="1:15" outlineLevel="2" x14ac:dyDescent="0.25">
      <c r="A2223" s="207" t="str">
        <f>VLOOKUP(RIGHT(E2223,3)+0,SchLocTable!$A$2:$B$47,2,FALSE)</f>
        <v>Bridgeport Learning Center</v>
      </c>
      <c r="B2223" s="207" t="str">
        <f>VLOOKUP(VALUE(D2223),$D$3:F$106,3,FALSE)</f>
        <v>SPED Aides</v>
      </c>
      <c r="C2223" s="751" t="s">
        <v>246</v>
      </c>
      <c r="D2223" s="751" t="s">
        <v>726</v>
      </c>
      <c r="E2223" s="751" t="s">
        <v>2119</v>
      </c>
      <c r="F2223" s="751" t="s">
        <v>254</v>
      </c>
      <c r="G2223" s="752" t="s">
        <v>1681</v>
      </c>
      <c r="H2223" s="753">
        <v>52360</v>
      </c>
      <c r="I2223" s="754">
        <v>0</v>
      </c>
      <c r="J2223" s="754">
        <v>0</v>
      </c>
      <c r="K2223" s="754">
        <v>0</v>
      </c>
      <c r="L2223" s="754">
        <v>0</v>
      </c>
      <c r="M2223" s="754">
        <f t="shared" si="93"/>
        <v>0</v>
      </c>
      <c r="N2223" s="756">
        <v>0</v>
      </c>
      <c r="O2223" s="720">
        <f t="shared" si="94"/>
        <v>0</v>
      </c>
    </row>
    <row r="2224" spans="1:15" outlineLevel="2" x14ac:dyDescent="0.25">
      <c r="A2224" s="207" t="str">
        <f>VLOOKUP(RIGHT(E2224,3)+0,SchLocTable!$A$2:$B$47,2,FALSE)</f>
        <v>Bridgeport Learning Center</v>
      </c>
      <c r="B2224" s="207" t="str">
        <f>VLOOKUP(VALUE(D2224),$D$3:F$106,3,FALSE)</f>
        <v>SPED Aides</v>
      </c>
      <c r="C2224" s="751" t="s">
        <v>246</v>
      </c>
      <c r="D2224" s="751" t="s">
        <v>726</v>
      </c>
      <c r="E2224" s="751" t="s">
        <v>2119</v>
      </c>
      <c r="F2224" s="751" t="s">
        <v>331</v>
      </c>
      <c r="G2224" s="752" t="s">
        <v>1681</v>
      </c>
      <c r="H2224" s="753">
        <v>52504</v>
      </c>
      <c r="I2224" s="754">
        <v>0</v>
      </c>
      <c r="J2224" s="754">
        <v>0</v>
      </c>
      <c r="K2224" s="754">
        <v>0</v>
      </c>
      <c r="L2224" s="754">
        <v>0</v>
      </c>
      <c r="M2224" s="754">
        <f t="shared" si="93"/>
        <v>0</v>
      </c>
      <c r="N2224" s="756">
        <v>0</v>
      </c>
      <c r="O2224" s="720">
        <f t="shared" si="94"/>
        <v>0</v>
      </c>
    </row>
    <row r="2225" spans="1:15" outlineLevel="2" x14ac:dyDescent="0.25">
      <c r="A2225" s="207" t="str">
        <f>VLOOKUP(RIGHT(E2225,3)+0,SchLocTable!$A$2:$B$47,2,FALSE)</f>
        <v>Waltersville</v>
      </c>
      <c r="B2225" s="207" t="str">
        <f>VLOOKUP(VALUE(D2225),$D$3:F$106,3,FALSE)</f>
        <v>SPED Aides</v>
      </c>
      <c r="C2225" s="751" t="s">
        <v>246</v>
      </c>
      <c r="D2225" s="751" t="s">
        <v>726</v>
      </c>
      <c r="E2225" s="751" t="s">
        <v>1760</v>
      </c>
      <c r="F2225" s="751" t="s">
        <v>248</v>
      </c>
      <c r="G2225" s="752">
        <v>3</v>
      </c>
      <c r="H2225" s="753">
        <v>51000</v>
      </c>
      <c r="I2225" s="754">
        <v>100324.08</v>
      </c>
      <c r="J2225" s="754">
        <v>0</v>
      </c>
      <c r="K2225" s="754">
        <v>0</v>
      </c>
      <c r="L2225" s="754">
        <v>28228.49</v>
      </c>
      <c r="M2225" s="754">
        <f t="shared" si="93"/>
        <v>28228.49</v>
      </c>
      <c r="N2225" s="756">
        <v>100324.08</v>
      </c>
      <c r="O2225" s="720">
        <f t="shared" si="94"/>
        <v>0</v>
      </c>
    </row>
    <row r="2226" spans="1:15" outlineLevel="1" x14ac:dyDescent="0.25">
      <c r="A2226" s="207" t="str">
        <f>VLOOKUP(RIGHT(E2226,3)+0,SchLocTable!$A$2:$B$47,2,FALSE)</f>
        <v>Waltersville</v>
      </c>
      <c r="B2226" s="207" t="str">
        <f>VLOOKUP(VALUE(D2226),$D$3:F$106,3,FALSE)</f>
        <v>SPED Aides</v>
      </c>
      <c r="C2226" s="751" t="s">
        <v>246</v>
      </c>
      <c r="D2226" s="751" t="s">
        <v>726</v>
      </c>
      <c r="E2226" s="751" t="s">
        <v>1760</v>
      </c>
      <c r="F2226" s="751" t="s">
        <v>257</v>
      </c>
      <c r="G2226" s="752" t="s">
        <v>1681</v>
      </c>
      <c r="H2226" s="753">
        <v>51140</v>
      </c>
      <c r="I2226" s="754">
        <v>2240</v>
      </c>
      <c r="J2226" s="754">
        <v>0</v>
      </c>
      <c r="K2226" s="754">
        <v>0</v>
      </c>
      <c r="L2226" s="754">
        <v>0</v>
      </c>
      <c r="M2226" s="754">
        <f t="shared" si="93"/>
        <v>0</v>
      </c>
      <c r="N2226" s="756">
        <v>2240</v>
      </c>
      <c r="O2226" s="720">
        <f t="shared" si="94"/>
        <v>0</v>
      </c>
    </row>
    <row r="2227" spans="1:15" outlineLevel="2" x14ac:dyDescent="0.25">
      <c r="A2227" s="207" t="str">
        <f>VLOOKUP(RIGHT(E2227,3)+0,SchLocTable!$A$2:$B$47,2,FALSE)</f>
        <v>Waltersville</v>
      </c>
      <c r="B2227" s="207" t="str">
        <f>VLOOKUP(VALUE(D2227),$D$3:F$106,3,FALSE)</f>
        <v>SPED Aides</v>
      </c>
      <c r="C2227" s="751" t="s">
        <v>246</v>
      </c>
      <c r="D2227" s="751" t="s">
        <v>726</v>
      </c>
      <c r="E2227" s="751" t="s">
        <v>1760</v>
      </c>
      <c r="F2227" s="751" t="s">
        <v>254</v>
      </c>
      <c r="G2227" s="752" t="s">
        <v>1681</v>
      </c>
      <c r="H2227" s="753">
        <v>52360</v>
      </c>
      <c r="I2227" s="754">
        <v>1431.98</v>
      </c>
      <c r="J2227" s="754">
        <v>0</v>
      </c>
      <c r="K2227" s="754">
        <v>0</v>
      </c>
      <c r="L2227" s="754">
        <v>386.59</v>
      </c>
      <c r="M2227" s="754">
        <f t="shared" si="93"/>
        <v>386.59</v>
      </c>
      <c r="N2227" s="756">
        <v>1431.98</v>
      </c>
      <c r="O2227" s="720">
        <f t="shared" si="94"/>
        <v>0</v>
      </c>
    </row>
    <row r="2228" spans="1:15" outlineLevel="2" x14ac:dyDescent="0.25">
      <c r="A2228" s="207" t="str">
        <f>VLOOKUP(RIGHT(E2228,3)+0,SchLocTable!$A$2:$B$47,2,FALSE)</f>
        <v>Waltersville</v>
      </c>
      <c r="B2228" s="207" t="str">
        <f>VLOOKUP(VALUE(D2228),$D$3:F$106,3,FALSE)</f>
        <v>SPED Aides</v>
      </c>
      <c r="C2228" s="755" t="s">
        <v>246</v>
      </c>
      <c r="D2228" s="751" t="s">
        <v>726</v>
      </c>
      <c r="E2228" s="751" t="s">
        <v>1760</v>
      </c>
      <c r="F2228" s="751" t="s">
        <v>292</v>
      </c>
      <c r="G2228" s="752" t="s">
        <v>1681</v>
      </c>
      <c r="H2228" s="753">
        <v>52385</v>
      </c>
      <c r="I2228" s="754">
        <v>0</v>
      </c>
      <c r="J2228" s="754">
        <v>0</v>
      </c>
      <c r="K2228" s="754">
        <v>0</v>
      </c>
      <c r="L2228" s="754">
        <v>0</v>
      </c>
      <c r="M2228" s="754">
        <f t="shared" si="93"/>
        <v>0</v>
      </c>
      <c r="N2228" s="756">
        <v>0</v>
      </c>
      <c r="O2228" s="720">
        <f t="shared" si="94"/>
        <v>0</v>
      </c>
    </row>
    <row r="2229" spans="1:15" outlineLevel="2" x14ac:dyDescent="0.25">
      <c r="A2229" s="207" t="str">
        <f>VLOOKUP(RIGHT(E2229,3)+0,SchLocTable!$A$2:$B$47,2,FALSE)</f>
        <v>Waltersville</v>
      </c>
      <c r="B2229" s="207" t="str">
        <f>VLOOKUP(VALUE(D2229),$D$3:F$106,3,FALSE)</f>
        <v>SPED Aides</v>
      </c>
      <c r="C2229" s="755" t="s">
        <v>246</v>
      </c>
      <c r="D2229" s="751" t="s">
        <v>726</v>
      </c>
      <c r="E2229" s="751" t="s">
        <v>1760</v>
      </c>
      <c r="F2229" s="751" t="s">
        <v>331</v>
      </c>
      <c r="G2229" s="752" t="s">
        <v>1681</v>
      </c>
      <c r="H2229" s="753">
        <v>52504</v>
      </c>
      <c r="I2229" s="754">
        <v>20656.7</v>
      </c>
      <c r="J2229" s="754">
        <v>0</v>
      </c>
      <c r="K2229" s="754">
        <v>0</v>
      </c>
      <c r="L2229" s="754">
        <v>5812.22</v>
      </c>
      <c r="M2229" s="754">
        <f t="shared" si="93"/>
        <v>5812.22</v>
      </c>
      <c r="N2229" s="756">
        <v>20656.7</v>
      </c>
      <c r="O2229" s="720">
        <f t="shared" si="94"/>
        <v>0</v>
      </c>
    </row>
    <row r="2230" spans="1:15" outlineLevel="2" x14ac:dyDescent="0.25">
      <c r="A2230" s="207" t="str">
        <f>VLOOKUP(RIGHT(E2230,3)+0,SchLocTable!$A$2:$B$47,2,FALSE)</f>
        <v>Waltersville</v>
      </c>
      <c r="B2230" s="207" t="str">
        <f>VLOOKUP(VALUE(D2230),$D$3:F$106,3,FALSE)</f>
        <v>SPED Aides</v>
      </c>
      <c r="C2230" s="751" t="s">
        <v>246</v>
      </c>
      <c r="D2230" s="751" t="s">
        <v>726</v>
      </c>
      <c r="E2230" s="751" t="s">
        <v>1760</v>
      </c>
      <c r="F2230" s="751" t="s">
        <v>259</v>
      </c>
      <c r="G2230" s="752" t="s">
        <v>1681</v>
      </c>
      <c r="H2230" s="753">
        <v>52917</v>
      </c>
      <c r="I2230" s="754">
        <v>9611.5400000000009</v>
      </c>
      <c r="J2230" s="754">
        <v>0</v>
      </c>
      <c r="K2230" s="754">
        <v>0</v>
      </c>
      <c r="L2230" s="754">
        <v>2805.03</v>
      </c>
      <c r="M2230" s="754">
        <f t="shared" si="93"/>
        <v>2805.03</v>
      </c>
      <c r="N2230" s="756">
        <v>9611.5400000000009</v>
      </c>
      <c r="O2230" s="720">
        <f t="shared" si="94"/>
        <v>0</v>
      </c>
    </row>
    <row r="2231" spans="1:15" outlineLevel="2" x14ac:dyDescent="0.25">
      <c r="A2231" s="207" t="str">
        <f>VLOOKUP(RIGHT(E2231,3)+0,SchLocTable!$A$2:$B$47,2,FALSE)</f>
        <v>Waltersville</v>
      </c>
      <c r="B2231" s="207" t="str">
        <f>VLOOKUP(VALUE(D2231),$D$3:F$106,3,FALSE)</f>
        <v>SPED Aides</v>
      </c>
      <c r="C2231" s="755" t="s">
        <v>246</v>
      </c>
      <c r="D2231" s="751" t="s">
        <v>726</v>
      </c>
      <c r="E2231" s="751" t="s">
        <v>1760</v>
      </c>
      <c r="F2231" s="751" t="s">
        <v>333</v>
      </c>
      <c r="G2231" s="752" t="s">
        <v>1681</v>
      </c>
      <c r="H2231" s="753">
        <v>52920</v>
      </c>
      <c r="I2231" s="754">
        <v>791.68</v>
      </c>
      <c r="J2231" s="754">
        <v>0</v>
      </c>
      <c r="K2231" s="754">
        <v>0</v>
      </c>
      <c r="L2231" s="754">
        <v>0</v>
      </c>
      <c r="M2231" s="754">
        <f t="shared" si="93"/>
        <v>0</v>
      </c>
      <c r="N2231" s="756">
        <v>791.68</v>
      </c>
      <c r="O2231" s="720">
        <f t="shared" si="94"/>
        <v>0</v>
      </c>
    </row>
    <row r="2232" spans="1:15" outlineLevel="2" x14ac:dyDescent="0.25">
      <c r="A2232" s="207" t="str">
        <f>VLOOKUP(RIGHT(E2232,3)+0,SchLocTable!$A$2:$B$47,2,FALSE)</f>
        <v>Claytor</v>
      </c>
      <c r="B2232" s="207" t="str">
        <f>VLOOKUP(VALUE(D2232),$D$3:F$106,3,FALSE)</f>
        <v>SPED Aides</v>
      </c>
      <c r="C2232" s="751" t="s">
        <v>246</v>
      </c>
      <c r="D2232" s="751" t="s">
        <v>726</v>
      </c>
      <c r="E2232" s="751" t="s">
        <v>2120</v>
      </c>
      <c r="F2232" s="751" t="s">
        <v>257</v>
      </c>
      <c r="G2232" s="752" t="s">
        <v>1681</v>
      </c>
      <c r="H2232" s="753">
        <v>51140</v>
      </c>
      <c r="I2232" s="754">
        <v>840</v>
      </c>
      <c r="J2232" s="754">
        <v>0</v>
      </c>
      <c r="K2232" s="754">
        <v>0</v>
      </c>
      <c r="L2232" s="754">
        <v>0</v>
      </c>
      <c r="M2232" s="754">
        <f t="shared" si="93"/>
        <v>0</v>
      </c>
      <c r="N2232" s="756">
        <v>840</v>
      </c>
      <c r="O2232" s="720">
        <f t="shared" si="94"/>
        <v>0</v>
      </c>
    </row>
    <row r="2233" spans="1:15" outlineLevel="1" x14ac:dyDescent="0.25">
      <c r="A2233" s="207" t="str">
        <f>VLOOKUP(RIGHT(E2233,3)+0,SchLocTable!$A$2:$B$47,2,FALSE)</f>
        <v>Claytor</v>
      </c>
      <c r="B2233" s="207" t="str">
        <f>VLOOKUP(VALUE(D2233),$D$3:F$106,3,FALSE)</f>
        <v>SPED Aides</v>
      </c>
      <c r="C2233" s="751" t="s">
        <v>246</v>
      </c>
      <c r="D2233" s="751" t="s">
        <v>726</v>
      </c>
      <c r="E2233" s="751" t="s">
        <v>2120</v>
      </c>
      <c r="F2233" s="751" t="s">
        <v>254</v>
      </c>
      <c r="G2233" s="752" t="s">
        <v>1681</v>
      </c>
      <c r="H2233" s="753">
        <v>52360</v>
      </c>
      <c r="I2233" s="754">
        <v>0</v>
      </c>
      <c r="J2233" s="754">
        <v>0</v>
      </c>
      <c r="K2233" s="754">
        <v>0</v>
      </c>
      <c r="L2233" s="754">
        <v>0</v>
      </c>
      <c r="M2233" s="754">
        <f t="shared" si="93"/>
        <v>0</v>
      </c>
      <c r="N2233" s="756">
        <v>0</v>
      </c>
      <c r="O2233" s="720">
        <f t="shared" si="94"/>
        <v>0</v>
      </c>
    </row>
    <row r="2234" spans="1:15" outlineLevel="2" x14ac:dyDescent="0.25">
      <c r="A2234" s="207" t="str">
        <f>VLOOKUP(RIGHT(E2234,3)+0,SchLocTable!$A$2:$B$47,2,FALSE)</f>
        <v>Claytor</v>
      </c>
      <c r="B2234" s="207" t="str">
        <f>VLOOKUP(VALUE(D2234),$D$3:F$106,3,FALSE)</f>
        <v>SPED Aides</v>
      </c>
      <c r="C2234" s="751" t="s">
        <v>246</v>
      </c>
      <c r="D2234" s="751" t="s">
        <v>726</v>
      </c>
      <c r="E2234" s="751" t="s">
        <v>2120</v>
      </c>
      <c r="F2234" s="751" t="s">
        <v>331</v>
      </c>
      <c r="G2234" s="752" t="s">
        <v>1681</v>
      </c>
      <c r="H2234" s="753">
        <v>52504</v>
      </c>
      <c r="I2234" s="754">
        <v>0</v>
      </c>
      <c r="J2234" s="754">
        <v>0</v>
      </c>
      <c r="K2234" s="754">
        <v>0</v>
      </c>
      <c r="L2234" s="754">
        <v>0</v>
      </c>
      <c r="M2234" s="754">
        <f t="shared" si="93"/>
        <v>0</v>
      </c>
      <c r="N2234" s="756">
        <v>0</v>
      </c>
      <c r="O2234" s="720">
        <f t="shared" si="94"/>
        <v>0</v>
      </c>
    </row>
    <row r="2235" spans="1:15" outlineLevel="2" x14ac:dyDescent="0.25">
      <c r="A2235" s="207" t="str">
        <f>VLOOKUP(RIGHT(E2235,3)+0,SchLocTable!$A$2:$B$47,2,FALSE)</f>
        <v>Johnson</v>
      </c>
      <c r="B2235" s="207" t="str">
        <f>VLOOKUP(VALUE(D2235),$D$3:F$106,3,FALSE)</f>
        <v>SPED Aides</v>
      </c>
      <c r="C2235" s="751" t="s">
        <v>246</v>
      </c>
      <c r="D2235" s="751" t="s">
        <v>726</v>
      </c>
      <c r="E2235" s="751" t="s">
        <v>738</v>
      </c>
      <c r="F2235" s="751" t="s">
        <v>248</v>
      </c>
      <c r="G2235" s="752">
        <v>5</v>
      </c>
      <c r="H2235" s="753">
        <v>51000</v>
      </c>
      <c r="I2235" s="754">
        <v>200463.28</v>
      </c>
      <c r="J2235" s="754">
        <v>0</v>
      </c>
      <c r="K2235" s="754">
        <v>0</v>
      </c>
      <c r="L2235" s="754">
        <v>63680.73</v>
      </c>
      <c r="M2235" s="754">
        <f t="shared" si="93"/>
        <v>63680.73</v>
      </c>
      <c r="N2235" s="756">
        <v>200463.28</v>
      </c>
      <c r="O2235" s="720">
        <f t="shared" si="94"/>
        <v>0</v>
      </c>
    </row>
    <row r="2236" spans="1:15" outlineLevel="2" x14ac:dyDescent="0.25">
      <c r="A2236" s="207" t="str">
        <f>VLOOKUP(RIGHT(E2236,3)+0,SchLocTable!$A$2:$B$47,2,FALSE)</f>
        <v>Johnson</v>
      </c>
      <c r="B2236" s="207" t="str">
        <f>VLOOKUP(VALUE(D2236),$D$3:F$106,3,FALSE)</f>
        <v>SPED Aides</v>
      </c>
      <c r="C2236" s="751" t="s">
        <v>246</v>
      </c>
      <c r="D2236" s="751" t="s">
        <v>726</v>
      </c>
      <c r="E2236" s="751" t="s">
        <v>738</v>
      </c>
      <c r="F2236" s="751" t="s">
        <v>257</v>
      </c>
      <c r="G2236" s="752" t="s">
        <v>1681</v>
      </c>
      <c r="H2236" s="753">
        <v>51140</v>
      </c>
      <c r="I2236" s="754">
        <v>12731.67</v>
      </c>
      <c r="J2236" s="754">
        <v>0</v>
      </c>
      <c r="K2236" s="754">
        <v>0</v>
      </c>
      <c r="L2236" s="754">
        <v>0</v>
      </c>
      <c r="M2236" s="754">
        <f t="shared" si="93"/>
        <v>0</v>
      </c>
      <c r="N2236" s="756">
        <v>12731.67</v>
      </c>
      <c r="O2236" s="720">
        <f t="shared" si="94"/>
        <v>0</v>
      </c>
    </row>
    <row r="2237" spans="1:15" outlineLevel="2" x14ac:dyDescent="0.25">
      <c r="A2237" s="207" t="str">
        <f>VLOOKUP(RIGHT(E2237,3)+0,SchLocTable!$A$2:$B$47,2,FALSE)</f>
        <v>Johnson</v>
      </c>
      <c r="B2237" s="207" t="str">
        <f>VLOOKUP(VALUE(D2237),$D$3:F$106,3,FALSE)</f>
        <v>SPED Aides</v>
      </c>
      <c r="C2237" s="751" t="s">
        <v>246</v>
      </c>
      <c r="D2237" s="751" t="s">
        <v>726</v>
      </c>
      <c r="E2237" s="751" t="s">
        <v>738</v>
      </c>
      <c r="F2237" s="751" t="s">
        <v>254</v>
      </c>
      <c r="G2237" s="752" t="s">
        <v>1681</v>
      </c>
      <c r="H2237" s="753">
        <v>52360</v>
      </c>
      <c r="I2237" s="754">
        <v>2842.07</v>
      </c>
      <c r="J2237" s="754">
        <v>0</v>
      </c>
      <c r="K2237" s="754">
        <v>0</v>
      </c>
      <c r="L2237" s="754">
        <v>858.72</v>
      </c>
      <c r="M2237" s="754">
        <f t="shared" si="93"/>
        <v>858.72</v>
      </c>
      <c r="N2237" s="756">
        <v>2842.07</v>
      </c>
      <c r="O2237" s="720">
        <f t="shared" si="94"/>
        <v>0</v>
      </c>
    </row>
    <row r="2238" spans="1:15" outlineLevel="2" x14ac:dyDescent="0.25">
      <c r="A2238" s="207" t="str">
        <f>VLOOKUP(RIGHT(E2238,3)+0,SchLocTable!$A$2:$B$47,2,FALSE)</f>
        <v>Johnson</v>
      </c>
      <c r="B2238" s="207" t="str">
        <f>VLOOKUP(VALUE(D2238),$D$3:F$106,3,FALSE)</f>
        <v>SPED Aides</v>
      </c>
      <c r="C2238" s="751" t="s">
        <v>246</v>
      </c>
      <c r="D2238" s="751" t="s">
        <v>726</v>
      </c>
      <c r="E2238" s="751" t="s">
        <v>738</v>
      </c>
      <c r="F2238" s="751" t="s">
        <v>292</v>
      </c>
      <c r="G2238" s="752" t="s">
        <v>1681</v>
      </c>
      <c r="H2238" s="753">
        <v>52385</v>
      </c>
      <c r="I2238" s="754">
        <v>0</v>
      </c>
      <c r="J2238" s="754">
        <v>0</v>
      </c>
      <c r="K2238" s="754">
        <v>0</v>
      </c>
      <c r="L2238" s="754">
        <v>0</v>
      </c>
      <c r="M2238" s="754">
        <f t="shared" si="93"/>
        <v>0</v>
      </c>
      <c r="N2238" s="756">
        <v>0</v>
      </c>
      <c r="O2238" s="720">
        <f t="shared" si="94"/>
        <v>0</v>
      </c>
    </row>
    <row r="2239" spans="1:15" outlineLevel="2" x14ac:dyDescent="0.25">
      <c r="A2239" s="207" t="str">
        <f>VLOOKUP(RIGHT(E2239,3)+0,SchLocTable!$A$2:$B$47,2,FALSE)</f>
        <v>Johnson</v>
      </c>
      <c r="B2239" s="207" t="str">
        <f>VLOOKUP(VALUE(D2239),$D$3:F$106,3,FALSE)</f>
        <v>SPED Aides</v>
      </c>
      <c r="C2239" s="755" t="s">
        <v>246</v>
      </c>
      <c r="D2239" s="751" t="s">
        <v>726</v>
      </c>
      <c r="E2239" s="751" t="s">
        <v>738</v>
      </c>
      <c r="F2239" s="751" t="s">
        <v>331</v>
      </c>
      <c r="G2239" s="752" t="s">
        <v>1681</v>
      </c>
      <c r="H2239" s="753">
        <v>52504</v>
      </c>
      <c r="I2239" s="754">
        <v>41275.39</v>
      </c>
      <c r="J2239" s="754">
        <v>0</v>
      </c>
      <c r="K2239" s="754">
        <v>0</v>
      </c>
      <c r="L2239" s="754">
        <v>13111.86</v>
      </c>
      <c r="M2239" s="754">
        <f t="shared" ref="M2239:M2302" si="95">SUM(J2239:L2239)</f>
        <v>13111.86</v>
      </c>
      <c r="N2239" s="756">
        <v>41275.39</v>
      </c>
      <c r="O2239" s="720">
        <f t="shared" ref="O2239:O2302" si="96">I2239-N2239</f>
        <v>0</v>
      </c>
    </row>
    <row r="2240" spans="1:15" outlineLevel="2" x14ac:dyDescent="0.25">
      <c r="A2240" s="207" t="str">
        <f>VLOOKUP(RIGHT(E2240,3)+0,SchLocTable!$A$2:$B$47,2,FALSE)</f>
        <v>Johnson</v>
      </c>
      <c r="B2240" s="207" t="str">
        <f>VLOOKUP(VALUE(D2240),$D$3:F$106,3,FALSE)</f>
        <v>SPED Aides</v>
      </c>
      <c r="C2240" s="751" t="s">
        <v>246</v>
      </c>
      <c r="D2240" s="751" t="s">
        <v>726</v>
      </c>
      <c r="E2240" s="751" t="s">
        <v>738</v>
      </c>
      <c r="F2240" s="751" t="s">
        <v>259</v>
      </c>
      <c r="G2240" s="752" t="s">
        <v>1681</v>
      </c>
      <c r="H2240" s="753">
        <v>52917</v>
      </c>
      <c r="I2240" s="754">
        <v>68593.84</v>
      </c>
      <c r="J2240" s="754">
        <v>0</v>
      </c>
      <c r="K2240" s="754">
        <v>0</v>
      </c>
      <c r="L2240" s="754">
        <v>21860.54</v>
      </c>
      <c r="M2240" s="754">
        <f t="shared" si="95"/>
        <v>21860.54</v>
      </c>
      <c r="N2240" s="756">
        <v>68593.84</v>
      </c>
      <c r="O2240" s="720">
        <f t="shared" si="96"/>
        <v>0</v>
      </c>
    </row>
    <row r="2241" spans="1:15" outlineLevel="2" x14ac:dyDescent="0.25">
      <c r="A2241" s="207" t="str">
        <f>VLOOKUP(RIGHT(E2241,3)+0,SchLocTable!$A$2:$B$47,2,FALSE)</f>
        <v>Johnson</v>
      </c>
      <c r="B2241" s="207" t="str">
        <f>VLOOKUP(VALUE(D2241),$D$3:F$106,3,FALSE)</f>
        <v>SPED Aides</v>
      </c>
      <c r="C2241" s="751" t="s">
        <v>246</v>
      </c>
      <c r="D2241" s="751" t="s">
        <v>726</v>
      </c>
      <c r="E2241" s="751" t="s">
        <v>738</v>
      </c>
      <c r="F2241" s="751" t="s">
        <v>333</v>
      </c>
      <c r="G2241" s="752" t="s">
        <v>1681</v>
      </c>
      <c r="H2241" s="753">
        <v>52920</v>
      </c>
      <c r="I2241" s="754">
        <v>458.35</v>
      </c>
      <c r="J2241" s="754">
        <v>0</v>
      </c>
      <c r="K2241" s="754">
        <v>0</v>
      </c>
      <c r="L2241" s="754">
        <v>0</v>
      </c>
      <c r="M2241" s="754">
        <f t="shared" si="95"/>
        <v>0</v>
      </c>
      <c r="N2241" s="756">
        <v>458.35</v>
      </c>
      <c r="O2241" s="720">
        <f t="shared" si="96"/>
        <v>0</v>
      </c>
    </row>
    <row r="2242" spans="1:15" outlineLevel="2" x14ac:dyDescent="0.25">
      <c r="A2242" s="207" t="str">
        <f>VLOOKUP(RIGHT(E2242,3)+0,SchLocTable!$A$2:$B$47,2,FALSE)</f>
        <v>Winthrop</v>
      </c>
      <c r="B2242" s="207" t="str">
        <f>VLOOKUP(VALUE(D2242),$D$3:F$106,3,FALSE)</f>
        <v>SPED Aides</v>
      </c>
      <c r="C2242" s="755" t="s">
        <v>246</v>
      </c>
      <c r="D2242" s="751" t="s">
        <v>726</v>
      </c>
      <c r="E2242" s="751" t="s">
        <v>739</v>
      </c>
      <c r="F2242" s="751" t="s">
        <v>248</v>
      </c>
      <c r="G2242" s="752">
        <v>2</v>
      </c>
      <c r="H2242" s="753">
        <v>51000</v>
      </c>
      <c r="I2242" s="754">
        <v>78583.820000000007</v>
      </c>
      <c r="J2242" s="754">
        <v>0</v>
      </c>
      <c r="K2242" s="754">
        <v>0</v>
      </c>
      <c r="L2242" s="754">
        <v>21239.69</v>
      </c>
      <c r="M2242" s="754">
        <f t="shared" si="95"/>
        <v>21239.69</v>
      </c>
      <c r="N2242" s="756">
        <v>78583.820000000007</v>
      </c>
      <c r="O2242" s="720">
        <f t="shared" si="96"/>
        <v>0</v>
      </c>
    </row>
    <row r="2243" spans="1:15" outlineLevel="2" x14ac:dyDescent="0.25">
      <c r="A2243" s="207" t="str">
        <f>VLOOKUP(RIGHT(E2243,3)+0,SchLocTable!$A$2:$B$47,2,FALSE)</f>
        <v>Winthrop</v>
      </c>
      <c r="B2243" s="207" t="str">
        <f>VLOOKUP(VALUE(D2243),$D$3:F$106,3,FALSE)</f>
        <v>SPED Aides</v>
      </c>
      <c r="C2243" s="751" t="s">
        <v>246</v>
      </c>
      <c r="D2243" s="751" t="s">
        <v>726</v>
      </c>
      <c r="E2243" s="751" t="s">
        <v>739</v>
      </c>
      <c r="F2243" s="751" t="s">
        <v>257</v>
      </c>
      <c r="G2243" s="752" t="s">
        <v>1681</v>
      </c>
      <c r="H2243" s="753">
        <v>51140</v>
      </c>
      <c r="I2243" s="754">
        <v>3600</v>
      </c>
      <c r="J2243" s="754">
        <v>0</v>
      </c>
      <c r="K2243" s="754">
        <v>0</v>
      </c>
      <c r="L2243" s="754">
        <v>0</v>
      </c>
      <c r="M2243" s="754">
        <f t="shared" si="95"/>
        <v>0</v>
      </c>
      <c r="N2243" s="756">
        <v>3600</v>
      </c>
      <c r="O2243" s="720">
        <f t="shared" si="96"/>
        <v>0</v>
      </c>
    </row>
    <row r="2244" spans="1:15" outlineLevel="2" x14ac:dyDescent="0.25">
      <c r="A2244" s="207" t="str">
        <f>VLOOKUP(RIGHT(E2244,3)+0,SchLocTable!$A$2:$B$47,2,FALSE)</f>
        <v>Winthrop</v>
      </c>
      <c r="B2244" s="207" t="str">
        <f>VLOOKUP(VALUE(D2244),$D$3:F$106,3,FALSE)</f>
        <v>SPED Aides</v>
      </c>
      <c r="C2244" s="751" t="s">
        <v>246</v>
      </c>
      <c r="D2244" s="751" t="s">
        <v>726</v>
      </c>
      <c r="E2244" s="751" t="s">
        <v>739</v>
      </c>
      <c r="F2244" s="751" t="s">
        <v>254</v>
      </c>
      <c r="G2244" s="752" t="s">
        <v>1681</v>
      </c>
      <c r="H2244" s="753">
        <v>52360</v>
      </c>
      <c r="I2244" s="754">
        <v>1101.6400000000001</v>
      </c>
      <c r="J2244" s="754">
        <v>0</v>
      </c>
      <c r="K2244" s="754">
        <v>0</v>
      </c>
      <c r="L2244" s="754">
        <v>270.14999999999998</v>
      </c>
      <c r="M2244" s="754">
        <f t="shared" si="95"/>
        <v>270.14999999999998</v>
      </c>
      <c r="N2244" s="756">
        <v>1101.6400000000001</v>
      </c>
      <c r="O2244" s="720">
        <f t="shared" si="96"/>
        <v>0</v>
      </c>
    </row>
    <row r="2245" spans="1:15" outlineLevel="1" x14ac:dyDescent="0.25">
      <c r="A2245" s="207" t="str">
        <f>VLOOKUP(RIGHT(E2245,3)+0,SchLocTable!$A$2:$B$47,2,FALSE)</f>
        <v>Winthrop</v>
      </c>
      <c r="B2245" s="207" t="str">
        <f>VLOOKUP(VALUE(D2245),$D$3:F$106,3,FALSE)</f>
        <v>SPED Aides</v>
      </c>
      <c r="C2245" s="751" t="s">
        <v>246</v>
      </c>
      <c r="D2245" s="751" t="s">
        <v>726</v>
      </c>
      <c r="E2245" s="751" t="s">
        <v>739</v>
      </c>
      <c r="F2245" s="751" t="s">
        <v>292</v>
      </c>
      <c r="G2245" s="752" t="s">
        <v>1681</v>
      </c>
      <c r="H2245" s="753">
        <v>52385</v>
      </c>
      <c r="I2245" s="754">
        <v>0</v>
      </c>
      <c r="J2245" s="754">
        <v>0</v>
      </c>
      <c r="K2245" s="754">
        <v>0</v>
      </c>
      <c r="L2245" s="754">
        <v>0</v>
      </c>
      <c r="M2245" s="754">
        <f t="shared" si="95"/>
        <v>0</v>
      </c>
      <c r="N2245" s="756">
        <v>0</v>
      </c>
      <c r="O2245" s="720">
        <f t="shared" si="96"/>
        <v>0</v>
      </c>
    </row>
    <row r="2246" spans="1:15" outlineLevel="2" x14ac:dyDescent="0.25">
      <c r="A2246" s="207" t="str">
        <f>VLOOKUP(RIGHT(E2246,3)+0,SchLocTable!$A$2:$B$47,2,FALSE)</f>
        <v>Winthrop</v>
      </c>
      <c r="B2246" s="207" t="str">
        <f>VLOOKUP(VALUE(D2246),$D$3:F$106,3,FALSE)</f>
        <v>SPED Aides</v>
      </c>
      <c r="C2246" s="751" t="s">
        <v>246</v>
      </c>
      <c r="D2246" s="751" t="s">
        <v>726</v>
      </c>
      <c r="E2246" s="751" t="s">
        <v>739</v>
      </c>
      <c r="F2246" s="751" t="s">
        <v>331</v>
      </c>
      <c r="G2246" s="752" t="s">
        <v>1681</v>
      </c>
      <c r="H2246" s="753">
        <v>52504</v>
      </c>
      <c r="I2246" s="754">
        <v>16180.42</v>
      </c>
      <c r="J2246" s="754">
        <v>0</v>
      </c>
      <c r="K2246" s="754">
        <v>0</v>
      </c>
      <c r="L2246" s="754">
        <v>4373.26</v>
      </c>
      <c r="M2246" s="754">
        <f t="shared" si="95"/>
        <v>4373.26</v>
      </c>
      <c r="N2246" s="756">
        <v>16180.42</v>
      </c>
      <c r="O2246" s="720">
        <f t="shared" si="96"/>
        <v>0</v>
      </c>
    </row>
    <row r="2247" spans="1:15" outlineLevel="2" x14ac:dyDescent="0.25">
      <c r="A2247" s="207" t="str">
        <f>VLOOKUP(RIGHT(E2247,3)+0,SchLocTable!$A$2:$B$47,2,FALSE)</f>
        <v>Winthrop</v>
      </c>
      <c r="B2247" s="207" t="str">
        <f>VLOOKUP(VALUE(D2247),$D$3:F$106,3,FALSE)</f>
        <v>SPED Aides</v>
      </c>
      <c r="C2247" s="751" t="s">
        <v>246</v>
      </c>
      <c r="D2247" s="751" t="s">
        <v>726</v>
      </c>
      <c r="E2247" s="751" t="s">
        <v>739</v>
      </c>
      <c r="F2247" s="751" t="s">
        <v>259</v>
      </c>
      <c r="G2247" s="752" t="s">
        <v>1681</v>
      </c>
      <c r="H2247" s="753">
        <v>52917</v>
      </c>
      <c r="I2247" s="754">
        <v>34332.480000000003</v>
      </c>
      <c r="J2247" s="754">
        <v>0</v>
      </c>
      <c r="K2247" s="754">
        <v>0</v>
      </c>
      <c r="L2247" s="754">
        <v>8174.4</v>
      </c>
      <c r="M2247" s="754">
        <f t="shared" si="95"/>
        <v>8174.4</v>
      </c>
      <c r="N2247" s="756">
        <v>34332.480000000003</v>
      </c>
      <c r="O2247" s="720">
        <f t="shared" si="96"/>
        <v>0</v>
      </c>
    </row>
    <row r="2248" spans="1:15" outlineLevel="2" x14ac:dyDescent="0.25">
      <c r="A2248" s="207" t="str">
        <f>VLOOKUP(RIGHT(E2248,3)+0,SchLocTable!$A$2:$B$47,2,FALSE)</f>
        <v>Winthrop</v>
      </c>
      <c r="B2248" s="207" t="str">
        <f>VLOOKUP(VALUE(D2248),$D$3:F$106,3,FALSE)</f>
        <v>SPED Aides</v>
      </c>
      <c r="C2248" s="751" t="s">
        <v>246</v>
      </c>
      <c r="D2248" s="751" t="s">
        <v>726</v>
      </c>
      <c r="E2248" s="751" t="s">
        <v>739</v>
      </c>
      <c r="F2248" s="751" t="s">
        <v>333</v>
      </c>
      <c r="G2248" s="752" t="s">
        <v>1681</v>
      </c>
      <c r="H2248" s="753">
        <v>52920</v>
      </c>
      <c r="I2248" s="754">
        <v>416.68</v>
      </c>
      <c r="J2248" s="754">
        <v>0</v>
      </c>
      <c r="K2248" s="754">
        <v>0</v>
      </c>
      <c r="L2248" s="754">
        <v>0</v>
      </c>
      <c r="M2248" s="754">
        <f t="shared" si="95"/>
        <v>0</v>
      </c>
      <c r="N2248" s="756">
        <v>416.68</v>
      </c>
      <c r="O2248" s="720">
        <f t="shared" si="96"/>
        <v>0</v>
      </c>
    </row>
    <row r="2249" spans="1:15" outlineLevel="2" x14ac:dyDescent="0.25">
      <c r="A2249" s="207" t="str">
        <f>VLOOKUP(RIGHT(E2249,3)+0,SchLocTable!$A$2:$B$47,2,FALSE)</f>
        <v>Discovery</v>
      </c>
      <c r="B2249" s="207" t="str">
        <f>VLOOKUP(VALUE(D2249),$D$3:F$106,3,FALSE)</f>
        <v>SPED Aides</v>
      </c>
      <c r="C2249" s="751" t="s">
        <v>246</v>
      </c>
      <c r="D2249" s="751" t="s">
        <v>726</v>
      </c>
      <c r="E2249" s="751" t="s">
        <v>2121</v>
      </c>
      <c r="F2249" s="751" t="s">
        <v>257</v>
      </c>
      <c r="G2249" s="752" t="s">
        <v>1681</v>
      </c>
      <c r="H2249" s="753">
        <v>51140</v>
      </c>
      <c r="I2249" s="754">
        <v>4340</v>
      </c>
      <c r="J2249" s="754">
        <v>0</v>
      </c>
      <c r="K2249" s="754">
        <v>0</v>
      </c>
      <c r="L2249" s="754">
        <v>0</v>
      </c>
      <c r="M2249" s="754">
        <f t="shared" si="95"/>
        <v>0</v>
      </c>
      <c r="N2249" s="756">
        <v>4340</v>
      </c>
      <c r="O2249" s="720">
        <f t="shared" si="96"/>
        <v>0</v>
      </c>
    </row>
    <row r="2250" spans="1:15" outlineLevel="2" x14ac:dyDescent="0.25">
      <c r="A2250" s="207" t="str">
        <f>VLOOKUP(RIGHT(E2250,3)+0,SchLocTable!$A$2:$B$47,2,FALSE)</f>
        <v>Discovery</v>
      </c>
      <c r="B2250" s="207" t="str">
        <f>VLOOKUP(VALUE(D2250),$D$3:F$106,3,FALSE)</f>
        <v>SPED Aides</v>
      </c>
      <c r="C2250" s="751" t="s">
        <v>246</v>
      </c>
      <c r="D2250" s="751" t="s">
        <v>726</v>
      </c>
      <c r="E2250" s="751" t="s">
        <v>2121</v>
      </c>
      <c r="F2250" s="751" t="s">
        <v>254</v>
      </c>
      <c r="G2250" s="752" t="s">
        <v>1681</v>
      </c>
      <c r="H2250" s="753">
        <v>52360</v>
      </c>
      <c r="I2250" s="754">
        <v>0</v>
      </c>
      <c r="J2250" s="754">
        <v>0</v>
      </c>
      <c r="K2250" s="754">
        <v>0</v>
      </c>
      <c r="L2250" s="754">
        <v>0</v>
      </c>
      <c r="M2250" s="754">
        <f t="shared" si="95"/>
        <v>0</v>
      </c>
      <c r="N2250" s="756">
        <v>0</v>
      </c>
      <c r="O2250" s="720">
        <f t="shared" si="96"/>
        <v>0</v>
      </c>
    </row>
    <row r="2251" spans="1:15" outlineLevel="2" x14ac:dyDescent="0.25">
      <c r="A2251" s="207" t="str">
        <f>VLOOKUP(RIGHT(E2251,3)+0,SchLocTable!$A$2:$B$47,2,FALSE)</f>
        <v>Discovery</v>
      </c>
      <c r="B2251" s="207" t="str">
        <f>VLOOKUP(VALUE(D2251),$D$3:F$106,3,FALSE)</f>
        <v>SPED Aides</v>
      </c>
      <c r="C2251" s="751" t="s">
        <v>246</v>
      </c>
      <c r="D2251" s="751" t="s">
        <v>726</v>
      </c>
      <c r="E2251" s="751" t="s">
        <v>2121</v>
      </c>
      <c r="F2251" s="751" t="s">
        <v>331</v>
      </c>
      <c r="G2251" s="752" t="s">
        <v>1681</v>
      </c>
      <c r="H2251" s="753">
        <v>52504</v>
      </c>
      <c r="I2251" s="754">
        <v>0</v>
      </c>
      <c r="J2251" s="754">
        <v>0</v>
      </c>
      <c r="K2251" s="754">
        <v>0</v>
      </c>
      <c r="L2251" s="754">
        <v>0</v>
      </c>
      <c r="M2251" s="754">
        <f t="shared" si="95"/>
        <v>0</v>
      </c>
      <c r="N2251" s="756">
        <v>0</v>
      </c>
      <c r="O2251" s="720">
        <f t="shared" si="96"/>
        <v>0</v>
      </c>
    </row>
    <row r="2252" spans="1:15" outlineLevel="2" x14ac:dyDescent="0.25">
      <c r="A2252" s="207" t="str">
        <f>VLOOKUP(RIGHT(E2252,3)+0,SchLocTable!$A$2:$B$47,2,FALSE)</f>
        <v>Cross</v>
      </c>
      <c r="B2252" s="207" t="str">
        <f>VLOOKUP(VALUE(D2252),$D$3:F$106,3,FALSE)</f>
        <v>SPED Aides</v>
      </c>
      <c r="C2252" s="751" t="s">
        <v>246</v>
      </c>
      <c r="D2252" s="751" t="s">
        <v>726</v>
      </c>
      <c r="E2252" s="751" t="s">
        <v>740</v>
      </c>
      <c r="F2252" s="751" t="s">
        <v>248</v>
      </c>
      <c r="G2252" s="752">
        <v>3</v>
      </c>
      <c r="H2252" s="753">
        <v>51000</v>
      </c>
      <c r="I2252" s="754">
        <v>122457.56</v>
      </c>
      <c r="J2252" s="754">
        <v>0</v>
      </c>
      <c r="K2252" s="754">
        <v>0</v>
      </c>
      <c r="L2252" s="754">
        <v>34692.720000000001</v>
      </c>
      <c r="M2252" s="754">
        <f t="shared" si="95"/>
        <v>34692.720000000001</v>
      </c>
      <c r="N2252" s="756">
        <v>122457.56</v>
      </c>
      <c r="O2252" s="720">
        <f t="shared" si="96"/>
        <v>0</v>
      </c>
    </row>
    <row r="2253" spans="1:15" outlineLevel="2" x14ac:dyDescent="0.25">
      <c r="A2253" s="207" t="str">
        <f>VLOOKUP(RIGHT(E2253,3)+0,SchLocTable!$A$2:$B$47,2,FALSE)</f>
        <v>Cross</v>
      </c>
      <c r="B2253" s="207" t="str">
        <f>VLOOKUP(VALUE(D2253),$D$3:F$106,3,FALSE)</f>
        <v>SPED Aides</v>
      </c>
      <c r="C2253" s="751" t="s">
        <v>246</v>
      </c>
      <c r="D2253" s="751" t="s">
        <v>726</v>
      </c>
      <c r="E2253" s="751" t="s">
        <v>740</v>
      </c>
      <c r="F2253" s="751" t="s">
        <v>257</v>
      </c>
      <c r="G2253" s="752" t="s">
        <v>1681</v>
      </c>
      <c r="H2253" s="753">
        <v>51140</v>
      </c>
      <c r="I2253" s="754">
        <v>5833.33</v>
      </c>
      <c r="J2253" s="754">
        <v>0</v>
      </c>
      <c r="K2253" s="754">
        <v>0</v>
      </c>
      <c r="L2253" s="754">
        <v>0</v>
      </c>
      <c r="M2253" s="754">
        <f t="shared" si="95"/>
        <v>0</v>
      </c>
      <c r="N2253" s="756">
        <v>5833.33</v>
      </c>
      <c r="O2253" s="720">
        <f t="shared" si="96"/>
        <v>0</v>
      </c>
    </row>
    <row r="2254" spans="1:15" outlineLevel="2" x14ac:dyDescent="0.25">
      <c r="A2254" s="207" t="str">
        <f>VLOOKUP(RIGHT(E2254,3)+0,SchLocTable!$A$2:$B$47,2,FALSE)</f>
        <v>Cross</v>
      </c>
      <c r="B2254" s="207" t="str">
        <f>VLOOKUP(VALUE(D2254),$D$3:F$106,3,FALSE)</f>
        <v>SPED Aides</v>
      </c>
      <c r="C2254" s="751" t="s">
        <v>246</v>
      </c>
      <c r="D2254" s="751" t="s">
        <v>726</v>
      </c>
      <c r="E2254" s="751" t="s">
        <v>740</v>
      </c>
      <c r="F2254" s="751" t="s">
        <v>254</v>
      </c>
      <c r="G2254" s="752" t="s">
        <v>1681</v>
      </c>
      <c r="H2254" s="753">
        <v>52360</v>
      </c>
      <c r="I2254" s="754">
        <v>1738.49</v>
      </c>
      <c r="J2254" s="754">
        <v>0</v>
      </c>
      <c r="K2254" s="754">
        <v>0</v>
      </c>
      <c r="L2254" s="754">
        <v>465.9</v>
      </c>
      <c r="M2254" s="754">
        <f t="shared" si="95"/>
        <v>465.9</v>
      </c>
      <c r="N2254" s="756">
        <v>1738.49</v>
      </c>
      <c r="O2254" s="720">
        <f t="shared" si="96"/>
        <v>0</v>
      </c>
    </row>
    <row r="2255" spans="1:15" outlineLevel="2" x14ac:dyDescent="0.25">
      <c r="A2255" s="207" t="str">
        <f>VLOOKUP(RIGHT(E2255,3)+0,SchLocTable!$A$2:$B$47,2,FALSE)</f>
        <v>Cross</v>
      </c>
      <c r="B2255" s="207" t="str">
        <f>VLOOKUP(VALUE(D2255),$D$3:F$106,3,FALSE)</f>
        <v>SPED Aides</v>
      </c>
      <c r="C2255" s="751" t="s">
        <v>246</v>
      </c>
      <c r="D2255" s="751" t="s">
        <v>726</v>
      </c>
      <c r="E2255" s="751" t="s">
        <v>740</v>
      </c>
      <c r="F2255" s="751" t="s">
        <v>331</v>
      </c>
      <c r="G2255" s="752" t="s">
        <v>1681</v>
      </c>
      <c r="H2255" s="753">
        <v>52504</v>
      </c>
      <c r="I2255" s="754">
        <v>25214.04</v>
      </c>
      <c r="J2255" s="754">
        <v>0</v>
      </c>
      <c r="K2255" s="754">
        <v>0</v>
      </c>
      <c r="L2255" s="754">
        <v>7143.26</v>
      </c>
      <c r="M2255" s="754">
        <f t="shared" si="95"/>
        <v>7143.26</v>
      </c>
      <c r="N2255" s="756">
        <v>25214.04</v>
      </c>
      <c r="O2255" s="720">
        <f t="shared" si="96"/>
        <v>0</v>
      </c>
    </row>
    <row r="2256" spans="1:15" outlineLevel="2" x14ac:dyDescent="0.25">
      <c r="A2256" s="207" t="str">
        <f>VLOOKUP(RIGHT(E2256,3)+0,SchLocTable!$A$2:$B$47,2,FALSE)</f>
        <v>Cross</v>
      </c>
      <c r="B2256" s="207" t="str">
        <f>VLOOKUP(VALUE(D2256),$D$3:F$106,3,FALSE)</f>
        <v>SPED Aides</v>
      </c>
      <c r="C2256" s="751" t="s">
        <v>246</v>
      </c>
      <c r="D2256" s="751" t="s">
        <v>726</v>
      </c>
      <c r="E2256" s="751" t="s">
        <v>740</v>
      </c>
      <c r="F2256" s="751" t="s">
        <v>259</v>
      </c>
      <c r="G2256" s="752" t="s">
        <v>1681</v>
      </c>
      <c r="H2256" s="753">
        <v>52917</v>
      </c>
      <c r="I2256" s="754">
        <v>39553.910000000003</v>
      </c>
      <c r="J2256" s="754">
        <v>0</v>
      </c>
      <c r="K2256" s="754">
        <v>0</v>
      </c>
      <c r="L2256" s="754">
        <v>11549.59</v>
      </c>
      <c r="M2256" s="754">
        <f t="shared" si="95"/>
        <v>11549.59</v>
      </c>
      <c r="N2256" s="756">
        <v>39553.910000000003</v>
      </c>
      <c r="O2256" s="720">
        <f t="shared" si="96"/>
        <v>0</v>
      </c>
    </row>
    <row r="2257" spans="1:15" outlineLevel="2" x14ac:dyDescent="0.25">
      <c r="A2257" s="207" t="str">
        <f>VLOOKUP(RIGHT(E2257,3)+0,SchLocTable!$A$2:$B$47,2,FALSE)</f>
        <v>Cross</v>
      </c>
      <c r="B2257" s="207" t="str">
        <f>VLOOKUP(VALUE(D2257),$D$3:F$106,3,FALSE)</f>
        <v>SPED Aides</v>
      </c>
      <c r="C2257" s="755" t="s">
        <v>246</v>
      </c>
      <c r="D2257" s="751" t="s">
        <v>726</v>
      </c>
      <c r="E2257" s="751" t="s">
        <v>740</v>
      </c>
      <c r="F2257" s="751" t="s">
        <v>333</v>
      </c>
      <c r="G2257" s="752" t="s">
        <v>1681</v>
      </c>
      <c r="H2257" s="753">
        <v>52920</v>
      </c>
      <c r="I2257" s="754">
        <v>500</v>
      </c>
      <c r="J2257" s="754">
        <v>0</v>
      </c>
      <c r="K2257" s="754">
        <v>0</v>
      </c>
      <c r="L2257" s="754">
        <v>0</v>
      </c>
      <c r="M2257" s="754">
        <f t="shared" si="95"/>
        <v>0</v>
      </c>
      <c r="N2257" s="756">
        <v>500</v>
      </c>
      <c r="O2257" s="720">
        <f t="shared" si="96"/>
        <v>0</v>
      </c>
    </row>
    <row r="2258" spans="1:15" outlineLevel="2" x14ac:dyDescent="0.25">
      <c r="A2258" s="207" t="str">
        <f>VLOOKUP(RIGHT(E2258,3)+0,SchLocTable!$A$2:$B$47,2,FALSE)</f>
        <v>Blackham</v>
      </c>
      <c r="B2258" s="207" t="str">
        <f>VLOOKUP(VALUE(D2258),$D$3:F$106,3,FALSE)</f>
        <v>SPED Aides</v>
      </c>
      <c r="C2258" s="751" t="s">
        <v>246</v>
      </c>
      <c r="D2258" s="751" t="s">
        <v>726</v>
      </c>
      <c r="E2258" s="751" t="s">
        <v>741</v>
      </c>
      <c r="F2258" s="751" t="s">
        <v>248</v>
      </c>
      <c r="G2258" s="752">
        <v>3</v>
      </c>
      <c r="H2258" s="753">
        <v>51000</v>
      </c>
      <c r="I2258" s="754">
        <v>107319.39</v>
      </c>
      <c r="J2258" s="754">
        <v>0</v>
      </c>
      <c r="K2258" s="754">
        <v>0</v>
      </c>
      <c r="L2258" s="754">
        <v>27955.040000000001</v>
      </c>
      <c r="M2258" s="754">
        <f t="shared" si="95"/>
        <v>27955.040000000001</v>
      </c>
      <c r="N2258" s="756">
        <v>107319.39</v>
      </c>
      <c r="O2258" s="720">
        <f t="shared" si="96"/>
        <v>0</v>
      </c>
    </row>
    <row r="2259" spans="1:15" outlineLevel="2" x14ac:dyDescent="0.25">
      <c r="A2259" s="207" t="str">
        <f>VLOOKUP(RIGHT(E2259,3)+0,SchLocTable!$A$2:$B$47,2,FALSE)</f>
        <v>Blackham</v>
      </c>
      <c r="B2259" s="207" t="str">
        <f>VLOOKUP(VALUE(D2259),$D$3:F$106,3,FALSE)</f>
        <v>SPED Aides</v>
      </c>
      <c r="C2259" s="751" t="s">
        <v>246</v>
      </c>
      <c r="D2259" s="751" t="s">
        <v>726</v>
      </c>
      <c r="E2259" s="751" t="s">
        <v>741</v>
      </c>
      <c r="F2259" s="751" t="s">
        <v>257</v>
      </c>
      <c r="G2259" s="752" t="s">
        <v>1681</v>
      </c>
      <c r="H2259" s="753">
        <v>51140</v>
      </c>
      <c r="I2259" s="754">
        <v>9970</v>
      </c>
      <c r="J2259" s="754">
        <v>0</v>
      </c>
      <c r="K2259" s="754">
        <v>0</v>
      </c>
      <c r="L2259" s="754">
        <v>0</v>
      </c>
      <c r="M2259" s="754">
        <f t="shared" si="95"/>
        <v>0</v>
      </c>
      <c r="N2259" s="756">
        <v>9970</v>
      </c>
      <c r="O2259" s="720">
        <f t="shared" si="96"/>
        <v>0</v>
      </c>
    </row>
    <row r="2260" spans="1:15" outlineLevel="2" x14ac:dyDescent="0.25">
      <c r="A2260" s="207" t="str">
        <f>VLOOKUP(RIGHT(E2260,3)+0,SchLocTable!$A$2:$B$47,2,FALSE)</f>
        <v>Blackham</v>
      </c>
      <c r="B2260" s="207" t="str">
        <f>VLOOKUP(VALUE(D2260),$D$3:F$106,3,FALSE)</f>
        <v>SPED Aides</v>
      </c>
      <c r="C2260" s="751" t="s">
        <v>246</v>
      </c>
      <c r="D2260" s="751" t="s">
        <v>726</v>
      </c>
      <c r="E2260" s="751" t="s">
        <v>741</v>
      </c>
      <c r="F2260" s="751" t="s">
        <v>254</v>
      </c>
      <c r="G2260" s="752" t="s">
        <v>1681</v>
      </c>
      <c r="H2260" s="753">
        <v>52360</v>
      </c>
      <c r="I2260" s="754">
        <v>1534.67</v>
      </c>
      <c r="J2260" s="754">
        <v>0</v>
      </c>
      <c r="K2260" s="754">
        <v>0</v>
      </c>
      <c r="L2260" s="754">
        <v>383.89</v>
      </c>
      <c r="M2260" s="754">
        <f t="shared" si="95"/>
        <v>383.89</v>
      </c>
      <c r="N2260" s="756">
        <v>1534.67</v>
      </c>
      <c r="O2260" s="720">
        <f t="shared" si="96"/>
        <v>0</v>
      </c>
    </row>
    <row r="2261" spans="1:15" outlineLevel="2" x14ac:dyDescent="0.25">
      <c r="A2261" s="207" t="str">
        <f>VLOOKUP(RIGHT(E2261,3)+0,SchLocTable!$A$2:$B$47,2,FALSE)</f>
        <v>Blackham</v>
      </c>
      <c r="B2261" s="207" t="str">
        <f>VLOOKUP(VALUE(D2261),$D$3:F$106,3,FALSE)</f>
        <v>SPED Aides</v>
      </c>
      <c r="C2261" s="755" t="s">
        <v>246</v>
      </c>
      <c r="D2261" s="751" t="s">
        <v>726</v>
      </c>
      <c r="E2261" s="751" t="s">
        <v>741</v>
      </c>
      <c r="F2261" s="751" t="s">
        <v>292</v>
      </c>
      <c r="G2261" s="752" t="s">
        <v>1681</v>
      </c>
      <c r="H2261" s="753">
        <v>52385</v>
      </c>
      <c r="I2261" s="754">
        <v>1734.35</v>
      </c>
      <c r="J2261" s="754">
        <v>0</v>
      </c>
      <c r="K2261" s="754">
        <v>0</v>
      </c>
      <c r="L2261" s="754">
        <v>442.83</v>
      </c>
      <c r="M2261" s="754">
        <f t="shared" si="95"/>
        <v>442.83</v>
      </c>
      <c r="N2261" s="756">
        <v>1734.35</v>
      </c>
      <c r="O2261" s="720">
        <f t="shared" si="96"/>
        <v>0</v>
      </c>
    </row>
    <row r="2262" spans="1:15" outlineLevel="2" x14ac:dyDescent="0.25">
      <c r="A2262" s="207" t="str">
        <f>VLOOKUP(RIGHT(E2262,3)+0,SchLocTable!$A$2:$B$47,2,FALSE)</f>
        <v>Blackham</v>
      </c>
      <c r="B2262" s="207" t="str">
        <f>VLOOKUP(VALUE(D2262),$D$3:F$106,3,FALSE)</f>
        <v>SPED Aides</v>
      </c>
      <c r="C2262" s="751" t="s">
        <v>246</v>
      </c>
      <c r="D2262" s="751" t="s">
        <v>726</v>
      </c>
      <c r="E2262" s="751" t="s">
        <v>741</v>
      </c>
      <c r="F2262" s="751" t="s">
        <v>331</v>
      </c>
      <c r="G2262" s="752" t="s">
        <v>1681</v>
      </c>
      <c r="H2262" s="753">
        <v>52504</v>
      </c>
      <c r="I2262" s="754">
        <v>20539.61</v>
      </c>
      <c r="J2262" s="754">
        <v>0</v>
      </c>
      <c r="K2262" s="754">
        <v>0</v>
      </c>
      <c r="L2262" s="754">
        <v>4198.49</v>
      </c>
      <c r="M2262" s="754">
        <f t="shared" si="95"/>
        <v>4198.49</v>
      </c>
      <c r="N2262" s="756">
        <v>20539.61</v>
      </c>
      <c r="O2262" s="720">
        <f t="shared" si="96"/>
        <v>0</v>
      </c>
    </row>
    <row r="2263" spans="1:15" outlineLevel="2" x14ac:dyDescent="0.25">
      <c r="A2263" s="207" t="str">
        <f>VLOOKUP(RIGHT(E2263,3)+0,SchLocTable!$A$2:$B$47,2,FALSE)</f>
        <v>Blackham</v>
      </c>
      <c r="B2263" s="207" t="str">
        <f>VLOOKUP(VALUE(D2263),$D$3:F$106,3,FALSE)</f>
        <v>SPED Aides</v>
      </c>
      <c r="C2263" s="751" t="s">
        <v>246</v>
      </c>
      <c r="D2263" s="751" t="s">
        <v>726</v>
      </c>
      <c r="E2263" s="751" t="s">
        <v>741</v>
      </c>
      <c r="F2263" s="751" t="s">
        <v>259</v>
      </c>
      <c r="G2263" s="752" t="s">
        <v>1681</v>
      </c>
      <c r="H2263" s="753">
        <v>52917</v>
      </c>
      <c r="I2263" s="754">
        <v>19625.560000000001</v>
      </c>
      <c r="J2263" s="754">
        <v>0</v>
      </c>
      <c r="K2263" s="754">
        <v>0</v>
      </c>
      <c r="L2263" s="754">
        <v>4459.18</v>
      </c>
      <c r="M2263" s="754">
        <f t="shared" si="95"/>
        <v>4459.18</v>
      </c>
      <c r="N2263" s="756">
        <v>19625.560000000001</v>
      </c>
      <c r="O2263" s="720">
        <f t="shared" si="96"/>
        <v>0</v>
      </c>
    </row>
    <row r="2264" spans="1:15" outlineLevel="2" x14ac:dyDescent="0.25">
      <c r="A2264" s="207" t="str">
        <f>VLOOKUP(RIGHT(E2264,3)+0,SchLocTable!$A$2:$B$47,2,FALSE)</f>
        <v>Blackham</v>
      </c>
      <c r="B2264" s="207" t="str">
        <f>VLOOKUP(VALUE(D2264),$D$3:F$106,3,FALSE)</f>
        <v>SPED Aides</v>
      </c>
      <c r="C2264" s="751" t="s">
        <v>246</v>
      </c>
      <c r="D2264" s="751" t="s">
        <v>726</v>
      </c>
      <c r="E2264" s="751" t="s">
        <v>741</v>
      </c>
      <c r="F2264" s="751" t="s">
        <v>333</v>
      </c>
      <c r="G2264" s="752" t="s">
        <v>1681</v>
      </c>
      <c r="H2264" s="753">
        <v>52920</v>
      </c>
      <c r="I2264" s="754">
        <v>375</v>
      </c>
      <c r="J2264" s="754">
        <v>0</v>
      </c>
      <c r="K2264" s="754">
        <v>0</v>
      </c>
      <c r="L2264" s="754">
        <v>0</v>
      </c>
      <c r="M2264" s="754">
        <f t="shared" si="95"/>
        <v>0</v>
      </c>
      <c r="N2264" s="756">
        <v>375</v>
      </c>
      <c r="O2264" s="720">
        <f t="shared" si="96"/>
        <v>0</v>
      </c>
    </row>
    <row r="2265" spans="1:15" outlineLevel="2" x14ac:dyDescent="0.25">
      <c r="A2265" s="207" t="str">
        <f>VLOOKUP(RIGHT(E2265,3)+0,SchLocTable!$A$2:$B$47,2,FALSE)</f>
        <v>Dunbar</v>
      </c>
      <c r="B2265" s="207" t="str">
        <f>VLOOKUP(VALUE(D2265),$D$3:F$106,3,FALSE)</f>
        <v>SPED Aides</v>
      </c>
      <c r="C2265" s="751" t="s">
        <v>246</v>
      </c>
      <c r="D2265" s="751" t="s">
        <v>726</v>
      </c>
      <c r="E2265" s="751" t="s">
        <v>1615</v>
      </c>
      <c r="F2265" s="751" t="s">
        <v>248</v>
      </c>
      <c r="G2265" s="752">
        <v>3</v>
      </c>
      <c r="H2265" s="753">
        <v>51000</v>
      </c>
      <c r="I2265" s="754">
        <v>108080.69</v>
      </c>
      <c r="J2265" s="754">
        <v>0</v>
      </c>
      <c r="K2265" s="754">
        <v>0</v>
      </c>
      <c r="L2265" s="754">
        <v>30374.43</v>
      </c>
      <c r="M2265" s="754">
        <f t="shared" si="95"/>
        <v>30374.43</v>
      </c>
      <c r="N2265" s="756">
        <v>108080.69</v>
      </c>
      <c r="O2265" s="720">
        <f t="shared" si="96"/>
        <v>0</v>
      </c>
    </row>
    <row r="2266" spans="1:15" outlineLevel="2" x14ac:dyDescent="0.25">
      <c r="A2266" s="207" t="str">
        <f>VLOOKUP(RIGHT(E2266,3)+0,SchLocTable!$A$2:$B$47,2,FALSE)</f>
        <v>Dunbar</v>
      </c>
      <c r="B2266" s="207" t="str">
        <f>VLOOKUP(VALUE(D2266),$D$3:F$106,3,FALSE)</f>
        <v>SPED Aides</v>
      </c>
      <c r="C2266" s="755" t="s">
        <v>246</v>
      </c>
      <c r="D2266" s="751" t="s">
        <v>726</v>
      </c>
      <c r="E2266" s="751" t="s">
        <v>1615</v>
      </c>
      <c r="F2266" s="751" t="s">
        <v>257</v>
      </c>
      <c r="G2266" s="752" t="s">
        <v>1681</v>
      </c>
      <c r="H2266" s="753">
        <v>51140</v>
      </c>
      <c r="I2266" s="754">
        <v>5810</v>
      </c>
      <c r="J2266" s="754">
        <v>0</v>
      </c>
      <c r="K2266" s="754">
        <v>0</v>
      </c>
      <c r="L2266" s="754">
        <v>0</v>
      </c>
      <c r="M2266" s="754">
        <f t="shared" si="95"/>
        <v>0</v>
      </c>
      <c r="N2266" s="756">
        <v>5810</v>
      </c>
      <c r="O2266" s="720">
        <f t="shared" si="96"/>
        <v>0</v>
      </c>
    </row>
    <row r="2267" spans="1:15" outlineLevel="2" x14ac:dyDescent="0.25">
      <c r="A2267" s="207" t="str">
        <f>VLOOKUP(RIGHT(E2267,3)+0,SchLocTable!$A$2:$B$47,2,FALSE)</f>
        <v>Dunbar</v>
      </c>
      <c r="B2267" s="207" t="str">
        <f>VLOOKUP(VALUE(D2267),$D$3:F$106,3,FALSE)</f>
        <v>SPED Aides</v>
      </c>
      <c r="C2267" s="751" t="s">
        <v>246</v>
      </c>
      <c r="D2267" s="751" t="s">
        <v>726</v>
      </c>
      <c r="E2267" s="751" t="s">
        <v>1615</v>
      </c>
      <c r="F2267" s="751" t="s">
        <v>254</v>
      </c>
      <c r="G2267" s="752" t="s">
        <v>1681</v>
      </c>
      <c r="H2267" s="753">
        <v>52360</v>
      </c>
      <c r="I2267" s="754">
        <v>1488.4</v>
      </c>
      <c r="J2267" s="754">
        <v>0</v>
      </c>
      <c r="K2267" s="754">
        <v>0</v>
      </c>
      <c r="L2267" s="754">
        <v>361.66</v>
      </c>
      <c r="M2267" s="754">
        <f t="shared" si="95"/>
        <v>361.66</v>
      </c>
      <c r="N2267" s="756">
        <v>1488.4</v>
      </c>
      <c r="O2267" s="720">
        <f t="shared" si="96"/>
        <v>0</v>
      </c>
    </row>
    <row r="2268" spans="1:15" outlineLevel="2" x14ac:dyDescent="0.25">
      <c r="A2268" s="207" t="str">
        <f>VLOOKUP(RIGHT(E2268,3)+0,SchLocTable!$A$2:$B$47,2,FALSE)</f>
        <v>Dunbar</v>
      </c>
      <c r="B2268" s="207" t="str">
        <f>VLOOKUP(VALUE(D2268),$D$3:F$106,3,FALSE)</f>
        <v>SPED Aides</v>
      </c>
      <c r="C2268" s="751" t="s">
        <v>246</v>
      </c>
      <c r="D2268" s="751" t="s">
        <v>726</v>
      </c>
      <c r="E2268" s="751" t="s">
        <v>1615</v>
      </c>
      <c r="F2268" s="751" t="s">
        <v>292</v>
      </c>
      <c r="G2268" s="752" t="s">
        <v>1681</v>
      </c>
      <c r="H2268" s="753">
        <v>52385</v>
      </c>
      <c r="I2268" s="754">
        <v>0</v>
      </c>
      <c r="J2268" s="754">
        <v>0</v>
      </c>
      <c r="K2268" s="754">
        <v>0</v>
      </c>
      <c r="L2268" s="754">
        <v>0</v>
      </c>
      <c r="M2268" s="754">
        <f t="shared" si="95"/>
        <v>0</v>
      </c>
      <c r="N2268" s="756">
        <v>0</v>
      </c>
      <c r="O2268" s="720">
        <f t="shared" si="96"/>
        <v>0</v>
      </c>
    </row>
    <row r="2269" spans="1:15" outlineLevel="2" x14ac:dyDescent="0.25">
      <c r="A2269" s="207" t="str">
        <f>VLOOKUP(RIGHT(E2269,3)+0,SchLocTable!$A$2:$B$47,2,FALSE)</f>
        <v>Dunbar</v>
      </c>
      <c r="B2269" s="207" t="str">
        <f>VLOOKUP(VALUE(D2269),$D$3:F$106,3,FALSE)</f>
        <v>SPED Aides</v>
      </c>
      <c r="C2269" s="755" t="s">
        <v>246</v>
      </c>
      <c r="D2269" s="751" t="s">
        <v>726</v>
      </c>
      <c r="E2269" s="751" t="s">
        <v>1615</v>
      </c>
      <c r="F2269" s="751" t="s">
        <v>331</v>
      </c>
      <c r="G2269" s="752" t="s">
        <v>1681</v>
      </c>
      <c r="H2269" s="753">
        <v>52504</v>
      </c>
      <c r="I2269" s="754">
        <v>22253.78</v>
      </c>
      <c r="J2269" s="754">
        <v>0</v>
      </c>
      <c r="K2269" s="754">
        <v>0</v>
      </c>
      <c r="L2269" s="754">
        <v>6254.06</v>
      </c>
      <c r="M2269" s="754">
        <f t="shared" si="95"/>
        <v>6254.06</v>
      </c>
      <c r="N2269" s="756">
        <v>22253.78</v>
      </c>
      <c r="O2269" s="720">
        <f t="shared" si="96"/>
        <v>0</v>
      </c>
    </row>
    <row r="2270" spans="1:15" outlineLevel="2" x14ac:dyDescent="0.25">
      <c r="A2270" s="207" t="str">
        <f>VLOOKUP(RIGHT(E2270,3)+0,SchLocTable!$A$2:$B$47,2,FALSE)</f>
        <v>Dunbar</v>
      </c>
      <c r="B2270" s="207" t="str">
        <f>VLOOKUP(VALUE(D2270),$D$3:F$106,3,FALSE)</f>
        <v>SPED Aides</v>
      </c>
      <c r="C2270" s="751" t="s">
        <v>246</v>
      </c>
      <c r="D2270" s="751" t="s">
        <v>726</v>
      </c>
      <c r="E2270" s="751" t="s">
        <v>1615</v>
      </c>
      <c r="F2270" s="751" t="s">
        <v>259</v>
      </c>
      <c r="G2270" s="752" t="s">
        <v>1681</v>
      </c>
      <c r="H2270" s="753">
        <v>52917</v>
      </c>
      <c r="I2270" s="754">
        <v>47647.31</v>
      </c>
      <c r="J2270" s="754">
        <v>0</v>
      </c>
      <c r="K2270" s="754">
        <v>0</v>
      </c>
      <c r="L2270" s="754">
        <v>13089.88</v>
      </c>
      <c r="M2270" s="754">
        <f t="shared" si="95"/>
        <v>13089.88</v>
      </c>
      <c r="N2270" s="756">
        <v>47647.31</v>
      </c>
      <c r="O2270" s="720">
        <f t="shared" si="96"/>
        <v>0</v>
      </c>
    </row>
    <row r="2271" spans="1:15" outlineLevel="2" x14ac:dyDescent="0.25">
      <c r="A2271" s="207" t="str">
        <f>VLOOKUP(RIGHT(E2271,3)+0,SchLocTable!$A$2:$B$47,2,FALSE)</f>
        <v>Dunbar</v>
      </c>
      <c r="B2271" s="207" t="str">
        <f>VLOOKUP(VALUE(D2271),$D$3:F$106,3,FALSE)</f>
        <v>SPED Aides</v>
      </c>
      <c r="C2271" s="751" t="s">
        <v>246</v>
      </c>
      <c r="D2271" s="751" t="s">
        <v>726</v>
      </c>
      <c r="E2271" s="751" t="s">
        <v>1615</v>
      </c>
      <c r="F2271" s="751" t="s">
        <v>333</v>
      </c>
      <c r="G2271" s="752" t="s">
        <v>1681</v>
      </c>
      <c r="H2271" s="753">
        <v>52920</v>
      </c>
      <c r="I2271" s="754">
        <v>2000</v>
      </c>
      <c r="J2271" s="754">
        <v>0</v>
      </c>
      <c r="K2271" s="754">
        <v>0</v>
      </c>
      <c r="L2271" s="754">
        <v>0</v>
      </c>
      <c r="M2271" s="754">
        <f t="shared" si="95"/>
        <v>0</v>
      </c>
      <c r="N2271" s="756">
        <v>2000</v>
      </c>
      <c r="O2271" s="720">
        <f t="shared" si="96"/>
        <v>0</v>
      </c>
    </row>
    <row r="2272" spans="1:15" outlineLevel="2" x14ac:dyDescent="0.25">
      <c r="A2272" s="207" t="str">
        <f>VLOOKUP(RIGHT(E2272,3)+0,SchLocTable!$A$2:$B$47,2,FALSE)</f>
        <v>Curiale</v>
      </c>
      <c r="B2272" s="207" t="str">
        <f>VLOOKUP(VALUE(D2272),$D$3:F$106,3,FALSE)</f>
        <v>SPED Aides</v>
      </c>
      <c r="C2272" s="755" t="s">
        <v>246</v>
      </c>
      <c r="D2272" s="751" t="s">
        <v>726</v>
      </c>
      <c r="E2272" s="751" t="s">
        <v>742</v>
      </c>
      <c r="F2272" s="751" t="s">
        <v>248</v>
      </c>
      <c r="G2272" s="752">
        <v>1</v>
      </c>
      <c r="H2272" s="753">
        <v>51000</v>
      </c>
      <c r="I2272" s="754">
        <v>43348.42</v>
      </c>
      <c r="J2272" s="754">
        <v>0</v>
      </c>
      <c r="K2272" s="754">
        <v>0</v>
      </c>
      <c r="L2272" s="754">
        <v>13056.07</v>
      </c>
      <c r="M2272" s="754">
        <f t="shared" si="95"/>
        <v>13056.07</v>
      </c>
      <c r="N2272" s="756">
        <v>43348.42</v>
      </c>
      <c r="O2272" s="720">
        <f t="shared" si="96"/>
        <v>0</v>
      </c>
    </row>
    <row r="2273" spans="1:15" outlineLevel="2" x14ac:dyDescent="0.25">
      <c r="A2273" s="207" t="str">
        <f>VLOOKUP(RIGHT(E2273,3)+0,SchLocTable!$A$2:$B$47,2,FALSE)</f>
        <v>Curiale</v>
      </c>
      <c r="B2273" s="207" t="str">
        <f>VLOOKUP(VALUE(D2273),$D$3:F$106,3,FALSE)</f>
        <v>SPED Aides</v>
      </c>
      <c r="C2273" s="751" t="s">
        <v>246</v>
      </c>
      <c r="D2273" s="751" t="s">
        <v>726</v>
      </c>
      <c r="E2273" s="751" t="s">
        <v>742</v>
      </c>
      <c r="F2273" s="751" t="s">
        <v>257</v>
      </c>
      <c r="G2273" s="752" t="s">
        <v>1681</v>
      </c>
      <c r="H2273" s="753">
        <v>51140</v>
      </c>
      <c r="I2273" s="754">
        <v>5180</v>
      </c>
      <c r="J2273" s="754">
        <v>0</v>
      </c>
      <c r="K2273" s="754">
        <v>0</v>
      </c>
      <c r="L2273" s="754">
        <v>0</v>
      </c>
      <c r="M2273" s="754">
        <f t="shared" si="95"/>
        <v>0</v>
      </c>
      <c r="N2273" s="756">
        <v>5180</v>
      </c>
      <c r="O2273" s="720">
        <f t="shared" si="96"/>
        <v>0</v>
      </c>
    </row>
    <row r="2274" spans="1:15" outlineLevel="2" x14ac:dyDescent="0.25">
      <c r="A2274" s="207" t="str">
        <f>VLOOKUP(RIGHT(E2274,3)+0,SchLocTable!$A$2:$B$47,2,FALSE)</f>
        <v>Curiale</v>
      </c>
      <c r="B2274" s="207" t="str">
        <f>VLOOKUP(VALUE(D2274),$D$3:F$106,3,FALSE)</f>
        <v>SPED Aides</v>
      </c>
      <c r="C2274" s="751" t="s">
        <v>246</v>
      </c>
      <c r="D2274" s="751" t="s">
        <v>726</v>
      </c>
      <c r="E2274" s="751" t="s">
        <v>742</v>
      </c>
      <c r="F2274" s="751" t="s">
        <v>254</v>
      </c>
      <c r="G2274" s="752" t="s">
        <v>1681</v>
      </c>
      <c r="H2274" s="753">
        <v>52360</v>
      </c>
      <c r="I2274" s="754">
        <v>628.54999999999995</v>
      </c>
      <c r="J2274" s="754">
        <v>0</v>
      </c>
      <c r="K2274" s="754">
        <v>0</v>
      </c>
      <c r="L2274" s="754">
        <v>189.31</v>
      </c>
      <c r="M2274" s="754">
        <f t="shared" si="95"/>
        <v>189.31</v>
      </c>
      <c r="N2274" s="756">
        <v>628.54999999999995</v>
      </c>
      <c r="O2274" s="720">
        <f t="shared" si="96"/>
        <v>0</v>
      </c>
    </row>
    <row r="2275" spans="1:15" outlineLevel="2" x14ac:dyDescent="0.25">
      <c r="A2275" s="207" t="str">
        <f>VLOOKUP(RIGHT(E2275,3)+0,SchLocTable!$A$2:$B$47,2,FALSE)</f>
        <v>Curiale</v>
      </c>
      <c r="B2275" s="207" t="str">
        <f>VLOOKUP(VALUE(D2275),$D$3:F$106,3,FALSE)</f>
        <v>SPED Aides</v>
      </c>
      <c r="C2275" s="751" t="s">
        <v>246</v>
      </c>
      <c r="D2275" s="751" t="s">
        <v>726</v>
      </c>
      <c r="E2275" s="751" t="s">
        <v>742</v>
      </c>
      <c r="F2275" s="751" t="s">
        <v>331</v>
      </c>
      <c r="G2275" s="752" t="s">
        <v>1681</v>
      </c>
      <c r="H2275" s="753">
        <v>52504</v>
      </c>
      <c r="I2275" s="754">
        <v>8925.4599999999991</v>
      </c>
      <c r="J2275" s="754">
        <v>0</v>
      </c>
      <c r="K2275" s="754">
        <v>0</v>
      </c>
      <c r="L2275" s="754">
        <v>2688.26</v>
      </c>
      <c r="M2275" s="754">
        <f t="shared" si="95"/>
        <v>2688.26</v>
      </c>
      <c r="N2275" s="756">
        <v>8925.4599999999991</v>
      </c>
      <c r="O2275" s="720">
        <f t="shared" si="96"/>
        <v>0</v>
      </c>
    </row>
    <row r="2276" spans="1:15" outlineLevel="2" x14ac:dyDescent="0.25">
      <c r="A2276" s="207" t="str">
        <f>VLOOKUP(RIGHT(E2276,3)+0,SchLocTable!$A$2:$B$47,2,FALSE)</f>
        <v>Curiale</v>
      </c>
      <c r="B2276" s="207" t="str">
        <f>VLOOKUP(VALUE(D2276),$D$3:F$106,3,FALSE)</f>
        <v>SPED Aides</v>
      </c>
      <c r="C2276" s="751" t="s">
        <v>246</v>
      </c>
      <c r="D2276" s="751" t="s">
        <v>726</v>
      </c>
      <c r="E2276" s="751" t="s">
        <v>742</v>
      </c>
      <c r="F2276" s="751" t="s">
        <v>259</v>
      </c>
      <c r="G2276" s="752" t="s">
        <v>1681</v>
      </c>
      <c r="H2276" s="753">
        <v>52917</v>
      </c>
      <c r="I2276" s="754">
        <v>1349.37</v>
      </c>
      <c r="J2276" s="754">
        <v>0</v>
      </c>
      <c r="K2276" s="754">
        <v>0</v>
      </c>
      <c r="L2276" s="754">
        <v>413.6</v>
      </c>
      <c r="M2276" s="754">
        <f t="shared" si="95"/>
        <v>413.6</v>
      </c>
      <c r="N2276" s="756">
        <v>1349.37</v>
      </c>
      <c r="O2276" s="720">
        <f t="shared" si="96"/>
        <v>0</v>
      </c>
    </row>
    <row r="2277" spans="1:15" outlineLevel="2" x14ac:dyDescent="0.25">
      <c r="A2277" s="207" t="str">
        <f>VLOOKUP(RIGHT(E2277,3)+0,SchLocTable!$A$2:$B$47,2,FALSE)</f>
        <v>Curiale</v>
      </c>
      <c r="B2277" s="207" t="str">
        <f>VLOOKUP(VALUE(D2277),$D$3:F$106,3,FALSE)</f>
        <v>SPED Aides</v>
      </c>
      <c r="C2277" s="751" t="s">
        <v>246</v>
      </c>
      <c r="D2277" s="751" t="s">
        <v>726</v>
      </c>
      <c r="E2277" s="751" t="s">
        <v>742</v>
      </c>
      <c r="F2277" s="751" t="s">
        <v>333</v>
      </c>
      <c r="G2277" s="752" t="s">
        <v>1681</v>
      </c>
      <c r="H2277" s="753">
        <v>52920</v>
      </c>
      <c r="I2277" s="754">
        <v>500</v>
      </c>
      <c r="J2277" s="754">
        <v>0</v>
      </c>
      <c r="K2277" s="754">
        <v>0</v>
      </c>
      <c r="L2277" s="754">
        <v>0</v>
      </c>
      <c r="M2277" s="754">
        <f t="shared" si="95"/>
        <v>0</v>
      </c>
      <c r="N2277" s="756">
        <v>500</v>
      </c>
      <c r="O2277" s="720">
        <f t="shared" si="96"/>
        <v>0</v>
      </c>
    </row>
    <row r="2278" spans="1:15" outlineLevel="2" x14ac:dyDescent="0.25">
      <c r="A2278" s="207" t="str">
        <f>VLOOKUP(RIGHT(E2278,3)+0,SchLocTable!$A$2:$B$47,2,FALSE)</f>
        <v>Skane</v>
      </c>
      <c r="B2278" s="207" t="str">
        <f>VLOOKUP(VALUE(D2278),$D$3:F$106,3,FALSE)</f>
        <v>SPED Aides</v>
      </c>
      <c r="C2278" s="751" t="s">
        <v>246</v>
      </c>
      <c r="D2278" s="751" t="s">
        <v>726</v>
      </c>
      <c r="E2278" s="751" t="s">
        <v>743</v>
      </c>
      <c r="F2278" s="751" t="s">
        <v>248</v>
      </c>
      <c r="G2278" s="752">
        <v>6</v>
      </c>
      <c r="H2278" s="753">
        <v>51000</v>
      </c>
      <c r="I2278" s="754">
        <v>233707.18</v>
      </c>
      <c r="J2278" s="754">
        <v>0</v>
      </c>
      <c r="K2278" s="754">
        <v>0</v>
      </c>
      <c r="L2278" s="754">
        <v>73757.05</v>
      </c>
      <c r="M2278" s="754">
        <f t="shared" si="95"/>
        <v>73757.05</v>
      </c>
      <c r="N2278" s="756">
        <v>233707.18</v>
      </c>
      <c r="O2278" s="720">
        <f t="shared" si="96"/>
        <v>0</v>
      </c>
    </row>
    <row r="2279" spans="1:15" outlineLevel="2" x14ac:dyDescent="0.25">
      <c r="A2279" s="207" t="str">
        <f>VLOOKUP(RIGHT(E2279,3)+0,SchLocTable!$A$2:$B$47,2,FALSE)</f>
        <v>Skane</v>
      </c>
      <c r="B2279" s="207" t="str">
        <f>VLOOKUP(VALUE(D2279),$D$3:F$106,3,FALSE)</f>
        <v>SPED Aides</v>
      </c>
      <c r="C2279" s="751" t="s">
        <v>246</v>
      </c>
      <c r="D2279" s="751" t="s">
        <v>726</v>
      </c>
      <c r="E2279" s="751" t="s">
        <v>743</v>
      </c>
      <c r="F2279" s="751" t="s">
        <v>257</v>
      </c>
      <c r="G2279" s="752" t="s">
        <v>1681</v>
      </c>
      <c r="H2279" s="753">
        <v>51140</v>
      </c>
      <c r="I2279" s="754">
        <v>14280</v>
      </c>
      <c r="J2279" s="754">
        <v>0</v>
      </c>
      <c r="K2279" s="754">
        <v>0</v>
      </c>
      <c r="L2279" s="754">
        <v>0</v>
      </c>
      <c r="M2279" s="754">
        <f t="shared" si="95"/>
        <v>0</v>
      </c>
      <c r="N2279" s="756">
        <v>14280</v>
      </c>
      <c r="O2279" s="720">
        <f t="shared" si="96"/>
        <v>0</v>
      </c>
    </row>
    <row r="2280" spans="1:15" outlineLevel="2" x14ac:dyDescent="0.25">
      <c r="A2280" s="207" t="str">
        <f>VLOOKUP(RIGHT(E2280,3)+0,SchLocTable!$A$2:$B$47,2,FALSE)</f>
        <v>Skane</v>
      </c>
      <c r="B2280" s="207" t="str">
        <f>VLOOKUP(VALUE(D2280),$D$3:F$106,3,FALSE)</f>
        <v>SPED Aides</v>
      </c>
      <c r="C2280" s="751" t="s">
        <v>246</v>
      </c>
      <c r="D2280" s="751" t="s">
        <v>726</v>
      </c>
      <c r="E2280" s="751" t="s">
        <v>743</v>
      </c>
      <c r="F2280" s="751" t="s">
        <v>252</v>
      </c>
      <c r="G2280" s="752" t="s">
        <v>1681</v>
      </c>
      <c r="H2280" s="753">
        <v>51154</v>
      </c>
      <c r="I2280" s="754">
        <v>0</v>
      </c>
      <c r="J2280" s="754">
        <v>0</v>
      </c>
      <c r="K2280" s="754">
        <v>0</v>
      </c>
      <c r="L2280" s="754">
        <v>0</v>
      </c>
      <c r="M2280" s="754">
        <f t="shared" si="95"/>
        <v>0</v>
      </c>
      <c r="N2280" s="756">
        <v>0</v>
      </c>
      <c r="O2280" s="720">
        <f t="shared" si="96"/>
        <v>0</v>
      </c>
    </row>
    <row r="2281" spans="1:15" outlineLevel="2" x14ac:dyDescent="0.25">
      <c r="A2281" s="207" t="str">
        <f>VLOOKUP(RIGHT(E2281,3)+0,SchLocTable!$A$2:$B$47,2,FALSE)</f>
        <v>Skane</v>
      </c>
      <c r="B2281" s="207" t="str">
        <f>VLOOKUP(VALUE(D2281),$D$3:F$106,3,FALSE)</f>
        <v>SPED Aides</v>
      </c>
      <c r="C2281" s="751" t="s">
        <v>246</v>
      </c>
      <c r="D2281" s="751" t="s">
        <v>726</v>
      </c>
      <c r="E2281" s="751" t="s">
        <v>743</v>
      </c>
      <c r="F2281" s="751" t="s">
        <v>328</v>
      </c>
      <c r="G2281" s="752" t="s">
        <v>1681</v>
      </c>
      <c r="H2281" s="753">
        <v>51318</v>
      </c>
      <c r="I2281" s="754">
        <v>878.27</v>
      </c>
      <c r="J2281" s="754">
        <v>0</v>
      </c>
      <c r="K2281" s="754">
        <v>0</v>
      </c>
      <c r="L2281" s="754">
        <v>0</v>
      </c>
      <c r="M2281" s="754">
        <f t="shared" si="95"/>
        <v>0</v>
      </c>
      <c r="N2281" s="756">
        <v>878.27</v>
      </c>
      <c r="O2281" s="720">
        <f t="shared" si="96"/>
        <v>0</v>
      </c>
    </row>
    <row r="2282" spans="1:15" outlineLevel="2" x14ac:dyDescent="0.25">
      <c r="A2282" s="207" t="str">
        <f>VLOOKUP(RIGHT(E2282,3)+0,SchLocTable!$A$2:$B$47,2,FALSE)</f>
        <v>Skane</v>
      </c>
      <c r="B2282" s="207" t="str">
        <f>VLOOKUP(VALUE(D2282),$D$3:F$106,3,FALSE)</f>
        <v>SPED Aides</v>
      </c>
      <c r="C2282" s="751" t="s">
        <v>246</v>
      </c>
      <c r="D2282" s="751" t="s">
        <v>726</v>
      </c>
      <c r="E2282" s="751" t="s">
        <v>743</v>
      </c>
      <c r="F2282" s="751" t="s">
        <v>402</v>
      </c>
      <c r="G2282" s="752" t="s">
        <v>1681</v>
      </c>
      <c r="H2282" s="753">
        <v>51400</v>
      </c>
      <c r="I2282" s="754">
        <v>39.840000000000003</v>
      </c>
      <c r="J2282" s="754">
        <v>0</v>
      </c>
      <c r="K2282" s="754">
        <v>0</v>
      </c>
      <c r="L2282" s="754">
        <v>0</v>
      </c>
      <c r="M2282" s="754">
        <f t="shared" si="95"/>
        <v>0</v>
      </c>
      <c r="N2282" s="756">
        <v>39.840000000000003</v>
      </c>
      <c r="O2282" s="720">
        <f t="shared" si="96"/>
        <v>0</v>
      </c>
    </row>
    <row r="2283" spans="1:15" outlineLevel="2" x14ac:dyDescent="0.25">
      <c r="A2283" s="207" t="str">
        <f>VLOOKUP(RIGHT(E2283,3)+0,SchLocTable!$A$2:$B$47,2,FALSE)</f>
        <v>Skane</v>
      </c>
      <c r="B2283" s="207" t="str">
        <f>VLOOKUP(VALUE(D2283),$D$3:F$106,3,FALSE)</f>
        <v>SPED Aides</v>
      </c>
      <c r="C2283" s="751" t="s">
        <v>246</v>
      </c>
      <c r="D2283" s="751" t="s">
        <v>726</v>
      </c>
      <c r="E2283" s="751" t="s">
        <v>743</v>
      </c>
      <c r="F2283" s="751" t="s">
        <v>254</v>
      </c>
      <c r="G2283" s="752" t="s">
        <v>1681</v>
      </c>
      <c r="H2283" s="753">
        <v>52360</v>
      </c>
      <c r="I2283" s="754">
        <v>3252.41</v>
      </c>
      <c r="J2283" s="754">
        <v>0</v>
      </c>
      <c r="K2283" s="754">
        <v>0</v>
      </c>
      <c r="L2283" s="754">
        <v>933.13</v>
      </c>
      <c r="M2283" s="754">
        <f t="shared" si="95"/>
        <v>933.13</v>
      </c>
      <c r="N2283" s="756">
        <v>3252.41</v>
      </c>
      <c r="O2283" s="720">
        <f t="shared" si="96"/>
        <v>0</v>
      </c>
    </row>
    <row r="2284" spans="1:15" outlineLevel="2" x14ac:dyDescent="0.25">
      <c r="A2284" s="207" t="str">
        <f>VLOOKUP(RIGHT(E2284,3)+0,SchLocTable!$A$2:$B$47,2,FALSE)</f>
        <v>Skane</v>
      </c>
      <c r="B2284" s="207" t="str">
        <f>VLOOKUP(VALUE(D2284),$D$3:F$106,3,FALSE)</f>
        <v>SPED Aides</v>
      </c>
      <c r="C2284" s="751" t="s">
        <v>246</v>
      </c>
      <c r="D2284" s="751" t="s">
        <v>726</v>
      </c>
      <c r="E2284" s="751" t="s">
        <v>743</v>
      </c>
      <c r="F2284" s="751" t="s">
        <v>292</v>
      </c>
      <c r="G2284" s="752" t="s">
        <v>1681</v>
      </c>
      <c r="H2284" s="753">
        <v>52385</v>
      </c>
      <c r="I2284" s="754">
        <v>0</v>
      </c>
      <c r="J2284" s="754">
        <v>0</v>
      </c>
      <c r="K2284" s="754">
        <v>0</v>
      </c>
      <c r="L2284" s="754">
        <v>0</v>
      </c>
      <c r="M2284" s="754">
        <f t="shared" si="95"/>
        <v>0</v>
      </c>
      <c r="N2284" s="756">
        <v>0</v>
      </c>
      <c r="O2284" s="720">
        <f t="shared" si="96"/>
        <v>0</v>
      </c>
    </row>
    <row r="2285" spans="1:15" outlineLevel="2" x14ac:dyDescent="0.25">
      <c r="A2285" s="207" t="str">
        <f>VLOOKUP(RIGHT(E2285,3)+0,SchLocTable!$A$2:$B$47,2,FALSE)</f>
        <v>Skane</v>
      </c>
      <c r="B2285" s="207" t="str">
        <f>VLOOKUP(VALUE(D2285),$D$3:F$106,3,FALSE)</f>
        <v>SPED Aides</v>
      </c>
      <c r="C2285" s="751" t="s">
        <v>246</v>
      </c>
      <c r="D2285" s="751" t="s">
        <v>726</v>
      </c>
      <c r="E2285" s="751" t="s">
        <v>743</v>
      </c>
      <c r="F2285" s="751" t="s">
        <v>806</v>
      </c>
      <c r="G2285" s="752" t="s">
        <v>1681</v>
      </c>
      <c r="H2285" s="753">
        <v>52397</v>
      </c>
      <c r="I2285" s="754">
        <v>0</v>
      </c>
      <c r="J2285" s="754">
        <v>0</v>
      </c>
      <c r="K2285" s="754">
        <v>0</v>
      </c>
      <c r="L2285" s="754">
        <v>0</v>
      </c>
      <c r="M2285" s="754">
        <f t="shared" si="95"/>
        <v>0</v>
      </c>
      <c r="N2285" s="756">
        <v>0</v>
      </c>
      <c r="O2285" s="720">
        <f t="shared" si="96"/>
        <v>0</v>
      </c>
    </row>
    <row r="2286" spans="1:15" outlineLevel="2" x14ac:dyDescent="0.25">
      <c r="A2286" s="207" t="str">
        <f>VLOOKUP(RIGHT(E2286,3)+0,SchLocTable!$A$2:$B$47,2,FALSE)</f>
        <v>Skane</v>
      </c>
      <c r="B2286" s="207" t="str">
        <f>VLOOKUP(VALUE(D2286),$D$3:F$106,3,FALSE)</f>
        <v>SPED Aides</v>
      </c>
      <c r="C2286" s="751" t="s">
        <v>246</v>
      </c>
      <c r="D2286" s="751" t="s">
        <v>726</v>
      </c>
      <c r="E2286" s="751" t="s">
        <v>743</v>
      </c>
      <c r="F2286" s="751" t="s">
        <v>331</v>
      </c>
      <c r="G2286" s="752" t="s">
        <v>1681</v>
      </c>
      <c r="H2286" s="753">
        <v>52504</v>
      </c>
      <c r="I2286" s="754">
        <v>48120.27</v>
      </c>
      <c r="J2286" s="754">
        <v>0</v>
      </c>
      <c r="K2286" s="754">
        <v>0</v>
      </c>
      <c r="L2286" s="754">
        <v>15186.54</v>
      </c>
      <c r="M2286" s="754">
        <f t="shared" si="95"/>
        <v>15186.54</v>
      </c>
      <c r="N2286" s="756">
        <v>48120.27</v>
      </c>
      <c r="O2286" s="720">
        <f t="shared" si="96"/>
        <v>0</v>
      </c>
    </row>
    <row r="2287" spans="1:15" outlineLevel="2" x14ac:dyDescent="0.25">
      <c r="A2287" s="207" t="str">
        <f>VLOOKUP(RIGHT(E2287,3)+0,SchLocTable!$A$2:$B$47,2,FALSE)</f>
        <v>Skane</v>
      </c>
      <c r="B2287" s="207" t="str">
        <f>VLOOKUP(VALUE(D2287),$D$3:F$106,3,FALSE)</f>
        <v>SPED Aides</v>
      </c>
      <c r="C2287" s="751" t="s">
        <v>246</v>
      </c>
      <c r="D2287" s="751" t="s">
        <v>726</v>
      </c>
      <c r="E2287" s="751" t="s">
        <v>743</v>
      </c>
      <c r="F2287" s="751" t="s">
        <v>259</v>
      </c>
      <c r="G2287" s="752" t="s">
        <v>1681</v>
      </c>
      <c r="H2287" s="753">
        <v>52917</v>
      </c>
      <c r="I2287" s="754">
        <v>63706.96</v>
      </c>
      <c r="J2287" s="754">
        <v>0</v>
      </c>
      <c r="K2287" s="754">
        <v>0</v>
      </c>
      <c r="L2287" s="754">
        <v>20338.64</v>
      </c>
      <c r="M2287" s="754">
        <f t="shared" si="95"/>
        <v>20338.64</v>
      </c>
      <c r="N2287" s="756">
        <v>63706.96</v>
      </c>
      <c r="O2287" s="720">
        <f t="shared" si="96"/>
        <v>0</v>
      </c>
    </row>
    <row r="2288" spans="1:15" outlineLevel="2" x14ac:dyDescent="0.25">
      <c r="A2288" s="207" t="str">
        <f>VLOOKUP(RIGHT(E2288,3)+0,SchLocTable!$A$2:$B$47,2,FALSE)</f>
        <v>Skane</v>
      </c>
      <c r="B2288" s="207" t="str">
        <f>VLOOKUP(VALUE(D2288),$D$3:F$106,3,FALSE)</f>
        <v>SPED Aides</v>
      </c>
      <c r="C2288" s="751" t="s">
        <v>246</v>
      </c>
      <c r="D2288" s="751" t="s">
        <v>726</v>
      </c>
      <c r="E2288" s="751" t="s">
        <v>743</v>
      </c>
      <c r="F2288" s="751" t="s">
        <v>333</v>
      </c>
      <c r="G2288" s="752" t="s">
        <v>1681</v>
      </c>
      <c r="H2288" s="753">
        <v>52920</v>
      </c>
      <c r="I2288" s="754">
        <v>916.68</v>
      </c>
      <c r="J2288" s="754">
        <v>0</v>
      </c>
      <c r="K2288" s="754">
        <v>0</v>
      </c>
      <c r="L2288" s="754">
        <v>0</v>
      </c>
      <c r="M2288" s="754">
        <f t="shared" si="95"/>
        <v>0</v>
      </c>
      <c r="N2288" s="756">
        <v>916.68</v>
      </c>
      <c r="O2288" s="720">
        <f t="shared" si="96"/>
        <v>0</v>
      </c>
    </row>
    <row r="2289" spans="1:15" outlineLevel="2" x14ac:dyDescent="0.25">
      <c r="A2289" s="207" t="str">
        <f>VLOOKUP(RIGHT(E2289,3)+0,SchLocTable!$A$2:$B$47,2,FALSE)</f>
        <v>High Horizons Magnet</v>
      </c>
      <c r="B2289" s="207" t="str">
        <f>VLOOKUP(VALUE(D2289),$D$3:F$106,3,FALSE)</f>
        <v>SPED Aides</v>
      </c>
      <c r="C2289" s="751" t="s">
        <v>246</v>
      </c>
      <c r="D2289" s="751" t="s">
        <v>726</v>
      </c>
      <c r="E2289" s="751" t="s">
        <v>744</v>
      </c>
      <c r="F2289" s="751" t="s">
        <v>248</v>
      </c>
      <c r="G2289" s="752">
        <v>1</v>
      </c>
      <c r="H2289" s="753">
        <v>51000</v>
      </c>
      <c r="I2289" s="754">
        <v>48299.85</v>
      </c>
      <c r="J2289" s="754">
        <v>0</v>
      </c>
      <c r="K2289" s="754">
        <v>0</v>
      </c>
      <c r="L2289" s="754">
        <v>15206.83</v>
      </c>
      <c r="M2289" s="754">
        <f t="shared" si="95"/>
        <v>15206.83</v>
      </c>
      <c r="N2289" s="756">
        <v>48299.85</v>
      </c>
      <c r="O2289" s="720">
        <f t="shared" si="96"/>
        <v>0</v>
      </c>
    </row>
    <row r="2290" spans="1:15" outlineLevel="2" x14ac:dyDescent="0.25">
      <c r="A2290" s="207" t="str">
        <f>VLOOKUP(RIGHT(E2290,3)+0,SchLocTable!$A$2:$B$47,2,FALSE)</f>
        <v>High Horizons Magnet</v>
      </c>
      <c r="B2290" s="207" t="str">
        <f>VLOOKUP(VALUE(D2290),$D$3:F$106,3,FALSE)</f>
        <v>SPED Aides</v>
      </c>
      <c r="C2290" s="751" t="s">
        <v>246</v>
      </c>
      <c r="D2290" s="751" t="s">
        <v>726</v>
      </c>
      <c r="E2290" s="751" t="s">
        <v>744</v>
      </c>
      <c r="F2290" s="751" t="s">
        <v>257</v>
      </c>
      <c r="G2290" s="752" t="s">
        <v>1681</v>
      </c>
      <c r="H2290" s="753">
        <v>51140</v>
      </c>
      <c r="I2290" s="754">
        <v>0</v>
      </c>
      <c r="J2290" s="754">
        <v>0</v>
      </c>
      <c r="K2290" s="754">
        <v>0</v>
      </c>
      <c r="L2290" s="754">
        <v>0</v>
      </c>
      <c r="M2290" s="754">
        <f t="shared" si="95"/>
        <v>0</v>
      </c>
      <c r="N2290" s="756">
        <v>0</v>
      </c>
      <c r="O2290" s="720">
        <f t="shared" si="96"/>
        <v>0</v>
      </c>
    </row>
    <row r="2291" spans="1:15" outlineLevel="2" x14ac:dyDescent="0.25">
      <c r="A2291" s="207" t="str">
        <f>VLOOKUP(RIGHT(E2291,3)+0,SchLocTable!$A$2:$B$47,2,FALSE)</f>
        <v>High Horizons Magnet</v>
      </c>
      <c r="B2291" s="207" t="str">
        <f>VLOOKUP(VALUE(D2291),$D$3:F$106,3,FALSE)</f>
        <v>SPED Aides</v>
      </c>
      <c r="C2291" s="755" t="s">
        <v>246</v>
      </c>
      <c r="D2291" s="751" t="s">
        <v>726</v>
      </c>
      <c r="E2291" s="751" t="s">
        <v>744</v>
      </c>
      <c r="F2291" s="751" t="s">
        <v>254</v>
      </c>
      <c r="G2291" s="752" t="s">
        <v>1681</v>
      </c>
      <c r="H2291" s="753">
        <v>52360</v>
      </c>
      <c r="I2291" s="754">
        <v>677.63</v>
      </c>
      <c r="J2291" s="754">
        <v>0</v>
      </c>
      <c r="K2291" s="754">
        <v>0</v>
      </c>
      <c r="L2291" s="754">
        <v>197.78</v>
      </c>
      <c r="M2291" s="754">
        <f t="shared" si="95"/>
        <v>197.78</v>
      </c>
      <c r="N2291" s="756">
        <v>677.63</v>
      </c>
      <c r="O2291" s="720">
        <f t="shared" si="96"/>
        <v>0</v>
      </c>
    </row>
    <row r="2292" spans="1:15" outlineLevel="2" x14ac:dyDescent="0.25">
      <c r="A2292" s="207" t="str">
        <f>VLOOKUP(RIGHT(E2292,3)+0,SchLocTable!$A$2:$B$47,2,FALSE)</f>
        <v>High Horizons Magnet</v>
      </c>
      <c r="B2292" s="207" t="str">
        <f>VLOOKUP(VALUE(D2292),$D$3:F$106,3,FALSE)</f>
        <v>SPED Aides</v>
      </c>
      <c r="C2292" s="751" t="s">
        <v>246</v>
      </c>
      <c r="D2292" s="751" t="s">
        <v>726</v>
      </c>
      <c r="E2292" s="751" t="s">
        <v>744</v>
      </c>
      <c r="F2292" s="751" t="s">
        <v>331</v>
      </c>
      <c r="G2292" s="752" t="s">
        <v>1681</v>
      </c>
      <c r="H2292" s="753">
        <v>52504</v>
      </c>
      <c r="I2292" s="754">
        <v>9944.92</v>
      </c>
      <c r="J2292" s="754">
        <v>0</v>
      </c>
      <c r="K2292" s="754">
        <v>0</v>
      </c>
      <c r="L2292" s="754">
        <v>3131.07</v>
      </c>
      <c r="M2292" s="754">
        <f t="shared" si="95"/>
        <v>3131.07</v>
      </c>
      <c r="N2292" s="756">
        <v>9944.92</v>
      </c>
      <c r="O2292" s="720">
        <f t="shared" si="96"/>
        <v>0</v>
      </c>
    </row>
    <row r="2293" spans="1:15" outlineLevel="2" x14ac:dyDescent="0.25">
      <c r="A2293" s="207" t="str">
        <f>VLOOKUP(RIGHT(E2293,3)+0,SchLocTable!$A$2:$B$47,2,FALSE)</f>
        <v>High Horizons Magnet</v>
      </c>
      <c r="B2293" s="207" t="str">
        <f>VLOOKUP(VALUE(D2293),$D$3:F$106,3,FALSE)</f>
        <v>SPED Aides</v>
      </c>
      <c r="C2293" s="751" t="s">
        <v>246</v>
      </c>
      <c r="D2293" s="751" t="s">
        <v>726</v>
      </c>
      <c r="E2293" s="751" t="s">
        <v>744</v>
      </c>
      <c r="F2293" s="751" t="s">
        <v>259</v>
      </c>
      <c r="G2293" s="752" t="s">
        <v>1681</v>
      </c>
      <c r="H2293" s="753">
        <v>52917</v>
      </c>
      <c r="I2293" s="754">
        <v>8821.83</v>
      </c>
      <c r="J2293" s="754">
        <v>0</v>
      </c>
      <c r="K2293" s="754">
        <v>0</v>
      </c>
      <c r="L2293" s="754">
        <v>2805.03</v>
      </c>
      <c r="M2293" s="754">
        <f t="shared" si="95"/>
        <v>2805.03</v>
      </c>
      <c r="N2293" s="756">
        <v>8821.83</v>
      </c>
      <c r="O2293" s="720">
        <f t="shared" si="96"/>
        <v>0</v>
      </c>
    </row>
    <row r="2294" spans="1:15" outlineLevel="2" x14ac:dyDescent="0.25">
      <c r="A2294" s="207" t="str">
        <f>VLOOKUP(RIGHT(E2294,3)+0,SchLocTable!$A$2:$B$47,2,FALSE)</f>
        <v>Multicultural Magnet</v>
      </c>
      <c r="B2294" s="207" t="str">
        <f>VLOOKUP(VALUE(D2294),$D$3:F$106,3,FALSE)</f>
        <v>SPED Aides</v>
      </c>
      <c r="C2294" s="751" t="s">
        <v>246</v>
      </c>
      <c r="D2294" s="751" t="s">
        <v>726</v>
      </c>
      <c r="E2294" s="751" t="s">
        <v>745</v>
      </c>
      <c r="F2294" s="751" t="s">
        <v>248</v>
      </c>
      <c r="G2294" s="752">
        <v>1</v>
      </c>
      <c r="H2294" s="753">
        <v>51000</v>
      </c>
      <c r="I2294" s="754">
        <v>45908.3</v>
      </c>
      <c r="J2294" s="754">
        <v>0</v>
      </c>
      <c r="K2294" s="754">
        <v>0</v>
      </c>
      <c r="L2294" s="754">
        <v>13969.04</v>
      </c>
      <c r="M2294" s="754">
        <f t="shared" si="95"/>
        <v>13969.04</v>
      </c>
      <c r="N2294" s="756">
        <v>45908.3</v>
      </c>
      <c r="O2294" s="720">
        <f t="shared" si="96"/>
        <v>0</v>
      </c>
    </row>
    <row r="2295" spans="1:15" outlineLevel="2" x14ac:dyDescent="0.25">
      <c r="A2295" s="207" t="str">
        <f>VLOOKUP(RIGHT(E2295,3)+0,SchLocTable!$A$2:$B$47,2,FALSE)</f>
        <v>Multicultural Magnet</v>
      </c>
      <c r="B2295" s="207" t="str">
        <f>VLOOKUP(VALUE(D2295),$D$3:F$106,3,FALSE)</f>
        <v>SPED Aides</v>
      </c>
      <c r="C2295" s="751" t="s">
        <v>246</v>
      </c>
      <c r="D2295" s="751" t="s">
        <v>726</v>
      </c>
      <c r="E2295" s="751" t="s">
        <v>745</v>
      </c>
      <c r="F2295" s="751" t="s">
        <v>257</v>
      </c>
      <c r="G2295" s="752" t="s">
        <v>1681</v>
      </c>
      <c r="H2295" s="753">
        <v>51140</v>
      </c>
      <c r="I2295" s="754">
        <v>3130</v>
      </c>
      <c r="J2295" s="754">
        <v>0</v>
      </c>
      <c r="K2295" s="754">
        <v>0</v>
      </c>
      <c r="L2295" s="754">
        <v>0</v>
      </c>
      <c r="M2295" s="754">
        <f t="shared" si="95"/>
        <v>0</v>
      </c>
      <c r="N2295" s="756">
        <v>3130</v>
      </c>
      <c r="O2295" s="720">
        <f t="shared" si="96"/>
        <v>0</v>
      </c>
    </row>
    <row r="2296" spans="1:15" ht="14.65" customHeight="1" outlineLevel="2" x14ac:dyDescent="0.25">
      <c r="A2296" s="207" t="str">
        <f>VLOOKUP(RIGHT(E2296,3)+0,SchLocTable!$A$2:$B$47,2,FALSE)</f>
        <v>Multicultural Magnet</v>
      </c>
      <c r="B2296" s="207" t="str">
        <f>VLOOKUP(VALUE(D2296),$D$3:F$106,3,FALSE)</f>
        <v>SPED Aides</v>
      </c>
      <c r="C2296" s="755" t="s">
        <v>246</v>
      </c>
      <c r="D2296" s="751" t="s">
        <v>726</v>
      </c>
      <c r="E2296" s="751" t="s">
        <v>745</v>
      </c>
      <c r="F2296" s="751" t="s">
        <v>254</v>
      </c>
      <c r="G2296" s="752" t="s">
        <v>1681</v>
      </c>
      <c r="H2296" s="753">
        <v>52360</v>
      </c>
      <c r="I2296" s="754">
        <v>463.12</v>
      </c>
      <c r="J2296" s="754">
        <v>0</v>
      </c>
      <c r="K2296" s="754">
        <v>0</v>
      </c>
      <c r="L2296" s="754">
        <v>0</v>
      </c>
      <c r="M2296" s="754">
        <f t="shared" si="95"/>
        <v>0</v>
      </c>
      <c r="N2296" s="756">
        <v>463.12</v>
      </c>
      <c r="O2296" s="720">
        <f t="shared" si="96"/>
        <v>0</v>
      </c>
    </row>
    <row r="2297" spans="1:15" ht="15" customHeight="1" outlineLevel="2" x14ac:dyDescent="0.25">
      <c r="A2297" s="207" t="str">
        <f>VLOOKUP(RIGHT(E2297,3)+0,SchLocTable!$A$2:$B$47,2,FALSE)</f>
        <v>Multicultural Magnet</v>
      </c>
      <c r="B2297" s="207" t="str">
        <f>VLOOKUP(VALUE(D2297),$D$3:F$106,3,FALSE)</f>
        <v>SPED Aides</v>
      </c>
      <c r="C2297" s="751" t="s">
        <v>246</v>
      </c>
      <c r="D2297" s="751" t="s">
        <v>726</v>
      </c>
      <c r="E2297" s="751" t="s">
        <v>745</v>
      </c>
      <c r="F2297" s="751" t="s">
        <v>331</v>
      </c>
      <c r="G2297" s="752" t="s">
        <v>1681</v>
      </c>
      <c r="H2297" s="753">
        <v>52504</v>
      </c>
      <c r="I2297" s="754">
        <v>9452.5300000000007</v>
      </c>
      <c r="J2297" s="754">
        <v>0</v>
      </c>
      <c r="K2297" s="754">
        <v>0</v>
      </c>
      <c r="L2297" s="754">
        <v>2876.24</v>
      </c>
      <c r="M2297" s="754">
        <f t="shared" si="95"/>
        <v>2876.24</v>
      </c>
      <c r="N2297" s="756">
        <v>9452.5300000000007</v>
      </c>
      <c r="O2297" s="720">
        <f t="shared" si="96"/>
        <v>0</v>
      </c>
    </row>
    <row r="2298" spans="1:15" outlineLevel="2" x14ac:dyDescent="0.25">
      <c r="A2298" s="207" t="str">
        <f>VLOOKUP(RIGHT(E2298,3)+0,SchLocTable!$A$2:$B$47,2,FALSE)</f>
        <v>Multicultural Magnet</v>
      </c>
      <c r="B2298" s="207" t="str">
        <f>VLOOKUP(VALUE(D2298),$D$3:F$106,3,FALSE)</f>
        <v>SPED Aides</v>
      </c>
      <c r="C2298" s="751" t="s">
        <v>246</v>
      </c>
      <c r="D2298" s="751" t="s">
        <v>726</v>
      </c>
      <c r="E2298" s="751" t="s">
        <v>745</v>
      </c>
      <c r="F2298" s="751" t="s">
        <v>259</v>
      </c>
      <c r="G2298" s="752" t="s">
        <v>1681</v>
      </c>
      <c r="H2298" s="753">
        <v>52917</v>
      </c>
      <c r="I2298" s="754">
        <v>11356.99</v>
      </c>
      <c r="J2298" s="754">
        <v>0</v>
      </c>
      <c r="K2298" s="754">
        <v>0</v>
      </c>
      <c r="L2298" s="754">
        <v>3313.17</v>
      </c>
      <c r="M2298" s="754">
        <f t="shared" si="95"/>
        <v>3313.17</v>
      </c>
      <c r="N2298" s="756">
        <v>11356.99</v>
      </c>
      <c r="O2298" s="720">
        <f t="shared" si="96"/>
        <v>0</v>
      </c>
    </row>
    <row r="2299" spans="1:15" outlineLevel="2" x14ac:dyDescent="0.25">
      <c r="A2299" s="207" t="str">
        <f>VLOOKUP(RIGHT(E2299,3)+0,SchLocTable!$A$2:$B$47,2,FALSE)</f>
        <v>Bassick HS</v>
      </c>
      <c r="B2299" s="207" t="str">
        <f>VLOOKUP(VALUE(D2299),$D$3:F$106,3,FALSE)</f>
        <v>SPED Aides</v>
      </c>
      <c r="C2299" s="751" t="s">
        <v>246</v>
      </c>
      <c r="D2299" s="751" t="s">
        <v>726</v>
      </c>
      <c r="E2299" s="751" t="s">
        <v>746</v>
      </c>
      <c r="F2299" s="751" t="s">
        <v>248</v>
      </c>
      <c r="G2299" s="752">
        <v>5</v>
      </c>
      <c r="H2299" s="753">
        <v>51000</v>
      </c>
      <c r="I2299" s="754">
        <v>213328.76</v>
      </c>
      <c r="J2299" s="754">
        <v>0</v>
      </c>
      <c r="K2299" s="754">
        <v>0</v>
      </c>
      <c r="L2299" s="754">
        <v>65412.08</v>
      </c>
      <c r="M2299" s="754">
        <f t="shared" si="95"/>
        <v>65412.08</v>
      </c>
      <c r="N2299" s="756">
        <v>213328.76</v>
      </c>
      <c r="O2299" s="720">
        <f t="shared" si="96"/>
        <v>0</v>
      </c>
    </row>
    <row r="2300" spans="1:15" outlineLevel="2" x14ac:dyDescent="0.25">
      <c r="A2300" s="207" t="str">
        <f>VLOOKUP(RIGHT(E2300,3)+0,SchLocTable!$A$2:$B$47,2,FALSE)</f>
        <v>Bassick HS</v>
      </c>
      <c r="B2300" s="207" t="str">
        <f>VLOOKUP(VALUE(D2300),$D$3:F$106,3,FALSE)</f>
        <v>SPED Aides</v>
      </c>
      <c r="C2300" s="755" t="s">
        <v>246</v>
      </c>
      <c r="D2300" s="751" t="s">
        <v>726</v>
      </c>
      <c r="E2300" s="751" t="s">
        <v>746</v>
      </c>
      <c r="F2300" s="751" t="s">
        <v>257</v>
      </c>
      <c r="G2300" s="752" t="s">
        <v>1681</v>
      </c>
      <c r="H2300" s="753">
        <v>51140</v>
      </c>
      <c r="I2300" s="754">
        <v>8835</v>
      </c>
      <c r="J2300" s="754">
        <v>0</v>
      </c>
      <c r="K2300" s="754">
        <v>0</v>
      </c>
      <c r="L2300" s="754">
        <v>0</v>
      </c>
      <c r="M2300" s="754">
        <f t="shared" si="95"/>
        <v>0</v>
      </c>
      <c r="N2300" s="756">
        <v>8835</v>
      </c>
      <c r="O2300" s="720">
        <f t="shared" si="96"/>
        <v>0</v>
      </c>
    </row>
    <row r="2301" spans="1:15" outlineLevel="2" x14ac:dyDescent="0.25">
      <c r="A2301" s="207" t="str">
        <f>VLOOKUP(RIGHT(E2301,3)+0,SchLocTable!$A$2:$B$47,2,FALSE)</f>
        <v>Bassick HS</v>
      </c>
      <c r="B2301" s="207" t="str">
        <f>VLOOKUP(VALUE(D2301),$D$3:F$106,3,FALSE)</f>
        <v>SPED Aides</v>
      </c>
      <c r="C2301" s="751" t="s">
        <v>246</v>
      </c>
      <c r="D2301" s="751" t="s">
        <v>726</v>
      </c>
      <c r="E2301" s="751" t="s">
        <v>746</v>
      </c>
      <c r="F2301" s="751" t="s">
        <v>254</v>
      </c>
      <c r="G2301" s="752" t="s">
        <v>1681</v>
      </c>
      <c r="H2301" s="753">
        <v>52360</v>
      </c>
      <c r="I2301" s="754">
        <v>2994.39</v>
      </c>
      <c r="J2301" s="754">
        <v>0</v>
      </c>
      <c r="K2301" s="754">
        <v>0</v>
      </c>
      <c r="L2301" s="754">
        <v>849.6</v>
      </c>
      <c r="M2301" s="754">
        <f t="shared" si="95"/>
        <v>849.6</v>
      </c>
      <c r="N2301" s="756">
        <v>2994.39</v>
      </c>
      <c r="O2301" s="720">
        <f t="shared" si="96"/>
        <v>0</v>
      </c>
    </row>
    <row r="2302" spans="1:15" outlineLevel="2" x14ac:dyDescent="0.25">
      <c r="A2302" s="207" t="str">
        <f>VLOOKUP(RIGHT(E2302,3)+0,SchLocTable!$A$2:$B$47,2,FALSE)</f>
        <v>Bassick HS</v>
      </c>
      <c r="B2302" s="207" t="str">
        <f>VLOOKUP(VALUE(D2302),$D$3:F$106,3,FALSE)</f>
        <v>SPED Aides</v>
      </c>
      <c r="C2302" s="751" t="s">
        <v>246</v>
      </c>
      <c r="D2302" s="751" t="s">
        <v>726</v>
      </c>
      <c r="E2302" s="751" t="s">
        <v>746</v>
      </c>
      <c r="F2302" s="751" t="s">
        <v>292</v>
      </c>
      <c r="G2302" s="752" t="s">
        <v>1681</v>
      </c>
      <c r="H2302" s="753">
        <v>52385</v>
      </c>
      <c r="I2302" s="754">
        <v>0</v>
      </c>
      <c r="J2302" s="754">
        <v>0</v>
      </c>
      <c r="K2302" s="754">
        <v>0</v>
      </c>
      <c r="L2302" s="754">
        <v>0</v>
      </c>
      <c r="M2302" s="754">
        <f t="shared" si="95"/>
        <v>0</v>
      </c>
      <c r="N2302" s="756">
        <v>0</v>
      </c>
      <c r="O2302" s="720">
        <f t="shared" si="96"/>
        <v>0</v>
      </c>
    </row>
    <row r="2303" spans="1:15" outlineLevel="2" x14ac:dyDescent="0.25">
      <c r="A2303" s="207" t="str">
        <f>VLOOKUP(RIGHT(E2303,3)+0,SchLocTable!$A$2:$B$47,2,FALSE)</f>
        <v>Bassick HS</v>
      </c>
      <c r="B2303" s="207" t="str">
        <f>VLOOKUP(VALUE(D2303),$D$3:F$106,3,FALSE)</f>
        <v>SPED Aides</v>
      </c>
      <c r="C2303" s="751" t="s">
        <v>246</v>
      </c>
      <c r="D2303" s="751" t="s">
        <v>726</v>
      </c>
      <c r="E2303" s="751" t="s">
        <v>746</v>
      </c>
      <c r="F2303" s="751" t="s">
        <v>331</v>
      </c>
      <c r="G2303" s="752" t="s">
        <v>1681</v>
      </c>
      <c r="H2303" s="753">
        <v>52504</v>
      </c>
      <c r="I2303" s="754">
        <v>43893.5</v>
      </c>
      <c r="J2303" s="754">
        <v>0</v>
      </c>
      <c r="K2303" s="754">
        <v>0</v>
      </c>
      <c r="L2303" s="754">
        <v>13437.46</v>
      </c>
      <c r="M2303" s="754">
        <f t="shared" ref="M2303:M2366" si="97">SUM(J2303:L2303)</f>
        <v>13437.46</v>
      </c>
      <c r="N2303" s="756">
        <v>43893.5</v>
      </c>
      <c r="O2303" s="720">
        <f t="shared" ref="O2303:O2366" si="98">I2303-N2303</f>
        <v>0</v>
      </c>
    </row>
    <row r="2304" spans="1:15" outlineLevel="2" x14ac:dyDescent="0.25">
      <c r="A2304" s="207" t="str">
        <f>VLOOKUP(RIGHT(E2304,3)+0,SchLocTable!$A$2:$B$47,2,FALSE)</f>
        <v>Bassick HS</v>
      </c>
      <c r="B2304" s="207" t="str">
        <f>VLOOKUP(VALUE(D2304),$D$3:F$106,3,FALSE)</f>
        <v>SPED Aides</v>
      </c>
      <c r="C2304" s="755" t="s">
        <v>246</v>
      </c>
      <c r="D2304" s="751" t="s">
        <v>726</v>
      </c>
      <c r="E2304" s="751" t="s">
        <v>746</v>
      </c>
      <c r="F2304" s="751" t="s">
        <v>259</v>
      </c>
      <c r="G2304" s="752" t="s">
        <v>1681</v>
      </c>
      <c r="H2304" s="753">
        <v>52917</v>
      </c>
      <c r="I2304" s="754">
        <v>63171.040000000001</v>
      </c>
      <c r="J2304" s="754">
        <v>0</v>
      </c>
      <c r="K2304" s="754">
        <v>0</v>
      </c>
      <c r="L2304" s="754">
        <v>19235.45</v>
      </c>
      <c r="M2304" s="754">
        <f t="shared" si="97"/>
        <v>19235.45</v>
      </c>
      <c r="N2304" s="756">
        <v>63171.040000000001</v>
      </c>
      <c r="O2304" s="720">
        <f t="shared" si="98"/>
        <v>0</v>
      </c>
    </row>
    <row r="2305" spans="1:15" outlineLevel="2" x14ac:dyDescent="0.25">
      <c r="A2305" s="207" t="str">
        <f>VLOOKUP(RIGHT(E2305,3)+0,SchLocTable!$A$2:$B$47,2,FALSE)</f>
        <v>Bassick HS</v>
      </c>
      <c r="B2305" s="207" t="str">
        <f>VLOOKUP(VALUE(D2305),$D$3:F$106,3,FALSE)</f>
        <v>SPED Aides</v>
      </c>
      <c r="C2305" s="751" t="s">
        <v>246</v>
      </c>
      <c r="D2305" s="751" t="s">
        <v>726</v>
      </c>
      <c r="E2305" s="751" t="s">
        <v>746</v>
      </c>
      <c r="F2305" s="751" t="s">
        <v>333</v>
      </c>
      <c r="G2305" s="752" t="s">
        <v>1681</v>
      </c>
      <c r="H2305" s="753">
        <v>52920</v>
      </c>
      <c r="I2305" s="754">
        <v>500</v>
      </c>
      <c r="J2305" s="754">
        <v>0</v>
      </c>
      <c r="K2305" s="754">
        <v>0</v>
      </c>
      <c r="L2305" s="754">
        <v>0</v>
      </c>
      <c r="M2305" s="754">
        <f t="shared" si="97"/>
        <v>0</v>
      </c>
      <c r="N2305" s="756">
        <v>500</v>
      </c>
      <c r="O2305" s="720">
        <f t="shared" si="98"/>
        <v>0</v>
      </c>
    </row>
    <row r="2306" spans="1:15" outlineLevel="2" x14ac:dyDescent="0.25">
      <c r="A2306" s="207" t="str">
        <f>VLOOKUP(RIGHT(E2306,3)+0,SchLocTable!$A$2:$B$47,2,FALSE)</f>
        <v>Central HS</v>
      </c>
      <c r="B2306" s="207" t="str">
        <f>VLOOKUP(VALUE(D2306),$D$3:F$106,3,FALSE)</f>
        <v>SPED Aides</v>
      </c>
      <c r="C2306" s="751" t="s">
        <v>246</v>
      </c>
      <c r="D2306" s="751" t="s">
        <v>726</v>
      </c>
      <c r="E2306" s="751" t="s">
        <v>747</v>
      </c>
      <c r="F2306" s="751" t="s">
        <v>248</v>
      </c>
      <c r="G2306" s="752">
        <v>11</v>
      </c>
      <c r="H2306" s="753">
        <v>51000</v>
      </c>
      <c r="I2306" s="754">
        <v>482864.29</v>
      </c>
      <c r="J2306" s="754">
        <v>0</v>
      </c>
      <c r="K2306" s="754">
        <v>0</v>
      </c>
      <c r="L2306" s="754">
        <v>146080.29999999999</v>
      </c>
      <c r="M2306" s="754">
        <f t="shared" si="97"/>
        <v>146080.29999999999</v>
      </c>
      <c r="N2306" s="756">
        <v>482864.29</v>
      </c>
      <c r="O2306" s="720">
        <f t="shared" si="98"/>
        <v>0</v>
      </c>
    </row>
    <row r="2307" spans="1:15" outlineLevel="2" x14ac:dyDescent="0.25">
      <c r="A2307" s="207" t="str">
        <f>VLOOKUP(RIGHT(E2307,3)+0,SchLocTable!$A$2:$B$47,2,FALSE)</f>
        <v>Central HS</v>
      </c>
      <c r="B2307" s="207" t="str">
        <f>VLOOKUP(VALUE(D2307),$D$3:F$106,3,FALSE)</f>
        <v>SPED Aides</v>
      </c>
      <c r="C2307" s="751" t="s">
        <v>246</v>
      </c>
      <c r="D2307" s="751" t="s">
        <v>726</v>
      </c>
      <c r="E2307" s="751" t="s">
        <v>747</v>
      </c>
      <c r="F2307" s="751" t="s">
        <v>257</v>
      </c>
      <c r="G2307" s="752" t="s">
        <v>1681</v>
      </c>
      <c r="H2307" s="753">
        <v>51140</v>
      </c>
      <c r="I2307" s="754">
        <v>21620</v>
      </c>
      <c r="J2307" s="754">
        <v>0</v>
      </c>
      <c r="K2307" s="754">
        <v>0</v>
      </c>
      <c r="L2307" s="754">
        <v>0</v>
      </c>
      <c r="M2307" s="754">
        <f t="shared" si="97"/>
        <v>0</v>
      </c>
      <c r="N2307" s="756">
        <v>21620</v>
      </c>
      <c r="O2307" s="720">
        <f t="shared" si="98"/>
        <v>0</v>
      </c>
    </row>
    <row r="2308" spans="1:15" outlineLevel="2" x14ac:dyDescent="0.25">
      <c r="A2308" s="207" t="str">
        <f>VLOOKUP(RIGHT(E2308,3)+0,SchLocTable!$A$2:$B$47,2,FALSE)</f>
        <v>Central HS</v>
      </c>
      <c r="B2308" s="207" t="str">
        <f>VLOOKUP(VALUE(D2308),$D$3:F$106,3,FALSE)</f>
        <v>SPED Aides</v>
      </c>
      <c r="C2308" s="755" t="s">
        <v>246</v>
      </c>
      <c r="D2308" s="751" t="s">
        <v>726</v>
      </c>
      <c r="E2308" s="751" t="s">
        <v>747</v>
      </c>
      <c r="F2308" s="751" t="s">
        <v>254</v>
      </c>
      <c r="G2308" s="752" t="s">
        <v>1681</v>
      </c>
      <c r="H2308" s="753">
        <v>52360</v>
      </c>
      <c r="I2308" s="754">
        <v>6665.07</v>
      </c>
      <c r="J2308" s="754">
        <v>0</v>
      </c>
      <c r="K2308" s="754">
        <v>0</v>
      </c>
      <c r="L2308" s="754">
        <v>1781.7</v>
      </c>
      <c r="M2308" s="754">
        <f t="shared" si="97"/>
        <v>1781.7</v>
      </c>
      <c r="N2308" s="756">
        <v>6665.07</v>
      </c>
      <c r="O2308" s="720">
        <f t="shared" si="98"/>
        <v>0</v>
      </c>
    </row>
    <row r="2309" spans="1:15" outlineLevel="2" x14ac:dyDescent="0.25">
      <c r="A2309" s="207" t="str">
        <f>VLOOKUP(RIGHT(E2309,3)+0,SchLocTable!$A$2:$B$47,2,FALSE)</f>
        <v>Central HS</v>
      </c>
      <c r="B2309" s="207" t="str">
        <f>VLOOKUP(VALUE(D2309),$D$3:F$106,3,FALSE)</f>
        <v>SPED Aides</v>
      </c>
      <c r="C2309" s="751" t="s">
        <v>246</v>
      </c>
      <c r="D2309" s="751" t="s">
        <v>726</v>
      </c>
      <c r="E2309" s="751" t="s">
        <v>747</v>
      </c>
      <c r="F2309" s="751" t="s">
        <v>331</v>
      </c>
      <c r="G2309" s="752" t="s">
        <v>1681</v>
      </c>
      <c r="H2309" s="753">
        <v>52504</v>
      </c>
      <c r="I2309" s="754">
        <v>99421.759999999995</v>
      </c>
      <c r="J2309" s="754">
        <v>0</v>
      </c>
      <c r="K2309" s="754">
        <v>0</v>
      </c>
      <c r="L2309" s="754">
        <v>30077.94</v>
      </c>
      <c r="M2309" s="754">
        <f t="shared" si="97"/>
        <v>30077.94</v>
      </c>
      <c r="N2309" s="756">
        <v>99421.759999999995</v>
      </c>
      <c r="O2309" s="720">
        <f t="shared" si="98"/>
        <v>0</v>
      </c>
    </row>
    <row r="2310" spans="1:15" outlineLevel="2" x14ac:dyDescent="0.25">
      <c r="A2310" s="207" t="str">
        <f>VLOOKUP(RIGHT(E2310,3)+0,SchLocTable!$A$2:$B$47,2,FALSE)</f>
        <v>Central HS</v>
      </c>
      <c r="B2310" s="207" t="str">
        <f>VLOOKUP(VALUE(D2310),$D$3:F$106,3,FALSE)</f>
        <v>SPED Aides</v>
      </c>
      <c r="C2310" s="751" t="s">
        <v>246</v>
      </c>
      <c r="D2310" s="751" t="s">
        <v>726</v>
      </c>
      <c r="E2310" s="751" t="s">
        <v>747</v>
      </c>
      <c r="F2310" s="751" t="s">
        <v>259</v>
      </c>
      <c r="G2310" s="752" t="s">
        <v>1681</v>
      </c>
      <c r="H2310" s="753">
        <v>52917</v>
      </c>
      <c r="I2310" s="754">
        <v>140150.39000000001</v>
      </c>
      <c r="J2310" s="754">
        <v>0</v>
      </c>
      <c r="K2310" s="754">
        <v>0</v>
      </c>
      <c r="L2310" s="754">
        <v>40394.449999999997</v>
      </c>
      <c r="M2310" s="754">
        <f t="shared" si="97"/>
        <v>40394.449999999997</v>
      </c>
      <c r="N2310" s="756">
        <v>140150.39000000001</v>
      </c>
      <c r="O2310" s="720">
        <f t="shared" si="98"/>
        <v>0</v>
      </c>
    </row>
    <row r="2311" spans="1:15" outlineLevel="2" x14ac:dyDescent="0.25">
      <c r="A2311" s="207" t="str">
        <f>VLOOKUP(RIGHT(E2311,3)+0,SchLocTable!$A$2:$B$47,2,FALSE)</f>
        <v>Central HS</v>
      </c>
      <c r="B2311" s="207" t="str">
        <f>VLOOKUP(VALUE(D2311),$D$3:F$106,3,FALSE)</f>
        <v>SPED Aides</v>
      </c>
      <c r="C2311" s="755" t="s">
        <v>246</v>
      </c>
      <c r="D2311" s="751" t="s">
        <v>726</v>
      </c>
      <c r="E2311" s="751" t="s">
        <v>747</v>
      </c>
      <c r="F2311" s="751" t="s">
        <v>333</v>
      </c>
      <c r="G2311" s="752" t="s">
        <v>1681</v>
      </c>
      <c r="H2311" s="753">
        <v>52920</v>
      </c>
      <c r="I2311" s="754">
        <v>1000</v>
      </c>
      <c r="J2311" s="754">
        <v>0</v>
      </c>
      <c r="K2311" s="754">
        <v>0</v>
      </c>
      <c r="L2311" s="754">
        <v>0</v>
      </c>
      <c r="M2311" s="754">
        <f t="shared" si="97"/>
        <v>0</v>
      </c>
      <c r="N2311" s="756">
        <v>1000</v>
      </c>
      <c r="O2311" s="720">
        <f t="shared" si="98"/>
        <v>0</v>
      </c>
    </row>
    <row r="2312" spans="1:15" outlineLevel="2" x14ac:dyDescent="0.25">
      <c r="A2312" s="207" t="str">
        <f>VLOOKUP(RIGHT(E2312,3)+0,SchLocTable!$A$2:$B$47,2,FALSE)</f>
        <v>Harding HS</v>
      </c>
      <c r="B2312" s="207" t="str">
        <f>VLOOKUP(VALUE(D2312),$D$3:F$106,3,FALSE)</f>
        <v>SPED Aides</v>
      </c>
      <c r="C2312" s="751" t="s">
        <v>246</v>
      </c>
      <c r="D2312" s="751" t="s">
        <v>726</v>
      </c>
      <c r="E2312" s="751" t="s">
        <v>748</v>
      </c>
      <c r="F2312" s="751" t="s">
        <v>248</v>
      </c>
      <c r="G2312" s="752">
        <v>6</v>
      </c>
      <c r="H2312" s="753">
        <v>51000</v>
      </c>
      <c r="I2312" s="754">
        <v>212319.78</v>
      </c>
      <c r="J2312" s="754">
        <v>0</v>
      </c>
      <c r="K2312" s="754">
        <v>0</v>
      </c>
      <c r="L2312" s="754">
        <v>51504.66</v>
      </c>
      <c r="M2312" s="754">
        <f t="shared" si="97"/>
        <v>51504.66</v>
      </c>
      <c r="N2312" s="756">
        <v>212319.78</v>
      </c>
      <c r="O2312" s="720">
        <f t="shared" si="98"/>
        <v>0</v>
      </c>
    </row>
    <row r="2313" spans="1:15" outlineLevel="2" x14ac:dyDescent="0.25">
      <c r="A2313" s="207" t="str">
        <f>VLOOKUP(RIGHT(E2313,3)+0,SchLocTable!$A$2:$B$47,2,FALSE)</f>
        <v>Harding HS</v>
      </c>
      <c r="B2313" s="207" t="str">
        <f>VLOOKUP(VALUE(D2313),$D$3:F$106,3,FALSE)</f>
        <v>SPED Aides</v>
      </c>
      <c r="C2313" s="751" t="s">
        <v>246</v>
      </c>
      <c r="D2313" s="751" t="s">
        <v>726</v>
      </c>
      <c r="E2313" s="751" t="s">
        <v>748</v>
      </c>
      <c r="F2313" s="751" t="s">
        <v>257</v>
      </c>
      <c r="G2313" s="752" t="s">
        <v>1681</v>
      </c>
      <c r="H2313" s="753">
        <v>51140</v>
      </c>
      <c r="I2313" s="754">
        <v>6470</v>
      </c>
      <c r="J2313" s="754">
        <v>0</v>
      </c>
      <c r="K2313" s="754">
        <v>0</v>
      </c>
      <c r="L2313" s="754">
        <v>0</v>
      </c>
      <c r="M2313" s="754">
        <f t="shared" si="97"/>
        <v>0</v>
      </c>
      <c r="N2313" s="756">
        <v>6470</v>
      </c>
      <c r="O2313" s="720">
        <f t="shared" si="98"/>
        <v>0</v>
      </c>
    </row>
    <row r="2314" spans="1:15" outlineLevel="2" x14ac:dyDescent="0.25">
      <c r="A2314" s="207" t="str">
        <f>VLOOKUP(RIGHT(E2314,3)+0,SchLocTable!$A$2:$B$47,2,FALSE)</f>
        <v>Harding HS</v>
      </c>
      <c r="B2314" s="207" t="str">
        <f>VLOOKUP(VALUE(D2314),$D$3:F$106,3,FALSE)</f>
        <v>SPED Aides</v>
      </c>
      <c r="C2314" s="755" t="s">
        <v>246</v>
      </c>
      <c r="D2314" s="751" t="s">
        <v>726</v>
      </c>
      <c r="E2314" s="751" t="s">
        <v>748</v>
      </c>
      <c r="F2314" s="751" t="s">
        <v>254</v>
      </c>
      <c r="G2314" s="752" t="s">
        <v>1681</v>
      </c>
      <c r="H2314" s="753">
        <v>52360</v>
      </c>
      <c r="I2314" s="754">
        <v>3048.15</v>
      </c>
      <c r="J2314" s="754">
        <v>0</v>
      </c>
      <c r="K2314" s="754">
        <v>0</v>
      </c>
      <c r="L2314" s="754">
        <v>716.33</v>
      </c>
      <c r="M2314" s="754">
        <f t="shared" si="97"/>
        <v>716.33</v>
      </c>
      <c r="N2314" s="756">
        <v>3048.15</v>
      </c>
      <c r="O2314" s="720">
        <f t="shared" si="98"/>
        <v>0</v>
      </c>
    </row>
    <row r="2315" spans="1:15" outlineLevel="2" x14ac:dyDescent="0.25">
      <c r="A2315" s="207" t="str">
        <f>VLOOKUP(RIGHT(E2315,3)+0,SchLocTable!$A$2:$B$47,2,FALSE)</f>
        <v>Harding HS</v>
      </c>
      <c r="B2315" s="207" t="str">
        <f>VLOOKUP(VALUE(D2315),$D$3:F$106,3,FALSE)</f>
        <v>SPED Aides</v>
      </c>
      <c r="C2315" s="751" t="s">
        <v>246</v>
      </c>
      <c r="D2315" s="751" t="s">
        <v>726</v>
      </c>
      <c r="E2315" s="751" t="s">
        <v>748</v>
      </c>
      <c r="F2315" s="751" t="s">
        <v>292</v>
      </c>
      <c r="G2315" s="752" t="s">
        <v>1681</v>
      </c>
      <c r="H2315" s="753">
        <v>52385</v>
      </c>
      <c r="I2315" s="754">
        <v>3888.61</v>
      </c>
      <c r="J2315" s="754">
        <v>0</v>
      </c>
      <c r="K2315" s="754">
        <v>0</v>
      </c>
      <c r="L2315" s="754">
        <v>887.17</v>
      </c>
      <c r="M2315" s="754">
        <f t="shared" si="97"/>
        <v>887.17</v>
      </c>
      <c r="N2315" s="756">
        <v>3888.61</v>
      </c>
      <c r="O2315" s="720">
        <f t="shared" si="98"/>
        <v>0</v>
      </c>
    </row>
    <row r="2316" spans="1:15" outlineLevel="2" x14ac:dyDescent="0.25">
      <c r="A2316" s="207" t="str">
        <f>VLOOKUP(RIGHT(E2316,3)+0,SchLocTable!$A$2:$B$47,2,FALSE)</f>
        <v>Harding HS</v>
      </c>
      <c r="B2316" s="207" t="str">
        <f>VLOOKUP(VALUE(D2316),$D$3:F$106,3,FALSE)</f>
        <v>SPED Aides</v>
      </c>
      <c r="C2316" s="751" t="s">
        <v>246</v>
      </c>
      <c r="D2316" s="751" t="s">
        <v>726</v>
      </c>
      <c r="E2316" s="751" t="s">
        <v>748</v>
      </c>
      <c r="F2316" s="751" t="s">
        <v>806</v>
      </c>
      <c r="G2316" s="752" t="s">
        <v>1681</v>
      </c>
      <c r="H2316" s="753">
        <v>52397</v>
      </c>
      <c r="I2316" s="754">
        <v>0</v>
      </c>
      <c r="J2316" s="754">
        <v>0</v>
      </c>
      <c r="K2316" s="754">
        <v>0</v>
      </c>
      <c r="L2316" s="754">
        <v>0</v>
      </c>
      <c r="M2316" s="754">
        <f t="shared" si="97"/>
        <v>0</v>
      </c>
      <c r="N2316" s="756">
        <v>0</v>
      </c>
      <c r="O2316" s="720">
        <f t="shared" si="98"/>
        <v>0</v>
      </c>
    </row>
    <row r="2317" spans="1:15" outlineLevel="2" x14ac:dyDescent="0.25">
      <c r="A2317" s="207" t="str">
        <f>VLOOKUP(RIGHT(E2317,3)+0,SchLocTable!$A$2:$B$47,2,FALSE)</f>
        <v>Harding HS</v>
      </c>
      <c r="B2317" s="207" t="str">
        <f>VLOOKUP(VALUE(D2317),$D$3:F$106,3,FALSE)</f>
        <v>SPED Aides</v>
      </c>
      <c r="C2317" s="751" t="s">
        <v>246</v>
      </c>
      <c r="D2317" s="751" t="s">
        <v>726</v>
      </c>
      <c r="E2317" s="751" t="s">
        <v>748</v>
      </c>
      <c r="F2317" s="751" t="s">
        <v>331</v>
      </c>
      <c r="G2317" s="752" t="s">
        <v>1681</v>
      </c>
      <c r="H2317" s="753">
        <v>52504</v>
      </c>
      <c r="I2317" s="754">
        <v>39524.400000000001</v>
      </c>
      <c r="J2317" s="754">
        <v>0</v>
      </c>
      <c r="K2317" s="754">
        <v>0</v>
      </c>
      <c r="L2317" s="754">
        <v>6412.57</v>
      </c>
      <c r="M2317" s="754">
        <f t="shared" si="97"/>
        <v>6412.57</v>
      </c>
      <c r="N2317" s="756">
        <v>39524.400000000001</v>
      </c>
      <c r="O2317" s="720">
        <f t="shared" si="98"/>
        <v>0</v>
      </c>
    </row>
    <row r="2318" spans="1:15" outlineLevel="2" x14ac:dyDescent="0.25">
      <c r="A2318" s="207" t="str">
        <f>VLOOKUP(RIGHT(E2318,3)+0,SchLocTable!$A$2:$B$47,2,FALSE)</f>
        <v>Harding HS</v>
      </c>
      <c r="B2318" s="207" t="str">
        <f>VLOOKUP(VALUE(D2318),$D$3:F$106,3,FALSE)</f>
        <v>SPED Aides</v>
      </c>
      <c r="C2318" s="751" t="s">
        <v>246</v>
      </c>
      <c r="D2318" s="751" t="s">
        <v>726</v>
      </c>
      <c r="E2318" s="751" t="s">
        <v>748</v>
      </c>
      <c r="F2318" s="751" t="s">
        <v>259</v>
      </c>
      <c r="G2318" s="752" t="s">
        <v>1681</v>
      </c>
      <c r="H2318" s="753">
        <v>52917</v>
      </c>
      <c r="I2318" s="754">
        <v>13216.79</v>
      </c>
      <c r="J2318" s="754">
        <v>0</v>
      </c>
      <c r="K2318" s="754">
        <v>0</v>
      </c>
      <c r="L2318" s="754">
        <v>5172.97</v>
      </c>
      <c r="M2318" s="754">
        <f t="shared" si="97"/>
        <v>5172.97</v>
      </c>
      <c r="N2318" s="756">
        <v>13216.79</v>
      </c>
      <c r="O2318" s="720">
        <f t="shared" si="98"/>
        <v>0</v>
      </c>
    </row>
    <row r="2319" spans="1:15" outlineLevel="2" x14ac:dyDescent="0.25">
      <c r="A2319" s="207" t="str">
        <f>VLOOKUP(RIGHT(E2319,3)+0,SchLocTable!$A$2:$B$47,2,FALSE)</f>
        <v>Harding HS</v>
      </c>
      <c r="B2319" s="207" t="str">
        <f>VLOOKUP(VALUE(D2319),$D$3:F$106,3,FALSE)</f>
        <v>SPED Aides</v>
      </c>
      <c r="C2319" s="751" t="s">
        <v>246</v>
      </c>
      <c r="D2319" s="751" t="s">
        <v>726</v>
      </c>
      <c r="E2319" s="751" t="s">
        <v>748</v>
      </c>
      <c r="F2319" s="751" t="s">
        <v>333</v>
      </c>
      <c r="G2319" s="752" t="s">
        <v>1681</v>
      </c>
      <c r="H2319" s="753">
        <v>52920</v>
      </c>
      <c r="I2319" s="754">
        <v>0</v>
      </c>
      <c r="J2319" s="754">
        <v>0</v>
      </c>
      <c r="K2319" s="754">
        <v>0</v>
      </c>
      <c r="L2319" s="754">
        <v>0</v>
      </c>
      <c r="M2319" s="754">
        <f t="shared" si="97"/>
        <v>0</v>
      </c>
      <c r="N2319" s="756">
        <v>0</v>
      </c>
      <c r="O2319" s="720">
        <f t="shared" si="98"/>
        <v>0</v>
      </c>
    </row>
    <row r="2320" spans="1:15" outlineLevel="2" x14ac:dyDescent="0.25">
      <c r="A2320" s="207" t="e">
        <f>VLOOKUP(RIGHT(E2320,3)+0,SchLocTable!$A$2:$B$47,2,FALSE)</f>
        <v>#N/A</v>
      </c>
      <c r="B2320" s="207" t="str">
        <f>VLOOKUP(VALUE(D2320),$D$3:F$106,3,FALSE)</f>
        <v>SPED Clericals</v>
      </c>
      <c r="C2320" s="751" t="s">
        <v>246</v>
      </c>
      <c r="D2320" s="751" t="s">
        <v>749</v>
      </c>
      <c r="E2320" s="751" t="s">
        <v>750</v>
      </c>
      <c r="F2320" s="751" t="s">
        <v>248</v>
      </c>
      <c r="G2320" s="752">
        <v>3</v>
      </c>
      <c r="H2320" s="753">
        <v>51000</v>
      </c>
      <c r="I2320" s="754">
        <v>208632.12</v>
      </c>
      <c r="J2320" s="754">
        <v>0</v>
      </c>
      <c r="K2320" s="754">
        <v>0</v>
      </c>
      <c r="L2320" s="754">
        <v>64567.65</v>
      </c>
      <c r="M2320" s="754">
        <f t="shared" si="97"/>
        <v>64567.65</v>
      </c>
      <c r="N2320" s="756">
        <v>208632.12</v>
      </c>
      <c r="O2320" s="720">
        <f t="shared" si="98"/>
        <v>0</v>
      </c>
    </row>
    <row r="2321" spans="1:15" outlineLevel="2" x14ac:dyDescent="0.25">
      <c r="A2321" s="207" t="e">
        <f>VLOOKUP(RIGHT(E2321,3)+0,SchLocTable!$A$2:$B$47,2,FALSE)</f>
        <v>#N/A</v>
      </c>
      <c r="B2321" s="207" t="str">
        <f>VLOOKUP(VALUE(D2321),$D$3:F$106,3,FALSE)</f>
        <v>SPED Clericals</v>
      </c>
      <c r="C2321" s="751" t="s">
        <v>246</v>
      </c>
      <c r="D2321" s="751" t="s">
        <v>749</v>
      </c>
      <c r="E2321" s="751" t="s">
        <v>750</v>
      </c>
      <c r="F2321" s="751" t="s">
        <v>340</v>
      </c>
      <c r="G2321" s="752" t="s">
        <v>1681</v>
      </c>
      <c r="H2321" s="753">
        <v>51106</v>
      </c>
      <c r="I2321" s="754">
        <v>0</v>
      </c>
      <c r="J2321" s="754">
        <v>0</v>
      </c>
      <c r="K2321" s="754">
        <v>0</v>
      </c>
      <c r="L2321" s="754">
        <v>0</v>
      </c>
      <c r="M2321" s="754">
        <f t="shared" si="97"/>
        <v>0</v>
      </c>
      <c r="N2321" s="756">
        <v>0</v>
      </c>
      <c r="O2321" s="720">
        <f t="shared" si="98"/>
        <v>0</v>
      </c>
    </row>
    <row r="2322" spans="1:15" outlineLevel="2" x14ac:dyDescent="0.25">
      <c r="A2322" s="207" t="e">
        <f>VLOOKUP(RIGHT(E2322,3)+0,SchLocTable!$A$2:$B$47,2,FALSE)</f>
        <v>#N/A</v>
      </c>
      <c r="B2322" s="207" t="str">
        <f>VLOOKUP(VALUE(D2322),$D$3:F$106,3,FALSE)</f>
        <v>SPED Clericals</v>
      </c>
      <c r="C2322" s="751" t="s">
        <v>246</v>
      </c>
      <c r="D2322" s="751" t="s">
        <v>749</v>
      </c>
      <c r="E2322" s="751" t="s">
        <v>750</v>
      </c>
      <c r="F2322" s="751" t="s">
        <v>378</v>
      </c>
      <c r="G2322" s="752" t="s">
        <v>1681</v>
      </c>
      <c r="H2322" s="753">
        <v>51108</v>
      </c>
      <c r="I2322" s="754">
        <v>0</v>
      </c>
      <c r="J2322" s="754">
        <v>0</v>
      </c>
      <c r="K2322" s="754">
        <v>0</v>
      </c>
      <c r="L2322" s="754">
        <v>0</v>
      </c>
      <c r="M2322" s="754">
        <f t="shared" si="97"/>
        <v>0</v>
      </c>
      <c r="N2322" s="756">
        <v>0</v>
      </c>
      <c r="O2322" s="720">
        <f t="shared" si="98"/>
        <v>0</v>
      </c>
    </row>
    <row r="2323" spans="1:15" outlineLevel="2" x14ac:dyDescent="0.25">
      <c r="A2323" s="207" t="e">
        <f>VLOOKUP(RIGHT(E2323,3)+0,SchLocTable!$A$2:$B$47,2,FALSE)</f>
        <v>#N/A</v>
      </c>
      <c r="B2323" s="207" t="str">
        <f>VLOOKUP(VALUE(D2323),$D$3:F$106,3,FALSE)</f>
        <v>SPED Clericals</v>
      </c>
      <c r="C2323" s="751" t="s">
        <v>246</v>
      </c>
      <c r="D2323" s="751" t="s">
        <v>749</v>
      </c>
      <c r="E2323" s="751" t="s">
        <v>750</v>
      </c>
      <c r="F2323" s="751" t="s">
        <v>257</v>
      </c>
      <c r="G2323" s="752" t="s">
        <v>1681</v>
      </c>
      <c r="H2323" s="753">
        <v>51140</v>
      </c>
      <c r="I2323" s="754">
        <v>5090</v>
      </c>
      <c r="J2323" s="754">
        <v>0</v>
      </c>
      <c r="K2323" s="754">
        <v>0</v>
      </c>
      <c r="L2323" s="754">
        <v>0</v>
      </c>
      <c r="M2323" s="754">
        <f t="shared" si="97"/>
        <v>0</v>
      </c>
      <c r="N2323" s="756">
        <v>5090</v>
      </c>
      <c r="O2323" s="720">
        <f t="shared" si="98"/>
        <v>0</v>
      </c>
    </row>
    <row r="2324" spans="1:15" outlineLevel="2" x14ac:dyDescent="0.25">
      <c r="A2324" s="207" t="e">
        <f>VLOOKUP(RIGHT(E2324,3)+0,SchLocTable!$A$2:$B$47,2,FALSE)</f>
        <v>#N/A</v>
      </c>
      <c r="B2324" s="207" t="str">
        <f>VLOOKUP(VALUE(D2324),$D$3:F$106,3,FALSE)</f>
        <v>SPED Clericals</v>
      </c>
      <c r="C2324" s="751" t="s">
        <v>246</v>
      </c>
      <c r="D2324" s="751" t="s">
        <v>749</v>
      </c>
      <c r="E2324" s="751" t="s">
        <v>750</v>
      </c>
      <c r="F2324" s="751" t="s">
        <v>252</v>
      </c>
      <c r="G2324" s="752" t="s">
        <v>1681</v>
      </c>
      <c r="H2324" s="753">
        <v>51154</v>
      </c>
      <c r="I2324" s="754">
        <v>0</v>
      </c>
      <c r="J2324" s="754">
        <v>0</v>
      </c>
      <c r="K2324" s="754">
        <v>0</v>
      </c>
      <c r="L2324" s="754">
        <v>0</v>
      </c>
      <c r="M2324" s="754">
        <f t="shared" si="97"/>
        <v>0</v>
      </c>
      <c r="N2324" s="756">
        <v>0</v>
      </c>
      <c r="O2324" s="720">
        <f t="shared" si="98"/>
        <v>0</v>
      </c>
    </row>
    <row r="2325" spans="1:15" outlineLevel="2" x14ac:dyDescent="0.25">
      <c r="A2325" s="207" t="e">
        <f>VLOOKUP(RIGHT(E2325,3)+0,SchLocTable!$A$2:$B$47,2,FALSE)</f>
        <v>#N/A</v>
      </c>
      <c r="B2325" s="207" t="str">
        <f>VLOOKUP(VALUE(D2325),$D$3:F$106,3,FALSE)</f>
        <v>SPED Clericals</v>
      </c>
      <c r="C2325" s="751" t="s">
        <v>246</v>
      </c>
      <c r="D2325" s="751" t="s">
        <v>749</v>
      </c>
      <c r="E2325" s="751" t="s">
        <v>750</v>
      </c>
      <c r="F2325" s="751" t="s">
        <v>797</v>
      </c>
      <c r="G2325" s="752" t="s">
        <v>1681</v>
      </c>
      <c r="H2325" s="753">
        <v>51156</v>
      </c>
      <c r="I2325" s="754">
        <v>0</v>
      </c>
      <c r="J2325" s="754">
        <v>0</v>
      </c>
      <c r="K2325" s="754">
        <v>0</v>
      </c>
      <c r="L2325" s="754">
        <v>0</v>
      </c>
      <c r="M2325" s="754">
        <f t="shared" si="97"/>
        <v>0</v>
      </c>
      <c r="N2325" s="756">
        <v>0</v>
      </c>
      <c r="O2325" s="720">
        <f t="shared" si="98"/>
        <v>0</v>
      </c>
    </row>
    <row r="2326" spans="1:15" outlineLevel="2" x14ac:dyDescent="0.25">
      <c r="A2326" s="207" t="e">
        <f>VLOOKUP(RIGHT(E2326,3)+0,SchLocTable!$A$2:$B$47,2,FALSE)</f>
        <v>#N/A</v>
      </c>
      <c r="B2326" s="207" t="str">
        <f>VLOOKUP(VALUE(D2326),$D$3:F$106,3,FALSE)</f>
        <v>SPED Clericals</v>
      </c>
      <c r="C2326" s="755" t="s">
        <v>246</v>
      </c>
      <c r="D2326" s="751" t="s">
        <v>749</v>
      </c>
      <c r="E2326" s="751" t="s">
        <v>750</v>
      </c>
      <c r="F2326" s="751" t="s">
        <v>326</v>
      </c>
      <c r="G2326" s="752" t="s">
        <v>1681</v>
      </c>
      <c r="H2326" s="753">
        <v>51314</v>
      </c>
      <c r="I2326" s="754">
        <v>0</v>
      </c>
      <c r="J2326" s="754">
        <v>0</v>
      </c>
      <c r="K2326" s="754">
        <v>0</v>
      </c>
      <c r="L2326" s="754">
        <v>0</v>
      </c>
      <c r="M2326" s="754">
        <f t="shared" si="97"/>
        <v>0</v>
      </c>
      <c r="N2326" s="756">
        <v>0</v>
      </c>
      <c r="O2326" s="720">
        <f t="shared" si="98"/>
        <v>0</v>
      </c>
    </row>
    <row r="2327" spans="1:15" outlineLevel="2" x14ac:dyDescent="0.25">
      <c r="A2327" s="207" t="e">
        <f>VLOOKUP(RIGHT(E2327,3)+0,SchLocTable!$A$2:$B$47,2,FALSE)</f>
        <v>#N/A</v>
      </c>
      <c r="B2327" s="207" t="str">
        <f>VLOOKUP(VALUE(D2327),$D$3:F$106,3,FALSE)</f>
        <v>SPED Clericals</v>
      </c>
      <c r="C2327" s="751" t="s">
        <v>246</v>
      </c>
      <c r="D2327" s="751" t="s">
        <v>749</v>
      </c>
      <c r="E2327" s="751" t="s">
        <v>750</v>
      </c>
      <c r="F2327" s="751" t="s">
        <v>328</v>
      </c>
      <c r="G2327" s="752" t="s">
        <v>1681</v>
      </c>
      <c r="H2327" s="753">
        <v>51318</v>
      </c>
      <c r="I2327" s="754">
        <v>164.03</v>
      </c>
      <c r="J2327" s="754">
        <v>0</v>
      </c>
      <c r="K2327" s="754">
        <v>0</v>
      </c>
      <c r="L2327" s="754">
        <v>0</v>
      </c>
      <c r="M2327" s="754">
        <f t="shared" si="97"/>
        <v>0</v>
      </c>
      <c r="N2327" s="756">
        <v>164.03</v>
      </c>
      <c r="O2327" s="720">
        <f t="shared" si="98"/>
        <v>0</v>
      </c>
    </row>
    <row r="2328" spans="1:15" outlineLevel="2" x14ac:dyDescent="0.25">
      <c r="A2328" s="207" t="e">
        <f>VLOOKUP(RIGHT(E2328,3)+0,SchLocTable!$A$2:$B$47,2,FALSE)</f>
        <v>#N/A</v>
      </c>
      <c r="B2328" s="207" t="str">
        <f>VLOOKUP(VALUE(D2328),$D$3:F$106,3,FALSE)</f>
        <v>SPED Clericals</v>
      </c>
      <c r="C2328" s="751" t="s">
        <v>246</v>
      </c>
      <c r="D2328" s="751" t="s">
        <v>749</v>
      </c>
      <c r="E2328" s="751" t="s">
        <v>750</v>
      </c>
      <c r="F2328" s="751" t="s">
        <v>254</v>
      </c>
      <c r="G2328" s="752" t="s">
        <v>1681</v>
      </c>
      <c r="H2328" s="753">
        <v>52360</v>
      </c>
      <c r="I2328" s="754">
        <v>2987.53</v>
      </c>
      <c r="J2328" s="754">
        <v>0</v>
      </c>
      <c r="K2328" s="754">
        <v>0</v>
      </c>
      <c r="L2328" s="754">
        <v>898.6</v>
      </c>
      <c r="M2328" s="754">
        <f t="shared" si="97"/>
        <v>898.6</v>
      </c>
      <c r="N2328" s="756">
        <v>2987.53</v>
      </c>
      <c r="O2328" s="720">
        <f t="shared" si="98"/>
        <v>0</v>
      </c>
    </row>
    <row r="2329" spans="1:15" outlineLevel="2" x14ac:dyDescent="0.25">
      <c r="A2329" s="207" t="e">
        <f>VLOOKUP(RIGHT(E2329,3)+0,SchLocTable!$A$2:$B$47,2,FALSE)</f>
        <v>#N/A</v>
      </c>
      <c r="B2329" s="207" t="str">
        <f>VLOOKUP(VALUE(D2329),$D$3:F$106,3,FALSE)</f>
        <v>SPED Clericals</v>
      </c>
      <c r="C2329" s="751" t="s">
        <v>246</v>
      </c>
      <c r="D2329" s="751" t="s">
        <v>749</v>
      </c>
      <c r="E2329" s="751" t="s">
        <v>750</v>
      </c>
      <c r="F2329" s="751" t="s">
        <v>292</v>
      </c>
      <c r="G2329" s="752" t="s">
        <v>1681</v>
      </c>
      <c r="H2329" s="753">
        <v>52385</v>
      </c>
      <c r="I2329" s="754">
        <v>0</v>
      </c>
      <c r="J2329" s="754">
        <v>0</v>
      </c>
      <c r="K2329" s="754">
        <v>0</v>
      </c>
      <c r="L2329" s="754">
        <v>0</v>
      </c>
      <c r="M2329" s="754">
        <f t="shared" si="97"/>
        <v>0</v>
      </c>
      <c r="N2329" s="756">
        <v>0</v>
      </c>
      <c r="O2329" s="720">
        <f t="shared" si="98"/>
        <v>0</v>
      </c>
    </row>
    <row r="2330" spans="1:15" outlineLevel="2" x14ac:dyDescent="0.25">
      <c r="A2330" s="207" t="e">
        <f>VLOOKUP(RIGHT(E2330,3)+0,SchLocTable!$A$2:$B$47,2,FALSE)</f>
        <v>#N/A</v>
      </c>
      <c r="B2330" s="207" t="str">
        <f>VLOOKUP(VALUE(D2330),$D$3:F$106,3,FALSE)</f>
        <v>SPED Clericals</v>
      </c>
      <c r="C2330" s="751" t="s">
        <v>246</v>
      </c>
      <c r="D2330" s="751" t="s">
        <v>749</v>
      </c>
      <c r="E2330" s="751" t="s">
        <v>750</v>
      </c>
      <c r="F2330" s="751" t="s">
        <v>331</v>
      </c>
      <c r="G2330" s="752" t="s">
        <v>1681</v>
      </c>
      <c r="H2330" s="753">
        <v>52504</v>
      </c>
      <c r="I2330" s="754">
        <v>42957.31</v>
      </c>
      <c r="J2330" s="754">
        <v>0</v>
      </c>
      <c r="K2330" s="754">
        <v>0</v>
      </c>
      <c r="L2330" s="754">
        <v>13294.44</v>
      </c>
      <c r="M2330" s="754">
        <f t="shared" si="97"/>
        <v>13294.44</v>
      </c>
      <c r="N2330" s="756">
        <v>42957.31</v>
      </c>
      <c r="O2330" s="720">
        <f t="shared" si="98"/>
        <v>0</v>
      </c>
    </row>
    <row r="2331" spans="1:15" outlineLevel="2" x14ac:dyDescent="0.25">
      <c r="A2331" s="207" t="e">
        <f>VLOOKUP(RIGHT(E2331,3)+0,SchLocTable!$A$2:$B$47,2,FALSE)</f>
        <v>#N/A</v>
      </c>
      <c r="B2331" s="207" t="str">
        <f>VLOOKUP(VALUE(D2331),$D$3:F$106,3,FALSE)</f>
        <v>SPED Clericals</v>
      </c>
      <c r="C2331" s="751" t="s">
        <v>246</v>
      </c>
      <c r="D2331" s="751" t="s">
        <v>749</v>
      </c>
      <c r="E2331" s="751" t="s">
        <v>750</v>
      </c>
      <c r="F2331" s="751" t="s">
        <v>259</v>
      </c>
      <c r="G2331" s="752" t="s">
        <v>1681</v>
      </c>
      <c r="H2331" s="753">
        <v>52917</v>
      </c>
      <c r="I2331" s="754">
        <v>58119.81</v>
      </c>
      <c r="J2331" s="754">
        <v>0</v>
      </c>
      <c r="K2331" s="754">
        <v>0</v>
      </c>
      <c r="L2331" s="754">
        <v>18205.689999999999</v>
      </c>
      <c r="M2331" s="754">
        <f t="shared" si="97"/>
        <v>18205.689999999999</v>
      </c>
      <c r="N2331" s="756">
        <v>58119.81</v>
      </c>
      <c r="O2331" s="720">
        <f t="shared" si="98"/>
        <v>0</v>
      </c>
    </row>
    <row r="2332" spans="1:15" outlineLevel="2" x14ac:dyDescent="0.25">
      <c r="A2332" s="207" t="e">
        <f>VLOOKUP(RIGHT(E2332,3)+0,SchLocTable!$A$2:$B$47,2,FALSE)</f>
        <v>#N/A</v>
      </c>
      <c r="B2332" s="207" t="str">
        <f>VLOOKUP(VALUE(D2332),$D$3:F$106,3,FALSE)</f>
        <v>SPED Clericals</v>
      </c>
      <c r="C2332" s="751" t="s">
        <v>246</v>
      </c>
      <c r="D2332" s="751" t="s">
        <v>749</v>
      </c>
      <c r="E2332" s="751" t="s">
        <v>750</v>
      </c>
      <c r="F2332" s="751" t="s">
        <v>333</v>
      </c>
      <c r="G2332" s="752" t="s">
        <v>1681</v>
      </c>
      <c r="H2332" s="753">
        <v>52920</v>
      </c>
      <c r="I2332" s="754">
        <v>291.67</v>
      </c>
      <c r="J2332" s="754">
        <v>0</v>
      </c>
      <c r="K2332" s="754">
        <v>0</v>
      </c>
      <c r="L2332" s="754">
        <v>0</v>
      </c>
      <c r="M2332" s="754">
        <f t="shared" si="97"/>
        <v>0</v>
      </c>
      <c r="N2332" s="756">
        <v>291.67</v>
      </c>
      <c r="O2332" s="720">
        <f t="shared" si="98"/>
        <v>0</v>
      </c>
    </row>
    <row r="2333" spans="1:15" outlineLevel="2" x14ac:dyDescent="0.25">
      <c r="A2333" s="207" t="e">
        <f>VLOOKUP(RIGHT(E2333,3)+0,SchLocTable!$A$2:$B$47,2,FALSE)</f>
        <v>#N/A</v>
      </c>
      <c r="B2333" s="207" t="str">
        <f>VLOOKUP(VALUE(D2333),$D$3:F$106,3,FALSE)</f>
        <v>Extended School Year/SPED</v>
      </c>
      <c r="C2333" s="751" t="s">
        <v>246</v>
      </c>
      <c r="D2333" s="751" t="s">
        <v>751</v>
      </c>
      <c r="E2333" s="751" t="s">
        <v>1616</v>
      </c>
      <c r="F2333" s="751" t="s">
        <v>248</v>
      </c>
      <c r="G2333" s="752">
        <v>2</v>
      </c>
      <c r="H2333" s="753">
        <v>51000</v>
      </c>
      <c r="I2333" s="754">
        <v>6414</v>
      </c>
      <c r="J2333" s="754">
        <v>0</v>
      </c>
      <c r="K2333" s="754">
        <v>0</v>
      </c>
      <c r="L2333" s="754">
        <v>6414</v>
      </c>
      <c r="M2333" s="754">
        <f t="shared" si="97"/>
        <v>6414</v>
      </c>
      <c r="N2333" s="756">
        <v>6414</v>
      </c>
      <c r="O2333" s="720">
        <f t="shared" si="98"/>
        <v>0</v>
      </c>
    </row>
    <row r="2334" spans="1:15" outlineLevel="2" x14ac:dyDescent="0.25">
      <c r="A2334" s="207" t="e">
        <f>VLOOKUP(RIGHT(E2334,3)+0,SchLocTable!$A$2:$B$47,2,FALSE)</f>
        <v>#N/A</v>
      </c>
      <c r="B2334" s="207" t="str">
        <f>VLOOKUP(VALUE(D2334),$D$3:F$106,3,FALSE)</f>
        <v>Extended School Year/SPED</v>
      </c>
      <c r="C2334" s="751" t="s">
        <v>246</v>
      </c>
      <c r="D2334" s="751" t="s">
        <v>751</v>
      </c>
      <c r="E2334" s="751" t="s">
        <v>1616</v>
      </c>
      <c r="F2334" s="751" t="s">
        <v>250</v>
      </c>
      <c r="G2334" s="752" t="s">
        <v>1681</v>
      </c>
      <c r="H2334" s="753">
        <v>51100</v>
      </c>
      <c r="I2334" s="754">
        <v>348038.3</v>
      </c>
      <c r="J2334" s="754">
        <v>0</v>
      </c>
      <c r="K2334" s="754">
        <v>0</v>
      </c>
      <c r="L2334" s="754">
        <v>348038.3</v>
      </c>
      <c r="M2334" s="754">
        <f t="shared" si="97"/>
        <v>348038.3</v>
      </c>
      <c r="N2334" s="756">
        <v>348038.3</v>
      </c>
      <c r="O2334" s="720">
        <f t="shared" si="98"/>
        <v>0</v>
      </c>
    </row>
    <row r="2335" spans="1:15" outlineLevel="2" x14ac:dyDescent="0.25">
      <c r="A2335" s="207" t="e">
        <f>VLOOKUP(RIGHT(E2335,3)+0,SchLocTable!$A$2:$B$47,2,FALSE)</f>
        <v>#N/A</v>
      </c>
      <c r="B2335" s="207" t="str">
        <f>VLOOKUP(VALUE(D2335),$D$3:F$106,3,FALSE)</f>
        <v>Extended School Year/SPED</v>
      </c>
      <c r="C2335" s="751" t="s">
        <v>246</v>
      </c>
      <c r="D2335" s="751" t="s">
        <v>751</v>
      </c>
      <c r="E2335" s="751" t="s">
        <v>1616</v>
      </c>
      <c r="F2335" s="751" t="s">
        <v>254</v>
      </c>
      <c r="G2335" s="752" t="s">
        <v>1681</v>
      </c>
      <c r="H2335" s="753">
        <v>52360</v>
      </c>
      <c r="I2335" s="754">
        <v>5136.8100000000004</v>
      </c>
      <c r="J2335" s="754">
        <v>0</v>
      </c>
      <c r="K2335" s="754">
        <v>0</v>
      </c>
      <c r="L2335" s="754">
        <v>5136.8100000000004</v>
      </c>
      <c r="M2335" s="754">
        <f t="shared" si="97"/>
        <v>5136.8100000000004</v>
      </c>
      <c r="N2335" s="756">
        <v>5136.8100000000004</v>
      </c>
      <c r="O2335" s="720">
        <f t="shared" si="98"/>
        <v>0</v>
      </c>
    </row>
    <row r="2336" spans="1:15" outlineLevel="2" x14ac:dyDescent="0.25">
      <c r="A2336" s="207" t="e">
        <f>VLOOKUP(RIGHT(E2336,3)+0,SchLocTable!$A$2:$B$47,2,FALSE)</f>
        <v>#N/A</v>
      </c>
      <c r="B2336" s="207" t="str">
        <f>VLOOKUP(VALUE(D2336),$D$3:F$106,3,FALSE)</f>
        <v>Extended School Year/SPED</v>
      </c>
      <c r="C2336" s="751" t="s">
        <v>246</v>
      </c>
      <c r="D2336" s="751" t="s">
        <v>751</v>
      </c>
      <c r="E2336" s="751" t="s">
        <v>1616</v>
      </c>
      <c r="F2336" s="751" t="s">
        <v>292</v>
      </c>
      <c r="G2336" s="752" t="s">
        <v>1681</v>
      </c>
      <c r="H2336" s="753">
        <v>52385</v>
      </c>
      <c r="I2336" s="754">
        <v>695.27</v>
      </c>
      <c r="J2336" s="754">
        <v>0</v>
      </c>
      <c r="K2336" s="754">
        <v>0</v>
      </c>
      <c r="L2336" s="754">
        <v>695.27</v>
      </c>
      <c r="M2336" s="754">
        <f t="shared" si="97"/>
        <v>695.27</v>
      </c>
      <c r="N2336" s="756">
        <v>695.27</v>
      </c>
      <c r="O2336" s="720">
        <f t="shared" si="98"/>
        <v>0</v>
      </c>
    </row>
    <row r="2337" spans="1:15" outlineLevel="2" x14ac:dyDescent="0.25">
      <c r="A2337" s="207" t="e">
        <f>VLOOKUP(RIGHT(E2337,3)+0,SchLocTable!$A$2:$B$47,2,FALSE)</f>
        <v>#N/A</v>
      </c>
      <c r="B2337" s="207" t="str">
        <f>VLOOKUP(VALUE(D2337),$D$3:F$106,3,FALSE)</f>
        <v>Extended School Year/SPED</v>
      </c>
      <c r="C2337" s="751" t="s">
        <v>246</v>
      </c>
      <c r="D2337" s="751" t="s">
        <v>751</v>
      </c>
      <c r="E2337" s="751" t="s">
        <v>1616</v>
      </c>
      <c r="F2337" s="751" t="s">
        <v>331</v>
      </c>
      <c r="G2337" s="752" t="s">
        <v>1681</v>
      </c>
      <c r="H2337" s="753">
        <v>52504</v>
      </c>
      <c r="I2337" s="754">
        <v>19044.98</v>
      </c>
      <c r="J2337" s="754">
        <v>0</v>
      </c>
      <c r="K2337" s="754">
        <v>0</v>
      </c>
      <c r="L2337" s="754">
        <v>19044.98</v>
      </c>
      <c r="M2337" s="754">
        <f t="shared" si="97"/>
        <v>19044.98</v>
      </c>
      <c r="N2337" s="756">
        <v>19044.98</v>
      </c>
      <c r="O2337" s="720">
        <f t="shared" si="98"/>
        <v>0</v>
      </c>
    </row>
    <row r="2338" spans="1:15" outlineLevel="2" x14ac:dyDescent="0.25">
      <c r="A2338" s="207" t="e">
        <f>VLOOKUP(RIGHT(E2338,3)+0,SchLocTable!$A$2:$B$47,2,FALSE)</f>
        <v>#N/A</v>
      </c>
      <c r="B2338" s="207" t="str">
        <f>VLOOKUP(VALUE(D2338),$D$3:F$106,3,FALSE)</f>
        <v>Extended School Year/SPED</v>
      </c>
      <c r="C2338" s="751" t="s">
        <v>246</v>
      </c>
      <c r="D2338" s="751" t="s">
        <v>751</v>
      </c>
      <c r="E2338" s="751" t="s">
        <v>1616</v>
      </c>
      <c r="F2338" s="751" t="s">
        <v>323</v>
      </c>
      <c r="G2338" s="752" t="s">
        <v>1681</v>
      </c>
      <c r="H2338" s="753">
        <v>56115</v>
      </c>
      <c r="I2338" s="754">
        <v>200000</v>
      </c>
      <c r="J2338" s="754">
        <v>0</v>
      </c>
      <c r="K2338" s="754">
        <v>0</v>
      </c>
      <c r="L2338" s="754">
        <v>199878.59</v>
      </c>
      <c r="M2338" s="754">
        <f t="shared" si="97"/>
        <v>199878.59</v>
      </c>
      <c r="N2338" s="756">
        <v>200000</v>
      </c>
      <c r="O2338" s="720">
        <f t="shared" si="98"/>
        <v>0</v>
      </c>
    </row>
    <row r="2339" spans="1:15" outlineLevel="2" x14ac:dyDescent="0.25">
      <c r="A2339" s="207" t="e">
        <f>VLOOKUP(RIGHT(E2339,3)+0,SchLocTable!$A$2:$B$47,2,FALSE)</f>
        <v>#N/A</v>
      </c>
      <c r="B2339" s="207" t="str">
        <f>VLOOKUP(VALUE(D2339),$D$3:F$106,3,FALSE)</f>
        <v>Hearing</v>
      </c>
      <c r="C2339" s="751" t="s">
        <v>246</v>
      </c>
      <c r="D2339" s="751" t="s">
        <v>752</v>
      </c>
      <c r="E2339" s="751" t="s">
        <v>1761</v>
      </c>
      <c r="F2339" s="751" t="s">
        <v>248</v>
      </c>
      <c r="G2339" s="752">
        <v>1</v>
      </c>
      <c r="H2339" s="753">
        <v>51000</v>
      </c>
      <c r="I2339" s="754">
        <v>61180.49</v>
      </c>
      <c r="J2339" s="754">
        <v>0</v>
      </c>
      <c r="K2339" s="754">
        <v>0</v>
      </c>
      <c r="L2339" s="754">
        <v>11720.4</v>
      </c>
      <c r="M2339" s="754">
        <f t="shared" si="97"/>
        <v>11720.4</v>
      </c>
      <c r="N2339" s="756">
        <v>61180.49</v>
      </c>
      <c r="O2339" s="720">
        <f t="shared" si="98"/>
        <v>0</v>
      </c>
    </row>
    <row r="2340" spans="1:15" outlineLevel="2" x14ac:dyDescent="0.25">
      <c r="A2340" s="207" t="e">
        <f>VLOOKUP(RIGHT(E2340,3)+0,SchLocTable!$A$2:$B$47,2,FALSE)</f>
        <v>#N/A</v>
      </c>
      <c r="B2340" s="207" t="str">
        <f>VLOOKUP(VALUE(D2340),$D$3:F$106,3,FALSE)</f>
        <v>Hearing</v>
      </c>
      <c r="C2340" s="751" t="s">
        <v>246</v>
      </c>
      <c r="D2340" s="751" t="s">
        <v>752</v>
      </c>
      <c r="E2340" s="751" t="s">
        <v>1761</v>
      </c>
      <c r="F2340" s="751" t="s">
        <v>454</v>
      </c>
      <c r="G2340" s="752" t="s">
        <v>1681</v>
      </c>
      <c r="H2340" s="753">
        <v>51404</v>
      </c>
      <c r="I2340" s="754">
        <v>0</v>
      </c>
      <c r="J2340" s="754">
        <v>0</v>
      </c>
      <c r="K2340" s="754">
        <v>0</v>
      </c>
      <c r="L2340" s="754">
        <v>0</v>
      </c>
      <c r="M2340" s="754">
        <f t="shared" si="97"/>
        <v>0</v>
      </c>
      <c r="N2340" s="756">
        <v>0</v>
      </c>
      <c r="O2340" s="720">
        <f t="shared" si="98"/>
        <v>0</v>
      </c>
    </row>
    <row r="2341" spans="1:15" outlineLevel="2" x14ac:dyDescent="0.25">
      <c r="A2341" s="207" t="e">
        <f>VLOOKUP(RIGHT(E2341,3)+0,SchLocTable!$A$2:$B$47,2,FALSE)</f>
        <v>#N/A</v>
      </c>
      <c r="B2341" s="207" t="str">
        <f>VLOOKUP(VALUE(D2341),$D$3:F$106,3,FALSE)</f>
        <v>Hearing</v>
      </c>
      <c r="C2341" s="751" t="s">
        <v>246</v>
      </c>
      <c r="D2341" s="751" t="s">
        <v>752</v>
      </c>
      <c r="E2341" s="751" t="s">
        <v>1761</v>
      </c>
      <c r="F2341" s="751" t="s">
        <v>254</v>
      </c>
      <c r="G2341" s="752" t="s">
        <v>1681</v>
      </c>
      <c r="H2341" s="753">
        <v>52360</v>
      </c>
      <c r="I2341" s="754">
        <v>875.08</v>
      </c>
      <c r="J2341" s="754">
        <v>0</v>
      </c>
      <c r="K2341" s="754">
        <v>0</v>
      </c>
      <c r="L2341" s="754">
        <v>157.91</v>
      </c>
      <c r="M2341" s="754">
        <f t="shared" si="97"/>
        <v>157.91</v>
      </c>
      <c r="N2341" s="756">
        <v>875.08</v>
      </c>
      <c r="O2341" s="720">
        <f t="shared" si="98"/>
        <v>0</v>
      </c>
    </row>
    <row r="2342" spans="1:15" outlineLevel="2" x14ac:dyDescent="0.25">
      <c r="A2342" s="207" t="e">
        <f>VLOOKUP(RIGHT(E2342,3)+0,SchLocTable!$A$2:$B$47,2,FALSE)</f>
        <v>#N/A</v>
      </c>
      <c r="B2342" s="207" t="str">
        <f>VLOOKUP(VALUE(D2342),$D$3:F$106,3,FALSE)</f>
        <v>Hearing</v>
      </c>
      <c r="C2342" s="751" t="s">
        <v>246</v>
      </c>
      <c r="D2342" s="751" t="s">
        <v>752</v>
      </c>
      <c r="E2342" s="751" t="s">
        <v>1761</v>
      </c>
      <c r="F2342" s="751" t="s">
        <v>259</v>
      </c>
      <c r="G2342" s="752" t="s">
        <v>1681</v>
      </c>
      <c r="H2342" s="753">
        <v>52917</v>
      </c>
      <c r="I2342" s="754">
        <v>11844</v>
      </c>
      <c r="J2342" s="754">
        <v>0</v>
      </c>
      <c r="K2342" s="754">
        <v>0</v>
      </c>
      <c r="L2342" s="754">
        <v>2820</v>
      </c>
      <c r="M2342" s="754">
        <f t="shared" si="97"/>
        <v>2820</v>
      </c>
      <c r="N2342" s="756">
        <v>11844</v>
      </c>
      <c r="O2342" s="720">
        <f t="shared" si="98"/>
        <v>0</v>
      </c>
    </row>
    <row r="2343" spans="1:15" outlineLevel="2" x14ac:dyDescent="0.25">
      <c r="A2343" s="207" t="str">
        <f>VLOOKUP(RIGHT(E2343,3)+0,SchLocTable!$A$2:$B$47,2,FALSE)</f>
        <v>Tisdale</v>
      </c>
      <c r="B2343" s="207" t="str">
        <f>VLOOKUP(VALUE(D2343),$D$3:F$106,3,FALSE)</f>
        <v>Hearing</v>
      </c>
      <c r="C2343" s="751" t="s">
        <v>246</v>
      </c>
      <c r="D2343" s="751" t="s">
        <v>752</v>
      </c>
      <c r="E2343" s="751" t="s">
        <v>753</v>
      </c>
      <c r="F2343" s="751" t="s">
        <v>248</v>
      </c>
      <c r="G2343" s="752">
        <v>1</v>
      </c>
      <c r="H2343" s="753">
        <v>51000</v>
      </c>
      <c r="I2343" s="754">
        <v>84260.72</v>
      </c>
      <c r="J2343" s="754">
        <v>0</v>
      </c>
      <c r="K2343" s="754">
        <v>0</v>
      </c>
      <c r="L2343" s="754">
        <v>16141.9</v>
      </c>
      <c r="M2343" s="754">
        <f t="shared" si="97"/>
        <v>16141.9</v>
      </c>
      <c r="N2343" s="756">
        <v>84260.72</v>
      </c>
      <c r="O2343" s="720">
        <f t="shared" si="98"/>
        <v>0</v>
      </c>
    </row>
    <row r="2344" spans="1:15" outlineLevel="2" x14ac:dyDescent="0.25">
      <c r="A2344" s="207" t="str">
        <f>VLOOKUP(RIGHT(E2344,3)+0,SchLocTable!$A$2:$B$47,2,FALSE)</f>
        <v>Tisdale</v>
      </c>
      <c r="B2344" s="207" t="str">
        <f>VLOOKUP(VALUE(D2344),$D$3:F$106,3,FALSE)</f>
        <v>Hearing</v>
      </c>
      <c r="C2344" s="751" t="s">
        <v>246</v>
      </c>
      <c r="D2344" s="751" t="s">
        <v>752</v>
      </c>
      <c r="E2344" s="751" t="s">
        <v>753</v>
      </c>
      <c r="F2344" s="751" t="s">
        <v>257</v>
      </c>
      <c r="G2344" s="752" t="s">
        <v>1681</v>
      </c>
      <c r="H2344" s="753">
        <v>51140</v>
      </c>
      <c r="I2344" s="754">
        <v>0</v>
      </c>
      <c r="J2344" s="754">
        <v>0</v>
      </c>
      <c r="K2344" s="754">
        <v>0</v>
      </c>
      <c r="L2344" s="754">
        <v>0</v>
      </c>
      <c r="M2344" s="754">
        <f t="shared" si="97"/>
        <v>0</v>
      </c>
      <c r="N2344" s="756">
        <v>0</v>
      </c>
      <c r="O2344" s="720">
        <f t="shared" si="98"/>
        <v>0</v>
      </c>
    </row>
    <row r="2345" spans="1:15" outlineLevel="2" x14ac:dyDescent="0.25">
      <c r="A2345" s="207" t="str">
        <f>VLOOKUP(RIGHT(E2345,3)+0,SchLocTable!$A$2:$B$47,2,FALSE)</f>
        <v>Tisdale</v>
      </c>
      <c r="B2345" s="207" t="str">
        <f>VLOOKUP(VALUE(D2345),$D$3:F$106,3,FALSE)</f>
        <v>Hearing</v>
      </c>
      <c r="C2345" s="751" t="s">
        <v>246</v>
      </c>
      <c r="D2345" s="751" t="s">
        <v>752</v>
      </c>
      <c r="E2345" s="751" t="s">
        <v>753</v>
      </c>
      <c r="F2345" s="751" t="s">
        <v>454</v>
      </c>
      <c r="G2345" s="752" t="s">
        <v>1681</v>
      </c>
      <c r="H2345" s="753">
        <v>51404</v>
      </c>
      <c r="I2345" s="754">
        <v>0</v>
      </c>
      <c r="J2345" s="754">
        <v>0</v>
      </c>
      <c r="K2345" s="754">
        <v>0</v>
      </c>
      <c r="L2345" s="754">
        <v>0</v>
      </c>
      <c r="M2345" s="754">
        <f t="shared" si="97"/>
        <v>0</v>
      </c>
      <c r="N2345" s="756">
        <v>0</v>
      </c>
      <c r="O2345" s="720">
        <f t="shared" si="98"/>
        <v>0</v>
      </c>
    </row>
    <row r="2346" spans="1:15" outlineLevel="2" x14ac:dyDescent="0.25">
      <c r="A2346" s="207" t="str">
        <f>VLOOKUP(RIGHT(E2346,3)+0,SchLocTable!$A$2:$B$47,2,FALSE)</f>
        <v>Tisdale</v>
      </c>
      <c r="B2346" s="207" t="str">
        <f>VLOOKUP(VALUE(D2346),$D$3:F$106,3,FALSE)</f>
        <v>Hearing</v>
      </c>
      <c r="C2346" s="751" t="s">
        <v>246</v>
      </c>
      <c r="D2346" s="751" t="s">
        <v>752</v>
      </c>
      <c r="E2346" s="751" t="s">
        <v>753</v>
      </c>
      <c r="F2346" s="751" t="s">
        <v>254</v>
      </c>
      <c r="G2346" s="752" t="s">
        <v>1681</v>
      </c>
      <c r="H2346" s="753">
        <v>52360</v>
      </c>
      <c r="I2346" s="754">
        <v>1209.74</v>
      </c>
      <c r="J2346" s="754">
        <v>0</v>
      </c>
      <c r="K2346" s="754">
        <v>0</v>
      </c>
      <c r="L2346" s="754">
        <v>222.02</v>
      </c>
      <c r="M2346" s="754">
        <f t="shared" si="97"/>
        <v>222.02</v>
      </c>
      <c r="N2346" s="756">
        <v>1209.74</v>
      </c>
      <c r="O2346" s="720">
        <f t="shared" si="98"/>
        <v>0</v>
      </c>
    </row>
    <row r="2347" spans="1:15" outlineLevel="2" x14ac:dyDescent="0.25">
      <c r="A2347" s="207" t="str">
        <f>VLOOKUP(RIGHT(E2347,3)+0,SchLocTable!$A$2:$B$47,2,FALSE)</f>
        <v>Tisdale</v>
      </c>
      <c r="B2347" s="207" t="str">
        <f>VLOOKUP(VALUE(D2347),$D$3:F$106,3,FALSE)</f>
        <v>Hearing</v>
      </c>
      <c r="C2347" s="751" t="s">
        <v>246</v>
      </c>
      <c r="D2347" s="751" t="s">
        <v>752</v>
      </c>
      <c r="E2347" s="751" t="s">
        <v>753</v>
      </c>
      <c r="F2347" s="751" t="s">
        <v>331</v>
      </c>
      <c r="G2347" s="752" t="s">
        <v>1681</v>
      </c>
      <c r="H2347" s="753">
        <v>52504</v>
      </c>
      <c r="I2347" s="754">
        <v>0</v>
      </c>
      <c r="J2347" s="754">
        <v>0</v>
      </c>
      <c r="K2347" s="754">
        <v>0</v>
      </c>
      <c r="L2347" s="754">
        <v>0</v>
      </c>
      <c r="M2347" s="754">
        <f t="shared" si="97"/>
        <v>0</v>
      </c>
      <c r="N2347" s="756">
        <v>0</v>
      </c>
      <c r="O2347" s="720">
        <f t="shared" si="98"/>
        <v>0</v>
      </c>
    </row>
    <row r="2348" spans="1:15" outlineLevel="2" x14ac:dyDescent="0.25">
      <c r="A2348" s="207" t="str">
        <f>VLOOKUP(RIGHT(E2348,3)+0,SchLocTable!$A$2:$B$47,2,FALSE)</f>
        <v>Tisdale</v>
      </c>
      <c r="B2348" s="207" t="str">
        <f>VLOOKUP(VALUE(D2348),$D$3:F$106,3,FALSE)</f>
        <v>Hearing</v>
      </c>
      <c r="C2348" s="751" t="s">
        <v>246</v>
      </c>
      <c r="D2348" s="751" t="s">
        <v>752</v>
      </c>
      <c r="E2348" s="751" t="s">
        <v>753</v>
      </c>
      <c r="F2348" s="751" t="s">
        <v>259</v>
      </c>
      <c r="G2348" s="752" t="s">
        <v>1681</v>
      </c>
      <c r="H2348" s="753">
        <v>52917</v>
      </c>
      <c r="I2348" s="754">
        <v>11844</v>
      </c>
      <c r="J2348" s="754">
        <v>0</v>
      </c>
      <c r="K2348" s="754">
        <v>0</v>
      </c>
      <c r="L2348" s="754">
        <v>2820</v>
      </c>
      <c r="M2348" s="754">
        <f t="shared" si="97"/>
        <v>2820</v>
      </c>
      <c r="N2348" s="756">
        <v>11844</v>
      </c>
      <c r="O2348" s="720">
        <f t="shared" si="98"/>
        <v>0</v>
      </c>
    </row>
    <row r="2349" spans="1:15" outlineLevel="2" x14ac:dyDescent="0.25">
      <c r="A2349" s="207" t="str">
        <f>VLOOKUP(RIGHT(E2349,3)+0,SchLocTable!$A$2:$B$47,2,FALSE)</f>
        <v>Roosevelt</v>
      </c>
      <c r="B2349" s="207" t="str">
        <f>VLOOKUP(VALUE(D2349),$D$3:F$106,3,FALSE)</f>
        <v>Hearing</v>
      </c>
      <c r="C2349" s="751" t="s">
        <v>246</v>
      </c>
      <c r="D2349" s="751" t="s">
        <v>752</v>
      </c>
      <c r="E2349" s="751" t="s">
        <v>2005</v>
      </c>
      <c r="F2349" s="751" t="s">
        <v>248</v>
      </c>
      <c r="G2349" s="752">
        <v>1</v>
      </c>
      <c r="H2349" s="753">
        <v>51000</v>
      </c>
      <c r="I2349" s="754">
        <v>51717.75</v>
      </c>
      <c r="J2349" s="754">
        <v>0</v>
      </c>
      <c r="K2349" s="754">
        <v>0</v>
      </c>
      <c r="L2349" s="754">
        <v>15618.8</v>
      </c>
      <c r="M2349" s="754">
        <f t="shared" si="97"/>
        <v>15618.8</v>
      </c>
      <c r="N2349" s="756">
        <v>51717.75</v>
      </c>
      <c r="O2349" s="720">
        <f t="shared" si="98"/>
        <v>0</v>
      </c>
    </row>
    <row r="2350" spans="1:15" outlineLevel="2" x14ac:dyDescent="0.25">
      <c r="A2350" s="207" t="str">
        <f>VLOOKUP(RIGHT(E2350,3)+0,SchLocTable!$A$2:$B$47,2,FALSE)</f>
        <v>Roosevelt</v>
      </c>
      <c r="B2350" s="207" t="str">
        <f>VLOOKUP(VALUE(D2350),$D$3:F$106,3,FALSE)</f>
        <v>Hearing</v>
      </c>
      <c r="C2350" s="755" t="s">
        <v>246</v>
      </c>
      <c r="D2350" s="751" t="s">
        <v>752</v>
      </c>
      <c r="E2350" s="751" t="s">
        <v>2005</v>
      </c>
      <c r="F2350" s="751" t="s">
        <v>257</v>
      </c>
      <c r="G2350" s="752" t="s">
        <v>1681</v>
      </c>
      <c r="H2350" s="753">
        <v>51140</v>
      </c>
      <c r="I2350" s="754">
        <v>1610</v>
      </c>
      <c r="J2350" s="754">
        <v>0</v>
      </c>
      <c r="K2350" s="754">
        <v>0</v>
      </c>
      <c r="L2350" s="754">
        <v>0</v>
      </c>
      <c r="M2350" s="754">
        <f t="shared" si="97"/>
        <v>0</v>
      </c>
      <c r="N2350" s="756">
        <v>1610</v>
      </c>
      <c r="O2350" s="720">
        <f t="shared" si="98"/>
        <v>0</v>
      </c>
    </row>
    <row r="2351" spans="1:15" outlineLevel="2" x14ac:dyDescent="0.25">
      <c r="A2351" s="207" t="str">
        <f>VLOOKUP(RIGHT(E2351,3)+0,SchLocTable!$A$2:$B$47,2,FALSE)</f>
        <v>Roosevelt</v>
      </c>
      <c r="B2351" s="207" t="str">
        <f>VLOOKUP(VALUE(D2351),$D$3:F$106,3,FALSE)</f>
        <v>Hearing</v>
      </c>
      <c r="C2351" s="751" t="s">
        <v>246</v>
      </c>
      <c r="D2351" s="751" t="s">
        <v>752</v>
      </c>
      <c r="E2351" s="751" t="s">
        <v>2005</v>
      </c>
      <c r="F2351" s="751" t="s">
        <v>254</v>
      </c>
      <c r="G2351" s="752" t="s">
        <v>1681</v>
      </c>
      <c r="H2351" s="753">
        <v>52360</v>
      </c>
      <c r="I2351" s="754">
        <v>712.76</v>
      </c>
      <c r="J2351" s="754">
        <v>0</v>
      </c>
      <c r="K2351" s="754">
        <v>0</v>
      </c>
      <c r="L2351" s="754">
        <v>189.33</v>
      </c>
      <c r="M2351" s="754">
        <f t="shared" si="97"/>
        <v>189.33</v>
      </c>
      <c r="N2351" s="756">
        <v>712.76</v>
      </c>
      <c r="O2351" s="720">
        <f t="shared" si="98"/>
        <v>0</v>
      </c>
    </row>
    <row r="2352" spans="1:15" outlineLevel="2" x14ac:dyDescent="0.25">
      <c r="A2352" s="207" t="str">
        <f>VLOOKUP(RIGHT(E2352,3)+0,SchLocTable!$A$2:$B$47,2,FALSE)</f>
        <v>Roosevelt</v>
      </c>
      <c r="B2352" s="207" t="str">
        <f>VLOOKUP(VALUE(D2352),$D$3:F$106,3,FALSE)</f>
        <v>Hearing</v>
      </c>
      <c r="C2352" s="751" t="s">
        <v>246</v>
      </c>
      <c r="D2352" s="751" t="s">
        <v>752</v>
      </c>
      <c r="E2352" s="751" t="s">
        <v>2005</v>
      </c>
      <c r="F2352" s="751" t="s">
        <v>331</v>
      </c>
      <c r="G2352" s="752" t="s">
        <v>1681</v>
      </c>
      <c r="H2352" s="753">
        <v>52504</v>
      </c>
      <c r="I2352" s="754">
        <v>10648.69</v>
      </c>
      <c r="J2352" s="754">
        <v>0</v>
      </c>
      <c r="K2352" s="754">
        <v>0</v>
      </c>
      <c r="L2352" s="754">
        <v>3215.92</v>
      </c>
      <c r="M2352" s="754">
        <f t="shared" si="97"/>
        <v>3215.92</v>
      </c>
      <c r="N2352" s="756">
        <v>10648.69</v>
      </c>
      <c r="O2352" s="720">
        <f t="shared" si="98"/>
        <v>0</v>
      </c>
    </row>
    <row r="2353" spans="1:15" outlineLevel="2" x14ac:dyDescent="0.25">
      <c r="A2353" s="207" t="str">
        <f>VLOOKUP(RIGHT(E2353,3)+0,SchLocTable!$A$2:$B$47,2,FALSE)</f>
        <v>Roosevelt</v>
      </c>
      <c r="B2353" s="207" t="str">
        <f>VLOOKUP(VALUE(D2353),$D$3:F$106,3,FALSE)</f>
        <v>Hearing</v>
      </c>
      <c r="C2353" s="751" t="s">
        <v>246</v>
      </c>
      <c r="D2353" s="751" t="s">
        <v>752</v>
      </c>
      <c r="E2353" s="751" t="s">
        <v>2005</v>
      </c>
      <c r="F2353" s="751" t="s">
        <v>259</v>
      </c>
      <c r="G2353" s="752" t="s">
        <v>1681</v>
      </c>
      <c r="H2353" s="753">
        <v>52917</v>
      </c>
      <c r="I2353" s="754">
        <v>27270.37</v>
      </c>
      <c r="J2353" s="754">
        <v>0</v>
      </c>
      <c r="K2353" s="754">
        <v>0</v>
      </c>
      <c r="L2353" s="754">
        <v>7952.42</v>
      </c>
      <c r="M2353" s="754">
        <f t="shared" si="97"/>
        <v>7952.42</v>
      </c>
      <c r="N2353" s="756">
        <v>27270.37</v>
      </c>
      <c r="O2353" s="720">
        <f t="shared" si="98"/>
        <v>0</v>
      </c>
    </row>
    <row r="2354" spans="1:15" outlineLevel="2" x14ac:dyDescent="0.25">
      <c r="A2354" s="207" t="e">
        <f>VLOOKUP(RIGHT(E2354,3)+0,SchLocTable!$A$2:$B$47,2,FALSE)</f>
        <v>#N/A</v>
      </c>
      <c r="B2354" s="207" t="str">
        <f>VLOOKUP(VALUE(D2354),$D$3:F$106,3,FALSE)</f>
        <v>Instructional Support Positions</v>
      </c>
      <c r="C2354" s="751" t="s">
        <v>246</v>
      </c>
      <c r="D2354" s="751" t="s">
        <v>2122</v>
      </c>
      <c r="E2354" s="751" t="s">
        <v>2123</v>
      </c>
      <c r="F2354" s="751" t="s">
        <v>257</v>
      </c>
      <c r="G2354" s="752" t="s">
        <v>1681</v>
      </c>
      <c r="H2354" s="753">
        <v>51140</v>
      </c>
      <c r="I2354" s="754">
        <v>1800</v>
      </c>
      <c r="J2354" s="754">
        <v>0</v>
      </c>
      <c r="K2354" s="754">
        <v>0</v>
      </c>
      <c r="L2354" s="754">
        <v>0</v>
      </c>
      <c r="M2354" s="754">
        <f t="shared" si="97"/>
        <v>0</v>
      </c>
      <c r="N2354" s="756">
        <v>1800</v>
      </c>
      <c r="O2354" s="720">
        <f t="shared" si="98"/>
        <v>0</v>
      </c>
    </row>
    <row r="2355" spans="1:15" outlineLevel="2" x14ac:dyDescent="0.25">
      <c r="A2355" s="207" t="e">
        <f>VLOOKUP(RIGHT(E2355,3)+0,SchLocTable!$A$2:$B$47,2,FALSE)</f>
        <v>#N/A</v>
      </c>
      <c r="B2355" s="207" t="str">
        <f>VLOOKUP(VALUE(D2355),$D$3:F$106,3,FALSE)</f>
        <v>Instructional Support Positions</v>
      </c>
      <c r="C2355" s="751" t="s">
        <v>246</v>
      </c>
      <c r="D2355" s="751" t="s">
        <v>2122</v>
      </c>
      <c r="E2355" s="751" t="s">
        <v>2123</v>
      </c>
      <c r="F2355" s="751" t="s">
        <v>254</v>
      </c>
      <c r="G2355" s="752" t="s">
        <v>1681</v>
      </c>
      <c r="H2355" s="753">
        <v>52360</v>
      </c>
      <c r="I2355" s="754">
        <v>0</v>
      </c>
      <c r="J2355" s="754">
        <v>0</v>
      </c>
      <c r="K2355" s="754">
        <v>0</v>
      </c>
      <c r="L2355" s="754">
        <v>0</v>
      </c>
      <c r="M2355" s="754">
        <f t="shared" si="97"/>
        <v>0</v>
      </c>
      <c r="N2355" s="756">
        <v>0</v>
      </c>
      <c r="O2355" s="720">
        <f t="shared" si="98"/>
        <v>0</v>
      </c>
    </row>
    <row r="2356" spans="1:15" outlineLevel="2" x14ac:dyDescent="0.25">
      <c r="A2356" s="207" t="str">
        <f>VLOOKUP(RIGHT(E2356,3)+0,SchLocTable!$A$2:$B$47,2,FALSE)</f>
        <v>Barnum</v>
      </c>
      <c r="B2356" s="207" t="str">
        <f>VLOOKUP(VALUE(D2356),$D$3:F$106,3,FALSE)</f>
        <v>Instructional Support Positions</v>
      </c>
      <c r="C2356" s="751" t="s">
        <v>246</v>
      </c>
      <c r="D2356" s="751" t="s">
        <v>2122</v>
      </c>
      <c r="E2356" s="751" t="s">
        <v>2124</v>
      </c>
      <c r="F2356" s="751" t="s">
        <v>257</v>
      </c>
      <c r="G2356" s="752" t="s">
        <v>1681</v>
      </c>
      <c r="H2356" s="753">
        <v>51140</v>
      </c>
      <c r="I2356" s="754">
        <v>900</v>
      </c>
      <c r="J2356" s="754">
        <v>0</v>
      </c>
      <c r="K2356" s="754">
        <v>0</v>
      </c>
      <c r="L2356" s="754">
        <v>0</v>
      </c>
      <c r="M2356" s="754">
        <f t="shared" si="97"/>
        <v>0</v>
      </c>
      <c r="N2356" s="756">
        <v>900</v>
      </c>
      <c r="O2356" s="720">
        <f t="shared" si="98"/>
        <v>0</v>
      </c>
    </row>
    <row r="2357" spans="1:15" outlineLevel="2" x14ac:dyDescent="0.25">
      <c r="A2357" s="207" t="str">
        <f>VLOOKUP(RIGHT(E2357,3)+0,SchLocTable!$A$2:$B$47,2,FALSE)</f>
        <v>Claytor</v>
      </c>
      <c r="B2357" s="207" t="str">
        <f>VLOOKUP(VALUE(D2357),$D$3:F$106,3,FALSE)</f>
        <v>Instructional Support Positions</v>
      </c>
      <c r="C2357" s="751" t="s">
        <v>246</v>
      </c>
      <c r="D2357" s="751" t="s">
        <v>2122</v>
      </c>
      <c r="E2357" s="751" t="s">
        <v>2125</v>
      </c>
      <c r="F2357" s="751" t="s">
        <v>257</v>
      </c>
      <c r="G2357" s="752" t="s">
        <v>1681</v>
      </c>
      <c r="H2357" s="753">
        <v>51140</v>
      </c>
      <c r="I2357" s="754">
        <v>2400</v>
      </c>
      <c r="J2357" s="754">
        <v>0</v>
      </c>
      <c r="K2357" s="754">
        <v>0</v>
      </c>
      <c r="L2357" s="754">
        <v>0</v>
      </c>
      <c r="M2357" s="754">
        <f t="shared" si="97"/>
        <v>0</v>
      </c>
      <c r="N2357" s="756">
        <v>2400</v>
      </c>
      <c r="O2357" s="720">
        <f t="shared" si="98"/>
        <v>0</v>
      </c>
    </row>
    <row r="2358" spans="1:15" outlineLevel="2" x14ac:dyDescent="0.25">
      <c r="A2358" s="207" t="str">
        <f>VLOOKUP(RIGHT(E2358,3)+0,SchLocTable!$A$2:$B$47,2,FALSE)</f>
        <v>Claytor</v>
      </c>
      <c r="B2358" s="207" t="str">
        <f>VLOOKUP(VALUE(D2358),$D$3:F$106,3,FALSE)</f>
        <v>Instructional Support Positions</v>
      </c>
      <c r="C2358" s="751" t="s">
        <v>246</v>
      </c>
      <c r="D2358" s="751" t="s">
        <v>2122</v>
      </c>
      <c r="E2358" s="751" t="s">
        <v>2125</v>
      </c>
      <c r="F2358" s="751" t="s">
        <v>254</v>
      </c>
      <c r="G2358" s="752" t="s">
        <v>1681</v>
      </c>
      <c r="H2358" s="753">
        <v>52360</v>
      </c>
      <c r="I2358" s="754">
        <v>0</v>
      </c>
      <c r="J2358" s="754">
        <v>0</v>
      </c>
      <c r="K2358" s="754">
        <v>0</v>
      </c>
      <c r="L2358" s="754">
        <v>0</v>
      </c>
      <c r="M2358" s="754">
        <f t="shared" si="97"/>
        <v>0</v>
      </c>
      <c r="N2358" s="756">
        <v>0</v>
      </c>
      <c r="O2358" s="720">
        <f t="shared" si="98"/>
        <v>0</v>
      </c>
    </row>
    <row r="2359" spans="1:15" outlineLevel="2" x14ac:dyDescent="0.25">
      <c r="A2359" s="207" t="str">
        <f>VLOOKUP(RIGHT(E2359,3)+0,SchLocTable!$A$2:$B$47,2,FALSE)</f>
        <v>Curiale</v>
      </c>
      <c r="B2359" s="207" t="str">
        <f>VLOOKUP(VALUE(D2359),$D$3:F$106,3,FALSE)</f>
        <v>Instructional Support Positions</v>
      </c>
      <c r="C2359" s="751" t="s">
        <v>246</v>
      </c>
      <c r="D2359" s="751" t="s">
        <v>2122</v>
      </c>
      <c r="E2359" s="751" t="s">
        <v>2126</v>
      </c>
      <c r="F2359" s="751" t="s">
        <v>257</v>
      </c>
      <c r="G2359" s="752" t="s">
        <v>1681</v>
      </c>
      <c r="H2359" s="753">
        <v>51140</v>
      </c>
      <c r="I2359" s="754">
        <v>1100</v>
      </c>
      <c r="J2359" s="754">
        <v>0</v>
      </c>
      <c r="K2359" s="754">
        <v>0</v>
      </c>
      <c r="L2359" s="754">
        <v>0</v>
      </c>
      <c r="M2359" s="754">
        <f t="shared" si="97"/>
        <v>0</v>
      </c>
      <c r="N2359" s="756">
        <v>1100</v>
      </c>
      <c r="O2359" s="720">
        <f t="shared" si="98"/>
        <v>0</v>
      </c>
    </row>
    <row r="2360" spans="1:15" ht="15" customHeight="1" outlineLevel="2" x14ac:dyDescent="0.25">
      <c r="A2360" s="207" t="e">
        <f>VLOOKUP(RIGHT(E2360,3)+0,SchLocTable!$A$2:$B$47,2,FALSE)</f>
        <v>#N/A</v>
      </c>
      <c r="B2360" s="207" t="str">
        <f>VLOOKUP(VALUE(D2360),$D$3:F$106,3,FALSE)</f>
        <v>Aquaculture</v>
      </c>
      <c r="C2360" s="751" t="s">
        <v>246</v>
      </c>
      <c r="D2360" s="751" t="s">
        <v>754</v>
      </c>
      <c r="E2360" s="751" t="s">
        <v>755</v>
      </c>
      <c r="F2360" s="751" t="s">
        <v>248</v>
      </c>
      <c r="G2360" s="752">
        <v>14</v>
      </c>
      <c r="H2360" s="753">
        <v>51000</v>
      </c>
      <c r="I2360" s="754">
        <v>1370298.92</v>
      </c>
      <c r="J2360" s="754">
        <v>0</v>
      </c>
      <c r="K2360" s="754">
        <v>0</v>
      </c>
      <c r="L2360" s="754">
        <v>290262.42</v>
      </c>
      <c r="M2360" s="754">
        <f t="shared" si="97"/>
        <v>290262.42</v>
      </c>
      <c r="N2360" s="756">
        <v>1370298.92</v>
      </c>
      <c r="O2360" s="720">
        <f t="shared" si="98"/>
        <v>0</v>
      </c>
    </row>
    <row r="2361" spans="1:15" outlineLevel="2" x14ac:dyDescent="0.25">
      <c r="A2361" s="207" t="e">
        <f>VLOOKUP(RIGHT(E2361,3)+0,SchLocTable!$A$2:$B$47,2,FALSE)</f>
        <v>#N/A</v>
      </c>
      <c r="B2361" s="207" t="str">
        <f>VLOOKUP(VALUE(D2361),$D$3:F$106,3,FALSE)</f>
        <v>Aquaculture</v>
      </c>
      <c r="C2361" s="755" t="s">
        <v>246</v>
      </c>
      <c r="D2361" s="751" t="s">
        <v>754</v>
      </c>
      <c r="E2361" s="751" t="s">
        <v>755</v>
      </c>
      <c r="F2361" s="751" t="s">
        <v>250</v>
      </c>
      <c r="G2361" s="752" t="s">
        <v>1681</v>
      </c>
      <c r="H2361" s="753">
        <v>51100</v>
      </c>
      <c r="I2361" s="754">
        <v>21911.4</v>
      </c>
      <c r="J2361" s="754">
        <v>0</v>
      </c>
      <c r="K2361" s="754">
        <v>0</v>
      </c>
      <c r="L2361" s="754">
        <v>1386</v>
      </c>
      <c r="M2361" s="754">
        <f t="shared" si="97"/>
        <v>1386</v>
      </c>
      <c r="N2361" s="756">
        <v>21911.4</v>
      </c>
      <c r="O2361" s="720">
        <f t="shared" si="98"/>
        <v>0</v>
      </c>
    </row>
    <row r="2362" spans="1:15" outlineLevel="2" x14ac:dyDescent="0.25">
      <c r="A2362" s="207" t="e">
        <f>VLOOKUP(RIGHT(E2362,3)+0,SchLocTable!$A$2:$B$47,2,FALSE)</f>
        <v>#N/A</v>
      </c>
      <c r="B2362" s="207" t="str">
        <f>VLOOKUP(VALUE(D2362),$D$3:F$106,3,FALSE)</f>
        <v>Aquaculture</v>
      </c>
      <c r="C2362" s="751" t="s">
        <v>246</v>
      </c>
      <c r="D2362" s="751" t="s">
        <v>754</v>
      </c>
      <c r="E2362" s="751" t="s">
        <v>755</v>
      </c>
      <c r="F2362" s="751" t="s">
        <v>378</v>
      </c>
      <c r="G2362" s="752" t="s">
        <v>1681</v>
      </c>
      <c r="H2362" s="753">
        <v>51108</v>
      </c>
      <c r="I2362" s="754">
        <v>0</v>
      </c>
      <c r="J2362" s="754">
        <v>0</v>
      </c>
      <c r="K2362" s="754">
        <v>0</v>
      </c>
      <c r="L2362" s="754">
        <v>0</v>
      </c>
      <c r="M2362" s="754">
        <f t="shared" si="97"/>
        <v>0</v>
      </c>
      <c r="N2362" s="756">
        <v>0</v>
      </c>
      <c r="O2362" s="720">
        <f t="shared" si="98"/>
        <v>0</v>
      </c>
    </row>
    <row r="2363" spans="1:15" outlineLevel="2" x14ac:dyDescent="0.25">
      <c r="A2363" s="207" t="e">
        <f>VLOOKUP(RIGHT(E2363,3)+0,SchLocTable!$A$2:$B$47,2,FALSE)</f>
        <v>#N/A</v>
      </c>
      <c r="B2363" s="207" t="str">
        <f>VLOOKUP(VALUE(D2363),$D$3:F$106,3,FALSE)</f>
        <v>Aquaculture</v>
      </c>
      <c r="C2363" s="751" t="s">
        <v>246</v>
      </c>
      <c r="D2363" s="751" t="s">
        <v>754</v>
      </c>
      <c r="E2363" s="751" t="s">
        <v>755</v>
      </c>
      <c r="F2363" s="751" t="s">
        <v>380</v>
      </c>
      <c r="G2363" s="752" t="s">
        <v>1681</v>
      </c>
      <c r="H2363" s="753">
        <v>51122</v>
      </c>
      <c r="I2363" s="754">
        <v>0</v>
      </c>
      <c r="J2363" s="754">
        <v>0</v>
      </c>
      <c r="K2363" s="754">
        <v>0</v>
      </c>
      <c r="L2363" s="754">
        <v>0</v>
      </c>
      <c r="M2363" s="754">
        <f t="shared" si="97"/>
        <v>0</v>
      </c>
      <c r="N2363" s="756">
        <v>0</v>
      </c>
      <c r="O2363" s="720">
        <f t="shared" si="98"/>
        <v>0</v>
      </c>
    </row>
    <row r="2364" spans="1:15" outlineLevel="2" x14ac:dyDescent="0.25">
      <c r="A2364" s="207" t="e">
        <f>VLOOKUP(RIGHT(E2364,3)+0,SchLocTable!$A$2:$B$47,2,FALSE)</f>
        <v>#N/A</v>
      </c>
      <c r="B2364" s="207" t="str">
        <f>VLOOKUP(VALUE(D2364),$D$3:F$106,3,FALSE)</f>
        <v>Aquaculture</v>
      </c>
      <c r="C2364" s="751" t="s">
        <v>246</v>
      </c>
      <c r="D2364" s="751" t="s">
        <v>754</v>
      </c>
      <c r="E2364" s="751" t="s">
        <v>755</v>
      </c>
      <c r="F2364" s="751" t="s">
        <v>257</v>
      </c>
      <c r="G2364" s="752" t="s">
        <v>1681</v>
      </c>
      <c r="H2364" s="753">
        <v>51140</v>
      </c>
      <c r="I2364" s="754">
        <v>6300</v>
      </c>
      <c r="J2364" s="754">
        <v>0</v>
      </c>
      <c r="K2364" s="754">
        <v>0</v>
      </c>
      <c r="L2364" s="754">
        <v>0</v>
      </c>
      <c r="M2364" s="754">
        <f t="shared" si="97"/>
        <v>0</v>
      </c>
      <c r="N2364" s="756">
        <v>6300</v>
      </c>
      <c r="O2364" s="720">
        <f t="shared" si="98"/>
        <v>0</v>
      </c>
    </row>
    <row r="2365" spans="1:15" outlineLevel="2" x14ac:dyDescent="0.25">
      <c r="A2365" s="207" t="e">
        <f>VLOOKUP(RIGHT(E2365,3)+0,SchLocTable!$A$2:$B$47,2,FALSE)</f>
        <v>#N/A</v>
      </c>
      <c r="B2365" s="207" t="str">
        <f>VLOOKUP(VALUE(D2365),$D$3:F$106,3,FALSE)</f>
        <v>Aquaculture</v>
      </c>
      <c r="C2365" s="751" t="s">
        <v>246</v>
      </c>
      <c r="D2365" s="751" t="s">
        <v>754</v>
      </c>
      <c r="E2365" s="751" t="s">
        <v>755</v>
      </c>
      <c r="F2365" s="751" t="s">
        <v>252</v>
      </c>
      <c r="G2365" s="752" t="s">
        <v>1681</v>
      </c>
      <c r="H2365" s="753">
        <v>51154</v>
      </c>
      <c r="I2365" s="754">
        <v>0</v>
      </c>
      <c r="J2365" s="754">
        <v>0</v>
      </c>
      <c r="K2365" s="754">
        <v>0</v>
      </c>
      <c r="L2365" s="754">
        <v>0</v>
      </c>
      <c r="M2365" s="754">
        <f t="shared" si="97"/>
        <v>0</v>
      </c>
      <c r="N2365" s="756">
        <v>0</v>
      </c>
      <c r="O2365" s="720">
        <f t="shared" si="98"/>
        <v>0</v>
      </c>
    </row>
    <row r="2366" spans="1:15" outlineLevel="2" x14ac:dyDescent="0.25">
      <c r="A2366" s="207" t="e">
        <f>VLOOKUP(RIGHT(E2366,3)+0,SchLocTable!$A$2:$B$47,2,FALSE)</f>
        <v>#N/A</v>
      </c>
      <c r="B2366" s="207" t="str">
        <f>VLOOKUP(VALUE(D2366),$D$3:F$106,3,FALSE)</f>
        <v>Aquaculture</v>
      </c>
      <c r="C2366" s="751" t="s">
        <v>246</v>
      </c>
      <c r="D2366" s="751" t="s">
        <v>754</v>
      </c>
      <c r="E2366" s="751" t="s">
        <v>755</v>
      </c>
      <c r="F2366" s="751" t="s">
        <v>402</v>
      </c>
      <c r="G2366" s="752" t="s">
        <v>1681</v>
      </c>
      <c r="H2366" s="753">
        <v>51400</v>
      </c>
      <c r="I2366" s="754">
        <v>46325.599999999999</v>
      </c>
      <c r="J2366" s="754">
        <v>0</v>
      </c>
      <c r="K2366" s="754">
        <v>0</v>
      </c>
      <c r="L2366" s="754">
        <v>15306.38</v>
      </c>
      <c r="M2366" s="754">
        <f t="shared" si="97"/>
        <v>15306.38</v>
      </c>
      <c r="N2366" s="756">
        <v>46325.599999999999</v>
      </c>
      <c r="O2366" s="720">
        <f t="shared" si="98"/>
        <v>0</v>
      </c>
    </row>
    <row r="2367" spans="1:15" outlineLevel="2" x14ac:dyDescent="0.25">
      <c r="A2367" s="207" t="e">
        <f>VLOOKUP(RIGHT(E2367,3)+0,SchLocTable!$A$2:$B$47,2,FALSE)</f>
        <v>#N/A</v>
      </c>
      <c r="B2367" s="207" t="str">
        <f>VLOOKUP(VALUE(D2367),$D$3:F$106,3,FALSE)</f>
        <v>Aquaculture</v>
      </c>
      <c r="C2367" s="751" t="s">
        <v>246</v>
      </c>
      <c r="D2367" s="751" t="s">
        <v>754</v>
      </c>
      <c r="E2367" s="751" t="s">
        <v>755</v>
      </c>
      <c r="F2367" s="751" t="s">
        <v>454</v>
      </c>
      <c r="G2367" s="752" t="s">
        <v>1681</v>
      </c>
      <c r="H2367" s="753">
        <v>51404</v>
      </c>
      <c r="I2367" s="754">
        <v>50</v>
      </c>
      <c r="J2367" s="754">
        <v>0</v>
      </c>
      <c r="K2367" s="754">
        <v>0</v>
      </c>
      <c r="L2367" s="754">
        <v>50</v>
      </c>
      <c r="M2367" s="754">
        <f t="shared" ref="M2367:M2430" si="99">SUM(J2367:L2367)</f>
        <v>50</v>
      </c>
      <c r="N2367" s="756">
        <v>50</v>
      </c>
      <c r="O2367" s="720">
        <f t="shared" ref="O2367:O2430" si="100">I2367-N2367</f>
        <v>0</v>
      </c>
    </row>
    <row r="2368" spans="1:15" outlineLevel="2" x14ac:dyDescent="0.25">
      <c r="A2368" s="207" t="e">
        <f>VLOOKUP(RIGHT(E2368,3)+0,SchLocTable!$A$2:$B$47,2,FALSE)</f>
        <v>#N/A</v>
      </c>
      <c r="B2368" s="207" t="str">
        <f>VLOOKUP(VALUE(D2368),$D$3:F$106,3,FALSE)</f>
        <v>Aquaculture</v>
      </c>
      <c r="C2368" s="755" t="s">
        <v>246</v>
      </c>
      <c r="D2368" s="751" t="s">
        <v>754</v>
      </c>
      <c r="E2368" s="751" t="s">
        <v>755</v>
      </c>
      <c r="F2368" s="751" t="s">
        <v>254</v>
      </c>
      <c r="G2368" s="752" t="s">
        <v>1681</v>
      </c>
      <c r="H2368" s="753">
        <v>52360</v>
      </c>
      <c r="I2368" s="754">
        <v>20591.75</v>
      </c>
      <c r="J2368" s="754">
        <v>0</v>
      </c>
      <c r="K2368" s="754">
        <v>0</v>
      </c>
      <c r="L2368" s="754">
        <v>4183.82</v>
      </c>
      <c r="M2368" s="754">
        <f t="shared" si="99"/>
        <v>4183.82</v>
      </c>
      <c r="N2368" s="756">
        <v>20591.75</v>
      </c>
      <c r="O2368" s="720">
        <f t="shared" si="100"/>
        <v>0</v>
      </c>
    </row>
    <row r="2369" spans="1:15" outlineLevel="2" x14ac:dyDescent="0.25">
      <c r="A2369" s="207" t="e">
        <f>VLOOKUP(RIGHT(E2369,3)+0,SchLocTable!$A$2:$B$47,2,FALSE)</f>
        <v>#N/A</v>
      </c>
      <c r="B2369" s="207" t="str">
        <f>VLOOKUP(VALUE(D2369),$D$3:F$106,3,FALSE)</f>
        <v>Aquaculture</v>
      </c>
      <c r="C2369" s="751" t="s">
        <v>246</v>
      </c>
      <c r="D2369" s="751" t="s">
        <v>754</v>
      </c>
      <c r="E2369" s="751" t="s">
        <v>755</v>
      </c>
      <c r="F2369" s="751" t="s">
        <v>292</v>
      </c>
      <c r="G2369" s="752" t="s">
        <v>1681</v>
      </c>
      <c r="H2369" s="753">
        <v>52385</v>
      </c>
      <c r="I2369" s="754">
        <v>485.77</v>
      </c>
      <c r="J2369" s="754">
        <v>0</v>
      </c>
      <c r="K2369" s="754">
        <v>0</v>
      </c>
      <c r="L2369" s="754">
        <v>485.77</v>
      </c>
      <c r="M2369" s="754">
        <f t="shared" si="99"/>
        <v>485.77</v>
      </c>
      <c r="N2369" s="756">
        <v>485.77</v>
      </c>
      <c r="O2369" s="720">
        <f t="shared" si="100"/>
        <v>0</v>
      </c>
    </row>
    <row r="2370" spans="1:15" outlineLevel="2" x14ac:dyDescent="0.25">
      <c r="A2370" s="207" t="e">
        <f>VLOOKUP(RIGHT(E2370,3)+0,SchLocTable!$A$2:$B$47,2,FALSE)</f>
        <v>#N/A</v>
      </c>
      <c r="B2370" s="207" t="str">
        <f>VLOOKUP(VALUE(D2370),$D$3:F$106,3,FALSE)</f>
        <v>Aquaculture</v>
      </c>
      <c r="C2370" s="751" t="s">
        <v>246</v>
      </c>
      <c r="D2370" s="751" t="s">
        <v>754</v>
      </c>
      <c r="E2370" s="751" t="s">
        <v>755</v>
      </c>
      <c r="F2370" s="751" t="s">
        <v>331</v>
      </c>
      <c r="G2370" s="752" t="s">
        <v>1681</v>
      </c>
      <c r="H2370" s="753">
        <v>52504</v>
      </c>
      <c r="I2370" s="754">
        <v>0</v>
      </c>
      <c r="J2370" s="754">
        <v>0</v>
      </c>
      <c r="K2370" s="754">
        <v>0</v>
      </c>
      <c r="L2370" s="754">
        <v>0</v>
      </c>
      <c r="M2370" s="754">
        <f t="shared" si="99"/>
        <v>0</v>
      </c>
      <c r="N2370" s="756">
        <v>0</v>
      </c>
      <c r="O2370" s="720">
        <f t="shared" si="100"/>
        <v>0</v>
      </c>
    </row>
    <row r="2371" spans="1:15" outlineLevel="2" x14ac:dyDescent="0.25">
      <c r="A2371" s="207" t="e">
        <f>VLOOKUP(RIGHT(E2371,3)+0,SchLocTable!$A$2:$B$47,2,FALSE)</f>
        <v>#N/A</v>
      </c>
      <c r="B2371" s="207" t="str">
        <f>VLOOKUP(VALUE(D2371),$D$3:F$106,3,FALSE)</f>
        <v>Aquaculture</v>
      </c>
      <c r="C2371" s="751" t="s">
        <v>246</v>
      </c>
      <c r="D2371" s="751" t="s">
        <v>754</v>
      </c>
      <c r="E2371" s="751" t="s">
        <v>755</v>
      </c>
      <c r="F2371" s="751" t="s">
        <v>259</v>
      </c>
      <c r="G2371" s="752" t="s">
        <v>1681</v>
      </c>
      <c r="H2371" s="753">
        <v>52917</v>
      </c>
      <c r="I2371" s="754">
        <v>234676.79</v>
      </c>
      <c r="J2371" s="754">
        <v>0</v>
      </c>
      <c r="K2371" s="754">
        <v>0</v>
      </c>
      <c r="L2371" s="754">
        <v>56306.45</v>
      </c>
      <c r="M2371" s="754">
        <f t="shared" si="99"/>
        <v>56306.45</v>
      </c>
      <c r="N2371" s="756">
        <v>234676.79</v>
      </c>
      <c r="O2371" s="720">
        <f t="shared" si="100"/>
        <v>0</v>
      </c>
    </row>
    <row r="2372" spans="1:15" outlineLevel="2" x14ac:dyDescent="0.25">
      <c r="A2372" s="207" t="e">
        <f>VLOOKUP(RIGHT(E2372,3)+0,SchLocTable!$A$2:$B$47,2,FALSE)</f>
        <v>#N/A</v>
      </c>
      <c r="B2372" s="207" t="str">
        <f>VLOOKUP(VALUE(D2372),$D$3:F$106,3,FALSE)</f>
        <v>Aquaculture</v>
      </c>
      <c r="C2372" s="755" t="s">
        <v>246</v>
      </c>
      <c r="D2372" s="751" t="s">
        <v>754</v>
      </c>
      <c r="E2372" s="751" t="s">
        <v>755</v>
      </c>
      <c r="F2372" s="751" t="s">
        <v>756</v>
      </c>
      <c r="G2372" s="752" t="s">
        <v>1681</v>
      </c>
      <c r="H2372" s="751">
        <v>53050</v>
      </c>
      <c r="I2372" s="754">
        <v>8000</v>
      </c>
      <c r="J2372" s="754">
        <v>0</v>
      </c>
      <c r="K2372" s="754">
        <v>0</v>
      </c>
      <c r="L2372" s="754">
        <v>0</v>
      </c>
      <c r="M2372" s="754">
        <f t="shared" si="99"/>
        <v>0</v>
      </c>
      <c r="N2372" s="756">
        <v>8000</v>
      </c>
      <c r="O2372" s="720">
        <f t="shared" si="100"/>
        <v>0</v>
      </c>
    </row>
    <row r="2373" spans="1:15" outlineLevel="2" x14ac:dyDescent="0.25">
      <c r="A2373" s="207" t="e">
        <f>VLOOKUP(RIGHT(E2373,3)+0,SchLocTable!$A$2:$B$47,2,FALSE)</f>
        <v>#N/A</v>
      </c>
      <c r="B2373" s="207" t="str">
        <f>VLOOKUP(VALUE(D2373),$D$3:F$106,3,FALSE)</f>
        <v>Aquaculture</v>
      </c>
      <c r="C2373" s="755" t="s">
        <v>246</v>
      </c>
      <c r="D2373" s="751" t="s">
        <v>754</v>
      </c>
      <c r="E2373" s="751" t="s">
        <v>755</v>
      </c>
      <c r="F2373" s="751" t="s">
        <v>757</v>
      </c>
      <c r="G2373" s="752" t="s">
        <v>1681</v>
      </c>
      <c r="H2373" s="753">
        <v>53420</v>
      </c>
      <c r="I2373" s="754">
        <v>98535</v>
      </c>
      <c r="J2373" s="754">
        <v>98535</v>
      </c>
      <c r="K2373" s="754">
        <v>0</v>
      </c>
      <c r="L2373" s="754">
        <v>0</v>
      </c>
      <c r="M2373" s="754">
        <f t="shared" si="99"/>
        <v>98535</v>
      </c>
      <c r="N2373" s="756">
        <v>98535</v>
      </c>
      <c r="O2373" s="720">
        <f t="shared" si="100"/>
        <v>0</v>
      </c>
    </row>
    <row r="2374" spans="1:15" outlineLevel="2" x14ac:dyDescent="0.25">
      <c r="A2374" s="207" t="e">
        <f>VLOOKUP(RIGHT(E2374,3)+0,SchLocTable!$A$2:$B$47,2,FALSE)</f>
        <v>#N/A</v>
      </c>
      <c r="B2374" s="207" t="str">
        <f>VLOOKUP(VALUE(D2374),$D$3:F$106,3,FALSE)</f>
        <v>Aquaculture</v>
      </c>
      <c r="C2374" s="751" t="s">
        <v>246</v>
      </c>
      <c r="D2374" s="751" t="s">
        <v>754</v>
      </c>
      <c r="E2374" s="751" t="s">
        <v>755</v>
      </c>
      <c r="F2374" s="751" t="s">
        <v>396</v>
      </c>
      <c r="G2374" s="752" t="s">
        <v>1681</v>
      </c>
      <c r="H2374" s="753">
        <v>53605</v>
      </c>
      <c r="I2374" s="754">
        <v>1400</v>
      </c>
      <c r="J2374" s="754">
        <v>0</v>
      </c>
      <c r="K2374" s="754">
        <v>0</v>
      </c>
      <c r="L2374" s="754">
        <v>798</v>
      </c>
      <c r="M2374" s="754">
        <f t="shared" si="99"/>
        <v>798</v>
      </c>
      <c r="N2374" s="756">
        <v>1400</v>
      </c>
      <c r="O2374" s="720">
        <f t="shared" si="100"/>
        <v>0</v>
      </c>
    </row>
    <row r="2375" spans="1:15" outlineLevel="2" x14ac:dyDescent="0.25">
      <c r="A2375" s="207" t="e">
        <f>VLOOKUP(RIGHT(E2375,3)+0,SchLocTable!$A$2:$B$47,2,FALSE)</f>
        <v>#N/A</v>
      </c>
      <c r="B2375" s="207" t="str">
        <f>VLOOKUP(VALUE(D2375),$D$3:F$106,3,FALSE)</f>
        <v>Aquaculture</v>
      </c>
      <c r="C2375" s="751" t="s">
        <v>246</v>
      </c>
      <c r="D2375" s="751" t="s">
        <v>754</v>
      </c>
      <c r="E2375" s="751" t="s">
        <v>755</v>
      </c>
      <c r="F2375" s="751" t="s">
        <v>758</v>
      </c>
      <c r="G2375" s="752" t="s">
        <v>1681</v>
      </c>
      <c r="H2375" s="753">
        <v>54555</v>
      </c>
      <c r="I2375" s="754">
        <v>65233.49</v>
      </c>
      <c r="J2375" s="754">
        <v>0</v>
      </c>
      <c r="K2375" s="754">
        <v>0</v>
      </c>
      <c r="L2375" s="754">
        <v>0</v>
      </c>
      <c r="M2375" s="754">
        <f t="shared" si="99"/>
        <v>0</v>
      </c>
      <c r="N2375" s="756">
        <v>65233.49</v>
      </c>
      <c r="O2375" s="720">
        <f t="shared" si="100"/>
        <v>0</v>
      </c>
    </row>
    <row r="2376" spans="1:15" outlineLevel="2" x14ac:dyDescent="0.25">
      <c r="A2376" s="207" t="e">
        <f>VLOOKUP(RIGHT(E2376,3)+0,SchLocTable!$A$2:$B$47,2,FALSE)</f>
        <v>#N/A</v>
      </c>
      <c r="B2376" s="207" t="str">
        <f>VLOOKUP(VALUE(D2376),$D$3:F$106,3,FALSE)</f>
        <v>Aquaculture</v>
      </c>
      <c r="C2376" s="751" t="s">
        <v>246</v>
      </c>
      <c r="D2376" s="751" t="s">
        <v>754</v>
      </c>
      <c r="E2376" s="751" t="s">
        <v>755</v>
      </c>
      <c r="F2376" s="751" t="s">
        <v>371</v>
      </c>
      <c r="G2376" s="752" t="s">
        <v>1681</v>
      </c>
      <c r="H2376" s="753">
        <v>54580</v>
      </c>
      <c r="I2376" s="754">
        <v>13699.29</v>
      </c>
      <c r="J2376" s="754">
        <v>5194.7299999999996</v>
      </c>
      <c r="K2376" s="754">
        <v>0</v>
      </c>
      <c r="L2376" s="754">
        <v>5978.53</v>
      </c>
      <c r="M2376" s="754">
        <f t="shared" si="99"/>
        <v>11173.259999999998</v>
      </c>
      <c r="N2376" s="756">
        <v>13699.29</v>
      </c>
      <c r="O2376" s="720">
        <f t="shared" si="100"/>
        <v>0</v>
      </c>
    </row>
    <row r="2377" spans="1:15" outlineLevel="2" x14ac:dyDescent="0.25">
      <c r="A2377" s="207" t="e">
        <f>VLOOKUP(RIGHT(E2377,3)+0,SchLocTable!$A$2:$B$47,2,FALSE)</f>
        <v>#N/A</v>
      </c>
      <c r="B2377" s="207" t="str">
        <f>VLOOKUP(VALUE(D2377),$D$3:F$106,3,FALSE)</f>
        <v>Aquaculture</v>
      </c>
      <c r="C2377" s="755" t="s">
        <v>246</v>
      </c>
      <c r="D2377" s="751" t="s">
        <v>754</v>
      </c>
      <c r="E2377" s="751" t="s">
        <v>755</v>
      </c>
      <c r="F2377" s="751" t="s">
        <v>2006</v>
      </c>
      <c r="G2377" s="752" t="s">
        <v>1681</v>
      </c>
      <c r="H2377" s="753">
        <v>54610</v>
      </c>
      <c r="I2377" s="754">
        <v>3891</v>
      </c>
      <c r="J2377" s="754">
        <v>0</v>
      </c>
      <c r="K2377" s="754">
        <v>0</v>
      </c>
      <c r="L2377" s="754">
        <v>109.8</v>
      </c>
      <c r="M2377" s="754">
        <f t="shared" si="99"/>
        <v>109.8</v>
      </c>
      <c r="N2377" s="756">
        <v>3891</v>
      </c>
      <c r="O2377" s="720">
        <f t="shared" si="100"/>
        <v>0</v>
      </c>
    </row>
    <row r="2378" spans="1:15" outlineLevel="2" x14ac:dyDescent="0.25">
      <c r="A2378" s="207" t="e">
        <f>VLOOKUP(RIGHT(E2378,3)+0,SchLocTable!$A$2:$B$47,2,FALSE)</f>
        <v>#N/A</v>
      </c>
      <c r="B2378" s="207" t="str">
        <f>VLOOKUP(VALUE(D2378),$D$3:F$106,3,FALSE)</f>
        <v>Aquaculture</v>
      </c>
      <c r="C2378" s="751" t="s">
        <v>246</v>
      </c>
      <c r="D2378" s="751" t="s">
        <v>754</v>
      </c>
      <c r="E2378" s="751" t="s">
        <v>755</v>
      </c>
      <c r="F2378" s="751" t="s">
        <v>760</v>
      </c>
      <c r="G2378" s="752" t="s">
        <v>1681</v>
      </c>
      <c r="H2378" s="753">
        <v>54615</v>
      </c>
      <c r="I2378" s="754">
        <v>3500</v>
      </c>
      <c r="J2378" s="754">
        <v>629.78</v>
      </c>
      <c r="K2378" s="754">
        <v>0</v>
      </c>
      <c r="L2378" s="754">
        <v>870.22</v>
      </c>
      <c r="M2378" s="754">
        <f t="shared" si="99"/>
        <v>1500</v>
      </c>
      <c r="N2378" s="756">
        <v>3500</v>
      </c>
      <c r="O2378" s="720">
        <f t="shared" si="100"/>
        <v>0</v>
      </c>
    </row>
    <row r="2379" spans="1:15" outlineLevel="2" x14ac:dyDescent="0.25">
      <c r="A2379" s="207" t="e">
        <f>VLOOKUP(RIGHT(E2379,3)+0,SchLocTable!$A$2:$B$47,2,FALSE)</f>
        <v>#N/A</v>
      </c>
      <c r="B2379" s="207" t="str">
        <f>VLOOKUP(VALUE(D2379),$D$3:F$106,3,FALSE)</f>
        <v>Aquaculture</v>
      </c>
      <c r="C2379" s="751" t="s">
        <v>246</v>
      </c>
      <c r="D2379" s="751" t="s">
        <v>754</v>
      </c>
      <c r="E2379" s="751" t="s">
        <v>755</v>
      </c>
      <c r="F2379" s="751" t="s">
        <v>673</v>
      </c>
      <c r="G2379" s="752" t="s">
        <v>1681</v>
      </c>
      <c r="H2379" s="753">
        <v>54640</v>
      </c>
      <c r="I2379" s="754">
        <v>2650</v>
      </c>
      <c r="J2379" s="754">
        <v>0</v>
      </c>
      <c r="K2379" s="754">
        <v>0</v>
      </c>
      <c r="L2379" s="754">
        <v>0</v>
      </c>
      <c r="M2379" s="754">
        <f t="shared" si="99"/>
        <v>0</v>
      </c>
      <c r="N2379" s="756">
        <v>2650</v>
      </c>
      <c r="O2379" s="720">
        <f t="shared" si="100"/>
        <v>0</v>
      </c>
    </row>
    <row r="2380" spans="1:15" outlineLevel="2" x14ac:dyDescent="0.25">
      <c r="A2380" s="207" t="e">
        <f>VLOOKUP(RIGHT(E2380,3)+0,SchLocTable!$A$2:$B$47,2,FALSE)</f>
        <v>#N/A</v>
      </c>
      <c r="B2380" s="207" t="str">
        <f>VLOOKUP(VALUE(D2380),$D$3:F$106,3,FALSE)</f>
        <v>Aquaculture</v>
      </c>
      <c r="C2380" s="751" t="s">
        <v>246</v>
      </c>
      <c r="D2380" s="751" t="s">
        <v>754</v>
      </c>
      <c r="E2380" s="751" t="s">
        <v>755</v>
      </c>
      <c r="F2380" s="751" t="s">
        <v>762</v>
      </c>
      <c r="G2380" s="752" t="s">
        <v>1681</v>
      </c>
      <c r="H2380" s="753">
        <v>54645</v>
      </c>
      <c r="I2380" s="754">
        <v>53974.43</v>
      </c>
      <c r="J2380" s="754">
        <v>4211.49</v>
      </c>
      <c r="K2380" s="754">
        <v>0</v>
      </c>
      <c r="L2380" s="754">
        <v>588.51</v>
      </c>
      <c r="M2380" s="754">
        <f t="shared" si="99"/>
        <v>4800</v>
      </c>
      <c r="N2380" s="756">
        <v>53974.43</v>
      </c>
      <c r="O2380" s="720">
        <f t="shared" si="100"/>
        <v>0</v>
      </c>
    </row>
    <row r="2381" spans="1:15" outlineLevel="2" x14ac:dyDescent="0.25">
      <c r="A2381" s="207" t="e">
        <f>VLOOKUP(RIGHT(E2381,3)+0,SchLocTable!$A$2:$B$47,2,FALSE)</f>
        <v>#N/A</v>
      </c>
      <c r="B2381" s="207" t="str">
        <f>VLOOKUP(VALUE(D2381),$D$3:F$106,3,FALSE)</f>
        <v>Aquaculture</v>
      </c>
      <c r="C2381" s="751" t="s">
        <v>246</v>
      </c>
      <c r="D2381" s="751" t="s">
        <v>754</v>
      </c>
      <c r="E2381" s="751" t="s">
        <v>755</v>
      </c>
      <c r="F2381" s="751" t="s">
        <v>764</v>
      </c>
      <c r="G2381" s="752" t="s">
        <v>1681</v>
      </c>
      <c r="H2381" s="753">
        <v>54670</v>
      </c>
      <c r="I2381" s="754">
        <v>419</v>
      </c>
      <c r="J2381" s="754">
        <v>0</v>
      </c>
      <c r="K2381" s="754">
        <v>0</v>
      </c>
      <c r="L2381" s="754">
        <v>0</v>
      </c>
      <c r="M2381" s="754">
        <f t="shared" si="99"/>
        <v>0</v>
      </c>
      <c r="N2381" s="756">
        <v>419</v>
      </c>
      <c r="O2381" s="720">
        <f t="shared" si="100"/>
        <v>0</v>
      </c>
    </row>
    <row r="2382" spans="1:15" outlineLevel="2" x14ac:dyDescent="0.25">
      <c r="A2382" s="207" t="e">
        <f>VLOOKUP(RIGHT(E2382,3)+0,SchLocTable!$A$2:$B$47,2,FALSE)</f>
        <v>#N/A</v>
      </c>
      <c r="B2382" s="207" t="str">
        <f>VLOOKUP(VALUE(D2382),$D$3:F$106,3,FALSE)</f>
        <v>Aquaculture</v>
      </c>
      <c r="C2382" s="751" t="s">
        <v>246</v>
      </c>
      <c r="D2382" s="751" t="s">
        <v>754</v>
      </c>
      <c r="E2382" s="751" t="s">
        <v>755</v>
      </c>
      <c r="F2382" s="751" t="s">
        <v>372</v>
      </c>
      <c r="G2382" s="752" t="s">
        <v>1681</v>
      </c>
      <c r="H2382" s="753">
        <v>54675</v>
      </c>
      <c r="I2382" s="754">
        <v>3573.76</v>
      </c>
      <c r="J2382" s="754">
        <v>0</v>
      </c>
      <c r="K2382" s="754">
        <v>0</v>
      </c>
      <c r="L2382" s="754">
        <v>0</v>
      </c>
      <c r="M2382" s="754">
        <f t="shared" si="99"/>
        <v>0</v>
      </c>
      <c r="N2382" s="756">
        <v>3573.76</v>
      </c>
      <c r="O2382" s="720">
        <f t="shared" si="100"/>
        <v>0</v>
      </c>
    </row>
    <row r="2383" spans="1:15" outlineLevel="2" x14ac:dyDescent="0.25">
      <c r="A2383" s="207" t="e">
        <f>VLOOKUP(RIGHT(E2383,3)+0,SchLocTable!$A$2:$B$47,2,FALSE)</f>
        <v>#N/A</v>
      </c>
      <c r="B2383" s="207" t="str">
        <f>VLOOKUP(VALUE(D2383),$D$3:F$106,3,FALSE)</f>
        <v>Aquaculture</v>
      </c>
      <c r="C2383" s="751" t="s">
        <v>246</v>
      </c>
      <c r="D2383" s="751" t="s">
        <v>754</v>
      </c>
      <c r="E2383" s="751" t="s">
        <v>755</v>
      </c>
      <c r="F2383" s="751" t="s">
        <v>765</v>
      </c>
      <c r="G2383" s="752" t="s">
        <v>1681</v>
      </c>
      <c r="H2383" s="753">
        <v>54680</v>
      </c>
      <c r="I2383" s="754">
        <v>32812.160000000003</v>
      </c>
      <c r="J2383" s="754">
        <v>2104.37</v>
      </c>
      <c r="K2383" s="754">
        <v>0</v>
      </c>
      <c r="L2383" s="754">
        <v>1065.05</v>
      </c>
      <c r="M2383" s="754">
        <f t="shared" si="99"/>
        <v>3169.42</v>
      </c>
      <c r="N2383" s="756">
        <v>32812.160000000003</v>
      </c>
      <c r="O2383" s="720">
        <f t="shared" si="100"/>
        <v>0</v>
      </c>
    </row>
    <row r="2384" spans="1:15" outlineLevel="2" x14ac:dyDescent="0.25">
      <c r="A2384" s="207" t="e">
        <f>VLOOKUP(RIGHT(E2384,3)+0,SchLocTable!$A$2:$B$47,2,FALSE)</f>
        <v>#N/A</v>
      </c>
      <c r="B2384" s="207" t="str">
        <f>VLOOKUP(VALUE(D2384),$D$3:F$106,3,FALSE)</f>
        <v>Aquaculture</v>
      </c>
      <c r="C2384" s="751" t="s">
        <v>246</v>
      </c>
      <c r="D2384" s="751" t="s">
        <v>754</v>
      </c>
      <c r="E2384" s="751" t="s">
        <v>755</v>
      </c>
      <c r="F2384" s="751" t="s">
        <v>381</v>
      </c>
      <c r="G2384" s="752" t="s">
        <v>1681</v>
      </c>
      <c r="H2384" s="753">
        <v>54725</v>
      </c>
      <c r="I2384" s="754">
        <v>201</v>
      </c>
      <c r="J2384" s="754">
        <v>0</v>
      </c>
      <c r="K2384" s="754">
        <v>0</v>
      </c>
      <c r="L2384" s="754">
        <v>0</v>
      </c>
      <c r="M2384" s="754">
        <f t="shared" si="99"/>
        <v>0</v>
      </c>
      <c r="N2384" s="756">
        <v>201</v>
      </c>
      <c r="O2384" s="720">
        <f t="shared" si="100"/>
        <v>0</v>
      </c>
    </row>
    <row r="2385" spans="1:15" outlineLevel="2" x14ac:dyDescent="0.25">
      <c r="A2385" s="207" t="e">
        <f>VLOOKUP(RIGHT(E2385,3)+0,SchLocTable!$A$2:$B$47,2,FALSE)</f>
        <v>#N/A</v>
      </c>
      <c r="B2385" s="207" t="str">
        <f>VLOOKUP(VALUE(D2385),$D$3:F$106,3,FALSE)</f>
        <v>Aquaculture</v>
      </c>
      <c r="C2385" s="751" t="s">
        <v>246</v>
      </c>
      <c r="D2385" s="751" t="s">
        <v>754</v>
      </c>
      <c r="E2385" s="751" t="s">
        <v>755</v>
      </c>
      <c r="F2385" s="751" t="s">
        <v>1992</v>
      </c>
      <c r="G2385" s="752" t="s">
        <v>1681</v>
      </c>
      <c r="H2385" s="753">
        <v>54760</v>
      </c>
      <c r="I2385" s="754">
        <v>17465.57</v>
      </c>
      <c r="J2385" s="754">
        <v>1665.6</v>
      </c>
      <c r="K2385" s="754">
        <v>0</v>
      </c>
      <c r="L2385" s="754">
        <v>0</v>
      </c>
      <c r="M2385" s="754">
        <f t="shared" si="99"/>
        <v>1665.6</v>
      </c>
      <c r="N2385" s="756">
        <v>17465.57</v>
      </c>
      <c r="O2385" s="720">
        <f t="shared" si="100"/>
        <v>0</v>
      </c>
    </row>
    <row r="2386" spans="1:15" outlineLevel="2" x14ac:dyDescent="0.25">
      <c r="A2386" s="207" t="e">
        <f>VLOOKUP(RIGHT(E2386,3)+0,SchLocTable!$A$2:$B$47,2,FALSE)</f>
        <v>#N/A</v>
      </c>
      <c r="B2386" s="207" t="str">
        <f>VLOOKUP(VALUE(D2386),$D$3:F$106,3,FALSE)</f>
        <v>Aquaculture</v>
      </c>
      <c r="C2386" s="751" t="s">
        <v>246</v>
      </c>
      <c r="D2386" s="751" t="s">
        <v>754</v>
      </c>
      <c r="E2386" s="751" t="s">
        <v>755</v>
      </c>
      <c r="F2386" s="751" t="s">
        <v>2007</v>
      </c>
      <c r="G2386" s="752" t="s">
        <v>1681</v>
      </c>
      <c r="H2386" s="753">
        <v>55205</v>
      </c>
      <c r="I2386" s="754">
        <v>15000</v>
      </c>
      <c r="J2386" s="754">
        <v>0</v>
      </c>
      <c r="K2386" s="754">
        <v>0</v>
      </c>
      <c r="L2386" s="754">
        <v>0</v>
      </c>
      <c r="M2386" s="754">
        <f t="shared" si="99"/>
        <v>0</v>
      </c>
      <c r="N2386" s="756">
        <v>15000</v>
      </c>
      <c r="O2386" s="720">
        <f t="shared" si="100"/>
        <v>0</v>
      </c>
    </row>
    <row r="2387" spans="1:15" outlineLevel="2" x14ac:dyDescent="0.25">
      <c r="A2387" s="207" t="e">
        <f>VLOOKUP(RIGHT(E2387,3)+0,SchLocTable!$A$2:$B$47,2,FALSE)</f>
        <v>#N/A</v>
      </c>
      <c r="B2387" s="207" t="str">
        <f>VLOOKUP(VALUE(D2387),$D$3:F$106,3,FALSE)</f>
        <v>Aquaculture</v>
      </c>
      <c r="C2387" s="751" t="s">
        <v>246</v>
      </c>
      <c r="D2387" s="751" t="s">
        <v>754</v>
      </c>
      <c r="E2387" s="751" t="s">
        <v>755</v>
      </c>
      <c r="F2387" s="751" t="s">
        <v>688</v>
      </c>
      <c r="G2387" s="752" t="s">
        <v>1681</v>
      </c>
      <c r="H2387" s="753">
        <v>55540</v>
      </c>
      <c r="I2387" s="754">
        <v>-1998615</v>
      </c>
      <c r="J2387" s="754">
        <v>0</v>
      </c>
      <c r="K2387" s="754">
        <v>0</v>
      </c>
      <c r="L2387" s="754">
        <v>0</v>
      </c>
      <c r="M2387" s="754">
        <f t="shared" si="99"/>
        <v>0</v>
      </c>
      <c r="N2387" s="756">
        <v>-2528511</v>
      </c>
      <c r="O2387" s="720">
        <f t="shared" si="100"/>
        <v>529896</v>
      </c>
    </row>
    <row r="2388" spans="1:15" outlineLevel="2" x14ac:dyDescent="0.25">
      <c r="A2388" s="207" t="e">
        <f>VLOOKUP(RIGHT(E2388,3)+0,SchLocTable!$A$2:$B$47,2,FALSE)</f>
        <v>#N/A</v>
      </c>
      <c r="B2388" s="207" t="str">
        <f>VLOOKUP(VALUE(D2388),$D$3:F$106,3,FALSE)</f>
        <v>Aquaculture</v>
      </c>
      <c r="C2388" s="751" t="s">
        <v>246</v>
      </c>
      <c r="D2388" s="751" t="s">
        <v>754</v>
      </c>
      <c r="E2388" s="751" t="s">
        <v>755</v>
      </c>
      <c r="F2388" s="751" t="s">
        <v>766</v>
      </c>
      <c r="G2388" s="752" t="s">
        <v>1681</v>
      </c>
      <c r="H2388" s="753">
        <v>56170</v>
      </c>
      <c r="I2388" s="754">
        <v>37133.51</v>
      </c>
      <c r="J2388" s="754">
        <v>0</v>
      </c>
      <c r="K2388" s="754">
        <v>0</v>
      </c>
      <c r="L2388" s="754">
        <v>0</v>
      </c>
      <c r="M2388" s="754">
        <f t="shared" si="99"/>
        <v>0</v>
      </c>
      <c r="N2388" s="756">
        <v>37133.51</v>
      </c>
      <c r="O2388" s="720">
        <f t="shared" si="100"/>
        <v>0</v>
      </c>
    </row>
    <row r="2389" spans="1:15" outlineLevel="2" x14ac:dyDescent="0.25">
      <c r="A2389" s="207" t="e">
        <f>VLOOKUP(RIGHT(E2389,3)+0,SchLocTable!$A$2:$B$47,2,FALSE)</f>
        <v>#N/A</v>
      </c>
      <c r="B2389" s="207" t="str">
        <f>VLOOKUP(VALUE(D2389),$D$3:F$106,3,FALSE)</f>
        <v>Aquaculture</v>
      </c>
      <c r="C2389" s="751" t="s">
        <v>246</v>
      </c>
      <c r="D2389" s="751" t="s">
        <v>754</v>
      </c>
      <c r="E2389" s="751" t="s">
        <v>755</v>
      </c>
      <c r="F2389" s="751" t="s">
        <v>382</v>
      </c>
      <c r="G2389" s="752" t="s">
        <v>1681</v>
      </c>
      <c r="H2389" s="753">
        <v>56180</v>
      </c>
      <c r="I2389" s="754">
        <v>19287.66</v>
      </c>
      <c r="J2389" s="754">
        <v>3238</v>
      </c>
      <c r="K2389" s="754">
        <v>199</v>
      </c>
      <c r="L2389" s="754">
        <v>1550</v>
      </c>
      <c r="M2389" s="754">
        <f t="shared" si="99"/>
        <v>4987</v>
      </c>
      <c r="N2389" s="756">
        <v>19287.66</v>
      </c>
      <c r="O2389" s="720">
        <f t="shared" si="100"/>
        <v>0</v>
      </c>
    </row>
    <row r="2390" spans="1:15" outlineLevel="2" x14ac:dyDescent="0.25">
      <c r="A2390" s="207" t="e">
        <f>VLOOKUP(RIGHT(E2390,3)+0,SchLocTable!$A$2:$B$47,2,FALSE)</f>
        <v>#N/A</v>
      </c>
      <c r="B2390" s="207" t="str">
        <f>VLOOKUP(VALUE(D2390),$D$3:F$106,3,FALSE)</f>
        <v>Aquaculture</v>
      </c>
      <c r="C2390" s="751" t="s">
        <v>246</v>
      </c>
      <c r="D2390" s="751" t="s">
        <v>754</v>
      </c>
      <c r="E2390" s="751" t="s">
        <v>755</v>
      </c>
      <c r="F2390" s="751" t="s">
        <v>635</v>
      </c>
      <c r="G2390" s="752" t="s">
        <v>1681</v>
      </c>
      <c r="H2390" s="753">
        <v>56240</v>
      </c>
      <c r="I2390" s="754">
        <v>70423.58</v>
      </c>
      <c r="J2390" s="754">
        <v>0</v>
      </c>
      <c r="K2390" s="754">
        <v>0</v>
      </c>
      <c r="L2390" s="754">
        <v>0</v>
      </c>
      <c r="M2390" s="754">
        <f t="shared" si="99"/>
        <v>0</v>
      </c>
      <c r="N2390" s="756">
        <v>89024</v>
      </c>
      <c r="O2390" s="720">
        <f t="shared" si="100"/>
        <v>-18600.419999999998</v>
      </c>
    </row>
    <row r="2391" spans="1:15" outlineLevel="2" x14ac:dyDescent="0.25">
      <c r="A2391" s="207" t="str">
        <f>VLOOKUP(RIGHT(E2391,3)+0,SchLocTable!$A$2:$B$47,2,FALSE)</f>
        <v>Aquaculture</v>
      </c>
      <c r="B2391" s="207" t="str">
        <f>VLOOKUP(VALUE(D2391),$D$3:F$106,3,FALSE)</f>
        <v>Aquaculture</v>
      </c>
      <c r="C2391" s="751" t="s">
        <v>246</v>
      </c>
      <c r="D2391" s="751" t="s">
        <v>754</v>
      </c>
      <c r="E2391" s="751" t="s">
        <v>2186</v>
      </c>
      <c r="F2391" s="751" t="s">
        <v>248</v>
      </c>
      <c r="G2391" s="752">
        <v>1</v>
      </c>
      <c r="H2391" s="753">
        <v>51000</v>
      </c>
      <c r="I2391" s="754">
        <v>56252.55</v>
      </c>
      <c r="J2391" s="754">
        <v>0</v>
      </c>
      <c r="K2391" s="754">
        <v>0</v>
      </c>
      <c r="L2391" s="754">
        <v>10776.35</v>
      </c>
      <c r="M2391" s="754">
        <f t="shared" si="99"/>
        <v>10776.35</v>
      </c>
      <c r="N2391" s="756">
        <v>56252.55</v>
      </c>
      <c r="O2391" s="720">
        <f t="shared" si="100"/>
        <v>0</v>
      </c>
    </row>
    <row r="2392" spans="1:15" outlineLevel="2" x14ac:dyDescent="0.25">
      <c r="A2392" s="207" t="str">
        <f>VLOOKUP(RIGHT(E2392,3)+0,SchLocTable!$A$2:$B$47,2,FALSE)</f>
        <v>Aquaculture</v>
      </c>
      <c r="B2392" s="207" t="str">
        <f>VLOOKUP(VALUE(D2392),$D$3:F$106,3,FALSE)</f>
        <v>Aquaculture</v>
      </c>
      <c r="C2392" s="755" t="s">
        <v>246</v>
      </c>
      <c r="D2392" s="751" t="s">
        <v>754</v>
      </c>
      <c r="E2392" s="751" t="s">
        <v>2186</v>
      </c>
      <c r="F2392" s="751" t="s">
        <v>402</v>
      </c>
      <c r="G2392" s="752" t="s">
        <v>1681</v>
      </c>
      <c r="H2392" s="753">
        <v>51400</v>
      </c>
      <c r="I2392" s="754">
        <v>0.22</v>
      </c>
      <c r="J2392" s="754">
        <v>0</v>
      </c>
      <c r="K2392" s="754">
        <v>0</v>
      </c>
      <c r="L2392" s="754">
        <v>0.01</v>
      </c>
      <c r="M2392" s="754">
        <f t="shared" si="99"/>
        <v>0.01</v>
      </c>
      <c r="N2392" s="756">
        <v>0.22</v>
      </c>
      <c r="O2392" s="720">
        <f t="shared" si="100"/>
        <v>0</v>
      </c>
    </row>
    <row r="2393" spans="1:15" outlineLevel="2" x14ac:dyDescent="0.25">
      <c r="A2393" s="207" t="str">
        <f>VLOOKUP(RIGHT(E2393,3)+0,SchLocTable!$A$2:$B$47,2,FALSE)</f>
        <v>Aquaculture</v>
      </c>
      <c r="B2393" s="207" t="str">
        <f>VLOOKUP(VALUE(D2393),$D$3:F$106,3,FALSE)</f>
        <v>Aquaculture</v>
      </c>
      <c r="C2393" s="751" t="s">
        <v>246</v>
      </c>
      <c r="D2393" s="751" t="s">
        <v>754</v>
      </c>
      <c r="E2393" s="751" t="s">
        <v>2186</v>
      </c>
      <c r="F2393" s="751" t="s">
        <v>254</v>
      </c>
      <c r="G2393" s="752" t="s">
        <v>1681</v>
      </c>
      <c r="H2393" s="753">
        <v>52360</v>
      </c>
      <c r="I2393" s="754">
        <v>156.26</v>
      </c>
      <c r="J2393" s="754">
        <v>0</v>
      </c>
      <c r="K2393" s="754">
        <v>0</v>
      </c>
      <c r="L2393" s="754">
        <v>156.26</v>
      </c>
      <c r="M2393" s="754">
        <f t="shared" si="99"/>
        <v>156.26</v>
      </c>
      <c r="N2393" s="756">
        <v>156.26</v>
      </c>
      <c r="O2393" s="720">
        <f t="shared" si="100"/>
        <v>0</v>
      </c>
    </row>
    <row r="2394" spans="1:15" outlineLevel="2" x14ac:dyDescent="0.25">
      <c r="A2394" s="207" t="e">
        <f>VLOOKUP(RIGHT(E2394,3)+0,SchLocTable!$A$2:$B$47,2,FALSE)</f>
        <v>#N/A</v>
      </c>
      <c r="B2394" s="207" t="str">
        <f>VLOOKUP(VALUE(D2394),$D$3:F$106,3,FALSE)</f>
        <v>Aquaculture Support Staff</v>
      </c>
      <c r="C2394" s="751" t="s">
        <v>246</v>
      </c>
      <c r="D2394" s="751" t="s">
        <v>768</v>
      </c>
      <c r="E2394" s="751" t="s">
        <v>769</v>
      </c>
      <c r="F2394" s="751" t="s">
        <v>248</v>
      </c>
      <c r="G2394" s="752">
        <v>5</v>
      </c>
      <c r="H2394" s="753">
        <v>51000</v>
      </c>
      <c r="I2394" s="754">
        <v>255829.65</v>
      </c>
      <c r="J2394" s="754">
        <v>0</v>
      </c>
      <c r="K2394" s="754">
        <v>0</v>
      </c>
      <c r="L2394" s="754">
        <v>71738.899999999994</v>
      </c>
      <c r="M2394" s="754">
        <f t="shared" si="99"/>
        <v>71738.899999999994</v>
      </c>
      <c r="N2394" s="756">
        <v>255829.65</v>
      </c>
      <c r="O2394" s="720">
        <f t="shared" si="100"/>
        <v>0</v>
      </c>
    </row>
    <row r="2395" spans="1:15" outlineLevel="2" x14ac:dyDescent="0.25">
      <c r="A2395" s="207" t="e">
        <f>VLOOKUP(RIGHT(E2395,3)+0,SchLocTable!$A$2:$B$47,2,FALSE)</f>
        <v>#N/A</v>
      </c>
      <c r="B2395" s="207" t="str">
        <f>VLOOKUP(VALUE(D2395),$D$3:F$106,3,FALSE)</f>
        <v>Aquaculture Support Staff</v>
      </c>
      <c r="C2395" s="751" t="s">
        <v>246</v>
      </c>
      <c r="D2395" s="751" t="s">
        <v>768</v>
      </c>
      <c r="E2395" s="751" t="s">
        <v>769</v>
      </c>
      <c r="F2395" s="751" t="s">
        <v>250</v>
      </c>
      <c r="G2395" s="752">
        <v>3</v>
      </c>
      <c r="H2395" s="753">
        <v>51100</v>
      </c>
      <c r="I2395" s="754">
        <v>1059.08</v>
      </c>
      <c r="J2395" s="754">
        <v>0</v>
      </c>
      <c r="K2395" s="754">
        <v>0</v>
      </c>
      <c r="L2395" s="754">
        <v>1059.08</v>
      </c>
      <c r="M2395" s="754">
        <f t="shared" si="99"/>
        <v>1059.08</v>
      </c>
      <c r="N2395" s="756">
        <v>1059.08</v>
      </c>
      <c r="O2395" s="720">
        <f t="shared" si="100"/>
        <v>0</v>
      </c>
    </row>
    <row r="2396" spans="1:15" outlineLevel="2" x14ac:dyDescent="0.25">
      <c r="A2396" s="207" t="e">
        <f>VLOOKUP(RIGHT(E2396,3)+0,SchLocTable!$A$2:$B$47,2,FALSE)</f>
        <v>#N/A</v>
      </c>
      <c r="B2396" s="207" t="str">
        <f>VLOOKUP(VALUE(D2396),$D$3:F$106,3,FALSE)</f>
        <v>Aquaculture Support Staff</v>
      </c>
      <c r="C2396" s="751" t="s">
        <v>246</v>
      </c>
      <c r="D2396" s="751" t="s">
        <v>768</v>
      </c>
      <c r="E2396" s="751" t="s">
        <v>769</v>
      </c>
      <c r="F2396" s="751" t="s">
        <v>340</v>
      </c>
      <c r="G2396" s="752" t="s">
        <v>1681</v>
      </c>
      <c r="H2396" s="753">
        <v>51106</v>
      </c>
      <c r="I2396" s="754">
        <v>7382.95</v>
      </c>
      <c r="J2396" s="754">
        <v>0</v>
      </c>
      <c r="K2396" s="754">
        <v>0</v>
      </c>
      <c r="L2396" s="754">
        <v>2095.5500000000002</v>
      </c>
      <c r="M2396" s="754">
        <f t="shared" si="99"/>
        <v>2095.5500000000002</v>
      </c>
      <c r="N2396" s="756">
        <v>7382.95</v>
      </c>
      <c r="O2396" s="720">
        <f t="shared" si="100"/>
        <v>0</v>
      </c>
    </row>
    <row r="2397" spans="1:15" outlineLevel="2" x14ac:dyDescent="0.25">
      <c r="A2397" s="207" t="e">
        <f>VLOOKUP(RIGHT(E2397,3)+0,SchLocTable!$A$2:$B$47,2,FALSE)</f>
        <v>#N/A</v>
      </c>
      <c r="B2397" s="207" t="str">
        <f>VLOOKUP(VALUE(D2397),$D$3:F$106,3,FALSE)</f>
        <v>Aquaculture Support Staff</v>
      </c>
      <c r="C2397" s="755" t="s">
        <v>246</v>
      </c>
      <c r="D2397" s="751" t="s">
        <v>768</v>
      </c>
      <c r="E2397" s="751" t="s">
        <v>769</v>
      </c>
      <c r="F2397" s="751" t="s">
        <v>378</v>
      </c>
      <c r="G2397" s="752" t="s">
        <v>1681</v>
      </c>
      <c r="H2397" s="753">
        <v>51108</v>
      </c>
      <c r="I2397" s="754">
        <v>1964.43</v>
      </c>
      <c r="J2397" s="754">
        <v>0</v>
      </c>
      <c r="K2397" s="754">
        <v>0</v>
      </c>
      <c r="L2397" s="754">
        <v>1026.25</v>
      </c>
      <c r="M2397" s="754">
        <f t="shared" si="99"/>
        <v>1026.25</v>
      </c>
      <c r="N2397" s="756">
        <v>1964.43</v>
      </c>
      <c r="O2397" s="720">
        <f t="shared" si="100"/>
        <v>0</v>
      </c>
    </row>
    <row r="2398" spans="1:15" outlineLevel="2" x14ac:dyDescent="0.25">
      <c r="A2398" s="207" t="e">
        <f>VLOOKUP(RIGHT(E2398,3)+0,SchLocTable!$A$2:$B$47,2,FALSE)</f>
        <v>#N/A</v>
      </c>
      <c r="B2398" s="207" t="str">
        <f>VLOOKUP(VALUE(D2398),$D$3:F$106,3,FALSE)</f>
        <v>Aquaculture Support Staff</v>
      </c>
      <c r="C2398" s="751" t="s">
        <v>246</v>
      </c>
      <c r="D2398" s="751" t="s">
        <v>768</v>
      </c>
      <c r="E2398" s="751" t="s">
        <v>769</v>
      </c>
      <c r="F2398" s="751" t="s">
        <v>257</v>
      </c>
      <c r="G2398" s="752" t="s">
        <v>1681</v>
      </c>
      <c r="H2398" s="753">
        <v>51140</v>
      </c>
      <c r="I2398" s="754">
        <v>1200</v>
      </c>
      <c r="J2398" s="754">
        <v>0</v>
      </c>
      <c r="K2398" s="754">
        <v>0</v>
      </c>
      <c r="L2398" s="754">
        <v>1200</v>
      </c>
      <c r="M2398" s="754">
        <f t="shared" si="99"/>
        <v>1200</v>
      </c>
      <c r="N2398" s="756">
        <v>1200</v>
      </c>
      <c r="O2398" s="720">
        <f t="shared" si="100"/>
        <v>0</v>
      </c>
    </row>
    <row r="2399" spans="1:15" outlineLevel="2" x14ac:dyDescent="0.25">
      <c r="A2399" s="207" t="e">
        <f>VLOOKUP(RIGHT(E2399,3)+0,SchLocTable!$A$2:$B$47,2,FALSE)</f>
        <v>#N/A</v>
      </c>
      <c r="B2399" s="207" t="str">
        <f>VLOOKUP(VALUE(D2399),$D$3:F$106,3,FALSE)</f>
        <v>Aquaculture Support Staff</v>
      </c>
      <c r="C2399" s="755" t="s">
        <v>246</v>
      </c>
      <c r="D2399" s="751" t="s">
        <v>768</v>
      </c>
      <c r="E2399" s="751" t="s">
        <v>769</v>
      </c>
      <c r="F2399" s="751" t="s">
        <v>402</v>
      </c>
      <c r="G2399" s="752">
        <v>3</v>
      </c>
      <c r="H2399" s="753">
        <v>51400</v>
      </c>
      <c r="I2399" s="754">
        <v>1092.79</v>
      </c>
      <c r="J2399" s="754">
        <v>0</v>
      </c>
      <c r="K2399" s="754">
        <v>0</v>
      </c>
      <c r="L2399" s="754">
        <v>210.56</v>
      </c>
      <c r="M2399" s="754">
        <f t="shared" si="99"/>
        <v>210.56</v>
      </c>
      <c r="N2399" s="756">
        <v>1092.79</v>
      </c>
      <c r="O2399" s="720">
        <f t="shared" si="100"/>
        <v>0</v>
      </c>
    </row>
    <row r="2400" spans="1:15" outlineLevel="2" x14ac:dyDescent="0.25">
      <c r="A2400" s="207" t="e">
        <f>VLOOKUP(RIGHT(E2400,3)+0,SchLocTable!$A$2:$B$47,2,FALSE)</f>
        <v>#N/A</v>
      </c>
      <c r="B2400" s="207" t="str">
        <f>VLOOKUP(VALUE(D2400),$D$3:F$106,3,FALSE)</f>
        <v>Aquaculture Support Staff</v>
      </c>
      <c r="C2400" s="751" t="s">
        <v>246</v>
      </c>
      <c r="D2400" s="751" t="s">
        <v>768</v>
      </c>
      <c r="E2400" s="751" t="s">
        <v>769</v>
      </c>
      <c r="F2400" s="751" t="s">
        <v>254</v>
      </c>
      <c r="G2400" s="752" t="s">
        <v>1681</v>
      </c>
      <c r="H2400" s="753">
        <v>52360</v>
      </c>
      <c r="I2400" s="754">
        <v>3813.12</v>
      </c>
      <c r="J2400" s="754">
        <v>0</v>
      </c>
      <c r="K2400" s="754">
        <v>0</v>
      </c>
      <c r="L2400" s="754">
        <v>1053.53</v>
      </c>
      <c r="M2400" s="754">
        <f t="shared" si="99"/>
        <v>1053.53</v>
      </c>
      <c r="N2400" s="756">
        <v>3813.12</v>
      </c>
      <c r="O2400" s="720">
        <f t="shared" si="100"/>
        <v>0</v>
      </c>
    </row>
    <row r="2401" spans="1:15" outlineLevel="2" x14ac:dyDescent="0.25">
      <c r="A2401" s="207" t="e">
        <f>VLOOKUP(RIGHT(E2401,3)+0,SchLocTable!$A$2:$B$47,2,FALSE)</f>
        <v>#N/A</v>
      </c>
      <c r="B2401" s="207" t="str">
        <f>VLOOKUP(VALUE(D2401),$D$3:F$106,3,FALSE)</f>
        <v>Aquaculture Support Staff</v>
      </c>
      <c r="C2401" s="751" t="s">
        <v>246</v>
      </c>
      <c r="D2401" s="751" t="s">
        <v>768</v>
      </c>
      <c r="E2401" s="751" t="s">
        <v>769</v>
      </c>
      <c r="F2401" s="751" t="s">
        <v>292</v>
      </c>
      <c r="G2401" s="752" t="s">
        <v>1681</v>
      </c>
      <c r="H2401" s="753">
        <v>52385</v>
      </c>
      <c r="I2401" s="754">
        <v>78.709999999999994</v>
      </c>
      <c r="J2401" s="754">
        <v>0</v>
      </c>
      <c r="K2401" s="754">
        <v>0</v>
      </c>
      <c r="L2401" s="754">
        <v>78.709999999999994</v>
      </c>
      <c r="M2401" s="754">
        <f t="shared" si="99"/>
        <v>78.709999999999994</v>
      </c>
      <c r="N2401" s="756">
        <v>78.709999999999994</v>
      </c>
      <c r="O2401" s="720">
        <f t="shared" si="100"/>
        <v>0</v>
      </c>
    </row>
    <row r="2402" spans="1:15" outlineLevel="2" x14ac:dyDescent="0.25">
      <c r="A2402" s="207" t="e">
        <f>VLOOKUP(RIGHT(E2402,3)+0,SchLocTable!$A$2:$B$47,2,FALSE)</f>
        <v>#N/A</v>
      </c>
      <c r="B2402" s="207" t="str">
        <f>VLOOKUP(VALUE(D2402),$D$3:F$106,3,FALSE)</f>
        <v>Aquaculture Support Staff</v>
      </c>
      <c r="C2402" s="751" t="s">
        <v>246</v>
      </c>
      <c r="D2402" s="751" t="s">
        <v>768</v>
      </c>
      <c r="E2402" s="751" t="s">
        <v>769</v>
      </c>
      <c r="F2402" s="751" t="s">
        <v>331</v>
      </c>
      <c r="G2402" s="752" t="s">
        <v>1681</v>
      </c>
      <c r="H2402" s="753">
        <v>52504</v>
      </c>
      <c r="I2402" s="754">
        <v>54847.01</v>
      </c>
      <c r="J2402" s="754">
        <v>0</v>
      </c>
      <c r="K2402" s="754">
        <v>0</v>
      </c>
      <c r="L2402" s="754">
        <v>15660.88</v>
      </c>
      <c r="M2402" s="754">
        <f t="shared" si="99"/>
        <v>15660.88</v>
      </c>
      <c r="N2402" s="756">
        <v>54847.01</v>
      </c>
      <c r="O2402" s="720">
        <f t="shared" si="100"/>
        <v>0</v>
      </c>
    </row>
    <row r="2403" spans="1:15" outlineLevel="2" x14ac:dyDescent="0.25">
      <c r="A2403" s="207" t="e">
        <f>VLOOKUP(RIGHT(E2403,3)+0,SchLocTable!$A$2:$B$47,2,FALSE)</f>
        <v>#N/A</v>
      </c>
      <c r="B2403" s="207" t="str">
        <f>VLOOKUP(VALUE(D2403),$D$3:F$106,3,FALSE)</f>
        <v>Aquaculture Support Staff</v>
      </c>
      <c r="C2403" s="751" t="s">
        <v>246</v>
      </c>
      <c r="D2403" s="751" t="s">
        <v>768</v>
      </c>
      <c r="E2403" s="751" t="s">
        <v>769</v>
      </c>
      <c r="F2403" s="751" t="s">
        <v>259</v>
      </c>
      <c r="G2403" s="752" t="s">
        <v>1681</v>
      </c>
      <c r="H2403" s="753">
        <v>52917</v>
      </c>
      <c r="I2403" s="754">
        <v>36423.32</v>
      </c>
      <c r="J2403" s="754">
        <v>0</v>
      </c>
      <c r="K2403" s="754">
        <v>0</v>
      </c>
      <c r="L2403" s="754">
        <v>10032.39</v>
      </c>
      <c r="M2403" s="754">
        <f t="shared" si="99"/>
        <v>10032.39</v>
      </c>
      <c r="N2403" s="756">
        <v>36423.32</v>
      </c>
      <c r="O2403" s="720">
        <f t="shared" si="100"/>
        <v>0</v>
      </c>
    </row>
    <row r="2404" spans="1:15" outlineLevel="2" x14ac:dyDescent="0.25">
      <c r="A2404" s="207" t="e">
        <f>VLOOKUP(RIGHT(E2404,3)+0,SchLocTable!$A$2:$B$47,2,FALSE)</f>
        <v>#N/A</v>
      </c>
      <c r="B2404" s="207" t="str">
        <f>VLOOKUP(VALUE(D2404),$D$3:F$106,3,FALSE)</f>
        <v>Aquaculture Support Staff</v>
      </c>
      <c r="C2404" s="751" t="s">
        <v>246</v>
      </c>
      <c r="D2404" s="751" t="s">
        <v>768</v>
      </c>
      <c r="E2404" s="751" t="s">
        <v>769</v>
      </c>
      <c r="F2404" s="751" t="s">
        <v>333</v>
      </c>
      <c r="G2404" s="752" t="s">
        <v>1681</v>
      </c>
      <c r="H2404" s="753">
        <v>52920</v>
      </c>
      <c r="I2404" s="754">
        <v>1000</v>
      </c>
      <c r="J2404" s="754">
        <v>0</v>
      </c>
      <c r="K2404" s="754">
        <v>0</v>
      </c>
      <c r="L2404" s="754">
        <v>0</v>
      </c>
      <c r="M2404" s="754">
        <f t="shared" si="99"/>
        <v>0</v>
      </c>
      <c r="N2404" s="756">
        <v>1000</v>
      </c>
      <c r="O2404" s="720">
        <f t="shared" si="100"/>
        <v>0</v>
      </c>
    </row>
    <row r="2405" spans="1:15" outlineLevel="2" x14ac:dyDescent="0.25">
      <c r="A2405" s="207" t="e">
        <f>VLOOKUP(RIGHT(E2405,3)+0,SchLocTable!$A$2:$B$47,2,FALSE)</f>
        <v>#N/A</v>
      </c>
      <c r="B2405" s="207" t="str">
        <f>VLOOKUP(VALUE(D2405),$D$3:F$106,3,FALSE)</f>
        <v>Agriculture</v>
      </c>
      <c r="C2405" s="751" t="s">
        <v>246</v>
      </c>
      <c r="D2405" s="751" t="s">
        <v>770</v>
      </c>
      <c r="E2405" s="751" t="s">
        <v>1486</v>
      </c>
      <c r="F2405" s="751" t="s">
        <v>688</v>
      </c>
      <c r="G2405" s="752" t="s">
        <v>1681</v>
      </c>
      <c r="H2405" s="753">
        <v>55540</v>
      </c>
      <c r="I2405" s="754">
        <v>378855</v>
      </c>
      <c r="J2405" s="754">
        <v>0</v>
      </c>
      <c r="K2405" s="754">
        <v>0</v>
      </c>
      <c r="L2405" s="754">
        <v>0</v>
      </c>
      <c r="M2405" s="754">
        <f t="shared" si="99"/>
        <v>0</v>
      </c>
      <c r="N2405" s="756">
        <v>326464.01</v>
      </c>
      <c r="O2405" s="720">
        <f t="shared" si="100"/>
        <v>52390.989999999991</v>
      </c>
    </row>
    <row r="2406" spans="1:15" outlineLevel="2" x14ac:dyDescent="0.25">
      <c r="A2406" s="207" t="e">
        <f>VLOOKUP(RIGHT(E2406,3)+0,SchLocTable!$A$2:$B$47,2,FALSE)</f>
        <v>#N/A</v>
      </c>
      <c r="B2406" s="207" t="str">
        <f>VLOOKUP(VALUE(D2406),$D$3:F$106,3,FALSE)</f>
        <v>Agriculture</v>
      </c>
      <c r="C2406" s="755" t="s">
        <v>246</v>
      </c>
      <c r="D2406" s="751" t="s">
        <v>770</v>
      </c>
      <c r="E2406" s="751" t="s">
        <v>1486</v>
      </c>
      <c r="F2406" s="751" t="s">
        <v>635</v>
      </c>
      <c r="G2406" s="752" t="s">
        <v>1681</v>
      </c>
      <c r="H2406" s="753">
        <v>56240</v>
      </c>
      <c r="I2406" s="754">
        <v>135000</v>
      </c>
      <c r="J2406" s="754">
        <v>0</v>
      </c>
      <c r="K2406" s="754">
        <v>0</v>
      </c>
      <c r="L2406" s="754">
        <v>0</v>
      </c>
      <c r="M2406" s="754">
        <f t="shared" si="99"/>
        <v>0</v>
      </c>
      <c r="N2406" s="756">
        <v>164911.82</v>
      </c>
      <c r="O2406" s="720">
        <f t="shared" si="100"/>
        <v>-29911.820000000007</v>
      </c>
    </row>
    <row r="2407" spans="1:15" outlineLevel="2" x14ac:dyDescent="0.25">
      <c r="A2407" s="207" t="e">
        <f>VLOOKUP(RIGHT(E2407,3)+0,SchLocTable!$A$2:$B$47,2,FALSE)</f>
        <v>#N/A</v>
      </c>
      <c r="B2407" s="207" t="str">
        <f>VLOOKUP(VALUE(D2407),$D$3:F$106,3,FALSE)</f>
        <v>Magnet High School</v>
      </c>
      <c r="C2407" s="751" t="s">
        <v>246</v>
      </c>
      <c r="D2407" s="751" t="s">
        <v>2133</v>
      </c>
      <c r="E2407" s="751" t="s">
        <v>2134</v>
      </c>
      <c r="F2407" s="751" t="s">
        <v>688</v>
      </c>
      <c r="G2407" s="752" t="s">
        <v>1681</v>
      </c>
      <c r="H2407" s="753">
        <v>55540</v>
      </c>
      <c r="I2407" s="754">
        <v>0</v>
      </c>
      <c r="J2407" s="754">
        <v>0</v>
      </c>
      <c r="K2407" s="754">
        <v>0</v>
      </c>
      <c r="L2407" s="754">
        <v>0</v>
      </c>
      <c r="M2407" s="754">
        <f t="shared" si="99"/>
        <v>0</v>
      </c>
      <c r="N2407" s="756">
        <v>-798000</v>
      </c>
      <c r="O2407" s="720">
        <f t="shared" si="100"/>
        <v>798000</v>
      </c>
    </row>
    <row r="2408" spans="1:15" outlineLevel="2" x14ac:dyDescent="0.25">
      <c r="A2408" s="207" t="e">
        <f>VLOOKUP(RIGHT(E2408,3)+0,SchLocTable!$A$2:$B$47,2,FALSE)</f>
        <v>#N/A</v>
      </c>
      <c r="B2408" s="207" t="str">
        <f>VLOOKUP(VALUE(D2408),$D$3:F$106,3,FALSE)</f>
        <v>Discovery Magnet</v>
      </c>
      <c r="C2408" s="751" t="s">
        <v>246</v>
      </c>
      <c r="D2408" s="751" t="s">
        <v>771</v>
      </c>
      <c r="E2408" s="751" t="s">
        <v>772</v>
      </c>
      <c r="F2408" s="751" t="s">
        <v>248</v>
      </c>
      <c r="G2408" s="752">
        <v>4</v>
      </c>
      <c r="H2408" s="753">
        <v>51000</v>
      </c>
      <c r="I2408" s="754">
        <v>362004.13</v>
      </c>
      <c r="J2408" s="754">
        <v>0</v>
      </c>
      <c r="K2408" s="754">
        <v>0</v>
      </c>
      <c r="L2408" s="754">
        <v>69349.45</v>
      </c>
      <c r="M2408" s="754">
        <f t="shared" si="99"/>
        <v>69349.45</v>
      </c>
      <c r="N2408" s="756">
        <v>362004.13</v>
      </c>
      <c r="O2408" s="720">
        <f t="shared" si="100"/>
        <v>0</v>
      </c>
    </row>
    <row r="2409" spans="1:15" outlineLevel="2" x14ac:dyDescent="0.25">
      <c r="A2409" s="207" t="e">
        <f>VLOOKUP(RIGHT(E2409,3)+0,SchLocTable!$A$2:$B$47,2,FALSE)</f>
        <v>#N/A</v>
      </c>
      <c r="B2409" s="207" t="str">
        <f>VLOOKUP(VALUE(D2409),$D$3:F$106,3,FALSE)</f>
        <v>Discovery Magnet</v>
      </c>
      <c r="C2409" s="751" t="s">
        <v>246</v>
      </c>
      <c r="D2409" s="751" t="s">
        <v>771</v>
      </c>
      <c r="E2409" s="751" t="s">
        <v>772</v>
      </c>
      <c r="F2409" s="751" t="s">
        <v>257</v>
      </c>
      <c r="G2409" s="752" t="s">
        <v>1681</v>
      </c>
      <c r="H2409" s="753">
        <v>51140</v>
      </c>
      <c r="I2409" s="754">
        <v>2700</v>
      </c>
      <c r="J2409" s="754">
        <v>0</v>
      </c>
      <c r="K2409" s="754">
        <v>0</v>
      </c>
      <c r="L2409" s="754">
        <v>0</v>
      </c>
      <c r="M2409" s="754">
        <f t="shared" si="99"/>
        <v>0</v>
      </c>
      <c r="N2409" s="756">
        <v>2700</v>
      </c>
      <c r="O2409" s="720">
        <f t="shared" si="100"/>
        <v>0</v>
      </c>
    </row>
    <row r="2410" spans="1:15" outlineLevel="2" x14ac:dyDescent="0.25">
      <c r="A2410" s="207" t="e">
        <f>VLOOKUP(RIGHT(E2410,3)+0,SchLocTable!$A$2:$B$47,2,FALSE)</f>
        <v>#N/A</v>
      </c>
      <c r="B2410" s="207" t="str">
        <f>VLOOKUP(VALUE(D2410),$D$3:F$106,3,FALSE)</f>
        <v>Discovery Magnet</v>
      </c>
      <c r="C2410" s="751" t="s">
        <v>246</v>
      </c>
      <c r="D2410" s="751" t="s">
        <v>771</v>
      </c>
      <c r="E2410" s="751" t="s">
        <v>772</v>
      </c>
      <c r="F2410" s="751" t="s">
        <v>254</v>
      </c>
      <c r="G2410" s="752" t="s">
        <v>1681</v>
      </c>
      <c r="H2410" s="753">
        <v>52360</v>
      </c>
      <c r="I2410" s="754">
        <v>5153.75</v>
      </c>
      <c r="J2410" s="754">
        <v>0</v>
      </c>
      <c r="K2410" s="754">
        <v>0</v>
      </c>
      <c r="L2410" s="754">
        <v>910.26</v>
      </c>
      <c r="M2410" s="754">
        <f t="shared" si="99"/>
        <v>910.26</v>
      </c>
      <c r="N2410" s="756">
        <v>5153.75</v>
      </c>
      <c r="O2410" s="720">
        <f t="shared" si="100"/>
        <v>0</v>
      </c>
    </row>
    <row r="2411" spans="1:15" outlineLevel="2" x14ac:dyDescent="0.25">
      <c r="A2411" s="207" t="e">
        <f>VLOOKUP(RIGHT(E2411,3)+0,SchLocTable!$A$2:$B$47,2,FALSE)</f>
        <v>#N/A</v>
      </c>
      <c r="B2411" s="207" t="str">
        <f>VLOOKUP(VALUE(D2411),$D$3:F$106,3,FALSE)</f>
        <v>Discovery Magnet</v>
      </c>
      <c r="C2411" s="751" t="s">
        <v>246</v>
      </c>
      <c r="D2411" s="751" t="s">
        <v>771</v>
      </c>
      <c r="E2411" s="751" t="s">
        <v>772</v>
      </c>
      <c r="F2411" s="751" t="s">
        <v>259</v>
      </c>
      <c r="G2411" s="752" t="s">
        <v>1681</v>
      </c>
      <c r="H2411" s="753">
        <v>52917</v>
      </c>
      <c r="I2411" s="754">
        <v>93743.16</v>
      </c>
      <c r="J2411" s="754">
        <v>0</v>
      </c>
      <c r="K2411" s="754">
        <v>0</v>
      </c>
      <c r="L2411" s="754">
        <v>22319.8</v>
      </c>
      <c r="M2411" s="754">
        <f t="shared" si="99"/>
        <v>22319.8</v>
      </c>
      <c r="N2411" s="756">
        <v>93743.16</v>
      </c>
      <c r="O2411" s="720">
        <f t="shared" si="100"/>
        <v>0</v>
      </c>
    </row>
    <row r="2412" spans="1:15" outlineLevel="2" x14ac:dyDescent="0.25">
      <c r="A2412" s="207" t="e">
        <f>VLOOKUP(RIGHT(E2412,3)+0,SchLocTable!$A$2:$B$47,2,FALSE)</f>
        <v>#N/A</v>
      </c>
      <c r="B2412" s="207" t="str">
        <f>VLOOKUP(VALUE(D2412),$D$3:F$106,3,FALSE)</f>
        <v>"6 to 6" Magnet School</v>
      </c>
      <c r="C2412" s="755" t="s">
        <v>246</v>
      </c>
      <c r="D2412" s="751" t="s">
        <v>773</v>
      </c>
      <c r="E2412" s="751" t="s">
        <v>774</v>
      </c>
      <c r="F2412" s="751" t="s">
        <v>688</v>
      </c>
      <c r="G2412" s="752" t="s">
        <v>1681</v>
      </c>
      <c r="H2412" s="753">
        <v>55540</v>
      </c>
      <c r="I2412" s="754">
        <v>956400</v>
      </c>
      <c r="J2412" s="754">
        <v>781850</v>
      </c>
      <c r="K2412" s="754">
        <v>0</v>
      </c>
      <c r="L2412" s="754">
        <v>0</v>
      </c>
      <c r="M2412" s="754">
        <f t="shared" si="99"/>
        <v>781850</v>
      </c>
      <c r="N2412" s="756">
        <v>1278918.6599999999</v>
      </c>
      <c r="O2412" s="720">
        <f t="shared" si="100"/>
        <v>-322518.65999999992</v>
      </c>
    </row>
    <row r="2413" spans="1:15" outlineLevel="2" x14ac:dyDescent="0.25">
      <c r="A2413" s="207" t="e">
        <f>VLOOKUP(RIGHT(E2413,3)+0,SchLocTable!$A$2:$B$47,2,FALSE)</f>
        <v>#N/A</v>
      </c>
      <c r="B2413" s="207" t="str">
        <f>VLOOKUP(VALUE(D2413),$D$3:F$106,3,FALSE)</f>
        <v>"6 to 6" Magnet School</v>
      </c>
      <c r="C2413" s="751" t="s">
        <v>246</v>
      </c>
      <c r="D2413" s="751" t="s">
        <v>773</v>
      </c>
      <c r="E2413" s="751" t="s">
        <v>774</v>
      </c>
      <c r="F2413" s="751" t="s">
        <v>635</v>
      </c>
      <c r="G2413" s="752" t="s">
        <v>1681</v>
      </c>
      <c r="H2413" s="753">
        <v>56240</v>
      </c>
      <c r="I2413" s="754">
        <v>216193.2</v>
      </c>
      <c r="J2413" s="754">
        <v>0</v>
      </c>
      <c r="K2413" s="754">
        <v>0</v>
      </c>
      <c r="L2413" s="754">
        <v>0</v>
      </c>
      <c r="M2413" s="754">
        <f t="shared" si="99"/>
        <v>0</v>
      </c>
      <c r="N2413" s="756">
        <v>248773.23</v>
      </c>
      <c r="O2413" s="720">
        <f t="shared" si="100"/>
        <v>-32580.03</v>
      </c>
    </row>
    <row r="2414" spans="1:15" outlineLevel="2" x14ac:dyDescent="0.25">
      <c r="A2414" s="207" t="e">
        <f>VLOOKUP(RIGHT(E2414,3)+0,SchLocTable!$A$2:$B$47,2,FALSE)</f>
        <v>#N/A</v>
      </c>
      <c r="B2414" s="207" t="str">
        <f>VLOOKUP(VALUE(D2414),$D$3:F$106,3,FALSE)</f>
        <v>Reg Ctr Performing Arts</v>
      </c>
      <c r="C2414" s="751" t="s">
        <v>246</v>
      </c>
      <c r="D2414" s="751" t="s">
        <v>775</v>
      </c>
      <c r="E2414" s="751" t="s">
        <v>776</v>
      </c>
      <c r="F2414" s="751" t="s">
        <v>688</v>
      </c>
      <c r="G2414" s="752" t="s">
        <v>1681</v>
      </c>
      <c r="H2414" s="753">
        <v>55540</v>
      </c>
      <c r="I2414" s="754">
        <v>205400</v>
      </c>
      <c r="J2414" s="754">
        <v>130113</v>
      </c>
      <c r="K2414" s="754">
        <v>0</v>
      </c>
      <c r="L2414" s="754">
        <v>0</v>
      </c>
      <c r="M2414" s="754">
        <f t="shared" si="99"/>
        <v>130113</v>
      </c>
      <c r="N2414" s="756">
        <v>244524</v>
      </c>
      <c r="O2414" s="720">
        <f t="shared" si="100"/>
        <v>-39124</v>
      </c>
    </row>
    <row r="2415" spans="1:15" outlineLevel="2" x14ac:dyDescent="0.25">
      <c r="A2415" s="207" t="e">
        <f>VLOOKUP(RIGHT(E2415,3)+0,SchLocTable!$A$2:$B$47,2,FALSE)</f>
        <v>#N/A</v>
      </c>
      <c r="B2415" s="207" t="str">
        <f>VLOOKUP(VALUE(D2415),$D$3:F$106,3,FALSE)</f>
        <v>Reg Ctr Performing Arts</v>
      </c>
      <c r="C2415" s="751" t="s">
        <v>246</v>
      </c>
      <c r="D2415" s="751" t="s">
        <v>775</v>
      </c>
      <c r="E2415" s="751" t="s">
        <v>776</v>
      </c>
      <c r="F2415" s="751" t="s">
        <v>635</v>
      </c>
      <c r="G2415" s="752" t="s">
        <v>1681</v>
      </c>
      <c r="H2415" s="753">
        <v>56240</v>
      </c>
      <c r="I2415" s="754">
        <v>56830</v>
      </c>
      <c r="J2415" s="754">
        <v>0</v>
      </c>
      <c r="K2415" s="754">
        <v>0</v>
      </c>
      <c r="L2415" s="754">
        <v>0</v>
      </c>
      <c r="M2415" s="754">
        <f t="shared" si="99"/>
        <v>0</v>
      </c>
      <c r="N2415" s="756">
        <v>77425.2</v>
      </c>
      <c r="O2415" s="720">
        <f t="shared" si="100"/>
        <v>-20595.199999999997</v>
      </c>
    </row>
    <row r="2416" spans="1:15" outlineLevel="2" x14ac:dyDescent="0.25">
      <c r="A2416" s="207" t="e">
        <f>VLOOKUP(RIGHT(E2416,3)+0,SchLocTable!$A$2:$B$47,2,FALSE)</f>
        <v>#N/A</v>
      </c>
      <c r="B2416" s="207" t="str">
        <f>VLOOKUP(VALUE(D2416),$D$3:F$106,3,FALSE)</f>
        <v>Educational Technology</v>
      </c>
      <c r="C2416" s="751" t="s">
        <v>246</v>
      </c>
      <c r="D2416" s="751" t="s">
        <v>777</v>
      </c>
      <c r="E2416" s="751" t="s">
        <v>778</v>
      </c>
      <c r="F2416" s="751" t="s">
        <v>402</v>
      </c>
      <c r="G2416" s="752" t="s">
        <v>1681</v>
      </c>
      <c r="H2416" s="753">
        <v>51400</v>
      </c>
      <c r="I2416" s="754">
        <v>13954.84</v>
      </c>
      <c r="J2416" s="754">
        <v>0</v>
      </c>
      <c r="K2416" s="754">
        <v>0</v>
      </c>
      <c r="L2416" s="754">
        <v>0</v>
      </c>
      <c r="M2416" s="754">
        <f t="shared" si="99"/>
        <v>0</v>
      </c>
      <c r="N2416" s="756">
        <v>13954.84</v>
      </c>
      <c r="O2416" s="720">
        <f t="shared" si="100"/>
        <v>0</v>
      </c>
    </row>
    <row r="2417" spans="1:15" outlineLevel="2" x14ac:dyDescent="0.25">
      <c r="A2417" s="207" t="e">
        <f>VLOOKUP(RIGHT(E2417,3)+0,SchLocTable!$A$2:$B$47,2,FALSE)</f>
        <v>#N/A</v>
      </c>
      <c r="B2417" s="207" t="str">
        <f>VLOOKUP(VALUE(D2417),$D$3:F$106,3,FALSE)</f>
        <v>Educational Technology</v>
      </c>
      <c r="C2417" s="751" t="s">
        <v>246</v>
      </c>
      <c r="D2417" s="751" t="s">
        <v>777</v>
      </c>
      <c r="E2417" s="751" t="s">
        <v>778</v>
      </c>
      <c r="F2417" s="751" t="s">
        <v>254</v>
      </c>
      <c r="G2417" s="752" t="s">
        <v>1681</v>
      </c>
      <c r="H2417" s="753">
        <v>52360</v>
      </c>
      <c r="I2417" s="754">
        <v>0</v>
      </c>
      <c r="J2417" s="754">
        <v>0</v>
      </c>
      <c r="K2417" s="754">
        <v>0</v>
      </c>
      <c r="L2417" s="754">
        <v>0</v>
      </c>
      <c r="M2417" s="754">
        <f t="shared" si="99"/>
        <v>0</v>
      </c>
      <c r="N2417" s="756">
        <v>0</v>
      </c>
      <c r="O2417" s="720">
        <f t="shared" si="100"/>
        <v>0</v>
      </c>
    </row>
    <row r="2418" spans="1:15" outlineLevel="2" x14ac:dyDescent="0.25">
      <c r="A2418" s="207" t="e">
        <f>VLOOKUP(RIGHT(E2418,3)+0,SchLocTable!$A$2:$B$47,2,FALSE)</f>
        <v>#N/A</v>
      </c>
      <c r="B2418" s="207" t="str">
        <f>VLOOKUP(VALUE(D2418),$D$3:F$106,3,FALSE)</f>
        <v>Educational Technology</v>
      </c>
      <c r="C2418" s="751" t="s">
        <v>246</v>
      </c>
      <c r="D2418" s="751" t="s">
        <v>777</v>
      </c>
      <c r="E2418" s="751" t="s">
        <v>778</v>
      </c>
      <c r="F2418" s="751" t="s">
        <v>331</v>
      </c>
      <c r="G2418" s="752" t="s">
        <v>1681</v>
      </c>
      <c r="H2418" s="753">
        <v>52504</v>
      </c>
      <c r="I2418" s="754">
        <v>0</v>
      </c>
      <c r="J2418" s="754">
        <v>0</v>
      </c>
      <c r="K2418" s="754">
        <v>0</v>
      </c>
      <c r="L2418" s="754">
        <v>0</v>
      </c>
      <c r="M2418" s="754">
        <f t="shared" si="99"/>
        <v>0</v>
      </c>
      <c r="N2418" s="756">
        <v>0</v>
      </c>
      <c r="O2418" s="720">
        <f t="shared" si="100"/>
        <v>0</v>
      </c>
    </row>
    <row r="2419" spans="1:15" outlineLevel="2" x14ac:dyDescent="0.25">
      <c r="A2419" s="207" t="e">
        <f>VLOOKUP(RIGHT(E2419,3)+0,SchLocTable!$A$2:$B$47,2,FALSE)</f>
        <v>#N/A</v>
      </c>
      <c r="B2419" s="207" t="str">
        <f>VLOOKUP(VALUE(D2419),$D$3:F$106,3,FALSE)</f>
        <v>Athletics</v>
      </c>
      <c r="C2419" s="751" t="s">
        <v>246</v>
      </c>
      <c r="D2419" s="751" t="s">
        <v>779</v>
      </c>
      <c r="E2419" s="751" t="s">
        <v>780</v>
      </c>
      <c r="F2419" s="751" t="s">
        <v>248</v>
      </c>
      <c r="G2419" s="752" t="s">
        <v>1681</v>
      </c>
      <c r="H2419" s="753">
        <v>51000</v>
      </c>
      <c r="I2419" s="754">
        <v>150</v>
      </c>
      <c r="J2419" s="754">
        <v>0</v>
      </c>
      <c r="K2419" s="754">
        <v>0</v>
      </c>
      <c r="L2419" s="754">
        <v>150</v>
      </c>
      <c r="M2419" s="754">
        <f t="shared" si="99"/>
        <v>150</v>
      </c>
      <c r="N2419" s="756">
        <v>150</v>
      </c>
      <c r="O2419" s="720">
        <f t="shared" si="100"/>
        <v>0</v>
      </c>
    </row>
    <row r="2420" spans="1:15" outlineLevel="2" x14ac:dyDescent="0.25">
      <c r="A2420" s="207" t="e">
        <f>VLOOKUP(RIGHT(E2420,3)+0,SchLocTable!$A$2:$B$47,2,FALSE)</f>
        <v>#N/A</v>
      </c>
      <c r="B2420" s="207" t="str">
        <f>VLOOKUP(VALUE(D2420),$D$3:F$106,3,FALSE)</f>
        <v>Athletics</v>
      </c>
      <c r="C2420" s="755" t="s">
        <v>246</v>
      </c>
      <c r="D2420" s="751" t="s">
        <v>779</v>
      </c>
      <c r="E2420" s="751" t="s">
        <v>780</v>
      </c>
      <c r="F2420" s="751" t="s">
        <v>781</v>
      </c>
      <c r="G2420" s="752">
        <v>3</v>
      </c>
      <c r="H2420" s="753">
        <v>51142</v>
      </c>
      <c r="I2420" s="754">
        <v>5620</v>
      </c>
      <c r="J2420" s="754">
        <v>0</v>
      </c>
      <c r="K2420" s="754">
        <v>0</v>
      </c>
      <c r="L2420" s="754">
        <v>5620</v>
      </c>
      <c r="M2420" s="754">
        <f t="shared" si="99"/>
        <v>5620</v>
      </c>
      <c r="N2420" s="756">
        <v>5620</v>
      </c>
      <c r="O2420" s="720">
        <f t="shared" si="100"/>
        <v>0</v>
      </c>
    </row>
    <row r="2421" spans="1:15" outlineLevel="2" x14ac:dyDescent="0.25">
      <c r="A2421" s="207" t="e">
        <f>VLOOKUP(RIGHT(E2421,3)+0,SchLocTable!$A$2:$B$47,2,FALSE)</f>
        <v>#N/A</v>
      </c>
      <c r="B2421" s="207" t="str">
        <f>VLOOKUP(VALUE(D2421),$D$3:F$106,3,FALSE)</f>
        <v>Athletics</v>
      </c>
      <c r="C2421" s="751" t="s">
        <v>246</v>
      </c>
      <c r="D2421" s="751" t="s">
        <v>779</v>
      </c>
      <c r="E2421" s="751" t="s">
        <v>780</v>
      </c>
      <c r="F2421" s="751" t="s">
        <v>782</v>
      </c>
      <c r="G2421" s="752">
        <v>26</v>
      </c>
      <c r="H2421" s="753">
        <v>51144</v>
      </c>
      <c r="I2421" s="754">
        <v>323367.46000000002</v>
      </c>
      <c r="J2421" s="754">
        <v>0</v>
      </c>
      <c r="K2421" s="754">
        <v>0</v>
      </c>
      <c r="L2421" s="754">
        <v>5148</v>
      </c>
      <c r="M2421" s="754">
        <f t="shared" si="99"/>
        <v>5148</v>
      </c>
      <c r="N2421" s="756">
        <v>323367.46000000002</v>
      </c>
      <c r="O2421" s="720">
        <f t="shared" si="100"/>
        <v>0</v>
      </c>
    </row>
    <row r="2422" spans="1:15" outlineLevel="2" x14ac:dyDescent="0.25">
      <c r="A2422" s="207" t="e">
        <f>VLOOKUP(RIGHT(E2422,3)+0,SchLocTable!$A$2:$B$47,2,FALSE)</f>
        <v>#N/A</v>
      </c>
      <c r="B2422" s="207" t="str">
        <f>VLOOKUP(VALUE(D2422),$D$3:F$106,3,FALSE)</f>
        <v>Athletics</v>
      </c>
      <c r="C2422" s="751" t="s">
        <v>246</v>
      </c>
      <c r="D2422" s="751" t="s">
        <v>779</v>
      </c>
      <c r="E2422" s="751" t="s">
        <v>780</v>
      </c>
      <c r="F2422" s="751" t="s">
        <v>402</v>
      </c>
      <c r="G2422" s="752" t="s">
        <v>1681</v>
      </c>
      <c r="H2422" s="753">
        <v>51400</v>
      </c>
      <c r="I2422" s="754">
        <v>54075</v>
      </c>
      <c r="J2422" s="754">
        <v>0</v>
      </c>
      <c r="K2422" s="754">
        <v>0</v>
      </c>
      <c r="L2422" s="754">
        <v>0</v>
      </c>
      <c r="M2422" s="754">
        <f t="shared" si="99"/>
        <v>0</v>
      </c>
      <c r="N2422" s="756">
        <v>54075</v>
      </c>
      <c r="O2422" s="720">
        <f t="shared" si="100"/>
        <v>0</v>
      </c>
    </row>
    <row r="2423" spans="1:15" outlineLevel="2" x14ac:dyDescent="0.25">
      <c r="A2423" s="207" t="e">
        <f>VLOOKUP(RIGHT(E2423,3)+0,SchLocTable!$A$2:$B$47,2,FALSE)</f>
        <v>#N/A</v>
      </c>
      <c r="B2423" s="207" t="str">
        <f>VLOOKUP(VALUE(D2423),$D$3:F$106,3,FALSE)</f>
        <v>Athletics</v>
      </c>
      <c r="C2423" s="751" t="s">
        <v>246</v>
      </c>
      <c r="D2423" s="751" t="s">
        <v>779</v>
      </c>
      <c r="E2423" s="751" t="s">
        <v>780</v>
      </c>
      <c r="F2423" s="751" t="s">
        <v>254</v>
      </c>
      <c r="G2423" s="752" t="s">
        <v>1681</v>
      </c>
      <c r="H2423" s="753">
        <v>52360</v>
      </c>
      <c r="I2423" s="754">
        <v>765.64</v>
      </c>
      <c r="J2423" s="754">
        <v>0</v>
      </c>
      <c r="K2423" s="754">
        <v>0</v>
      </c>
      <c r="L2423" s="754">
        <v>158.31</v>
      </c>
      <c r="M2423" s="754">
        <f t="shared" si="99"/>
        <v>158.31</v>
      </c>
      <c r="N2423" s="756">
        <v>765.64</v>
      </c>
      <c r="O2423" s="720">
        <f t="shared" si="100"/>
        <v>0</v>
      </c>
    </row>
    <row r="2424" spans="1:15" outlineLevel="2" x14ac:dyDescent="0.25">
      <c r="A2424" s="207" t="e">
        <f>VLOOKUP(RIGHT(E2424,3)+0,SchLocTable!$A$2:$B$47,2,FALSE)</f>
        <v>#N/A</v>
      </c>
      <c r="B2424" s="207" t="str">
        <f>VLOOKUP(VALUE(D2424),$D$3:F$106,3,FALSE)</f>
        <v>Athletics</v>
      </c>
      <c r="C2424" s="751" t="s">
        <v>246</v>
      </c>
      <c r="D2424" s="751" t="s">
        <v>779</v>
      </c>
      <c r="E2424" s="751" t="s">
        <v>780</v>
      </c>
      <c r="F2424" s="751" t="s">
        <v>292</v>
      </c>
      <c r="G2424" s="752" t="s">
        <v>1681</v>
      </c>
      <c r="H2424" s="753">
        <v>52385</v>
      </c>
      <c r="I2424" s="754">
        <v>328.17</v>
      </c>
      <c r="J2424" s="754">
        <v>0</v>
      </c>
      <c r="K2424" s="754">
        <v>0</v>
      </c>
      <c r="L2424" s="754">
        <v>219.05</v>
      </c>
      <c r="M2424" s="754">
        <f t="shared" si="99"/>
        <v>219.05</v>
      </c>
      <c r="N2424" s="756">
        <v>328.17</v>
      </c>
      <c r="O2424" s="720">
        <f t="shared" si="100"/>
        <v>0</v>
      </c>
    </row>
    <row r="2425" spans="1:15" outlineLevel="2" x14ac:dyDescent="0.25">
      <c r="A2425" s="207" t="e">
        <f>VLOOKUP(RIGHT(E2425,3)+0,SchLocTable!$A$2:$B$47,2,FALSE)</f>
        <v>#N/A</v>
      </c>
      <c r="B2425" s="207" t="str">
        <f>VLOOKUP(VALUE(D2425),$D$3:F$106,3,FALSE)</f>
        <v>Athletics</v>
      </c>
      <c r="C2425" s="751" t="s">
        <v>246</v>
      </c>
      <c r="D2425" s="751" t="s">
        <v>779</v>
      </c>
      <c r="E2425" s="751" t="s">
        <v>780</v>
      </c>
      <c r="F2425" s="751" t="s">
        <v>806</v>
      </c>
      <c r="G2425" s="752" t="s">
        <v>1681</v>
      </c>
      <c r="H2425" s="753">
        <v>52397</v>
      </c>
      <c r="I2425" s="754">
        <v>0</v>
      </c>
      <c r="J2425" s="754">
        <v>0</v>
      </c>
      <c r="K2425" s="754">
        <v>0</v>
      </c>
      <c r="L2425" s="754">
        <v>0</v>
      </c>
      <c r="M2425" s="754">
        <f t="shared" si="99"/>
        <v>0</v>
      </c>
      <c r="N2425" s="756">
        <v>0</v>
      </c>
      <c r="O2425" s="720">
        <f t="shared" si="100"/>
        <v>0</v>
      </c>
    </row>
    <row r="2426" spans="1:15" outlineLevel="2" x14ac:dyDescent="0.25">
      <c r="A2426" s="207" t="e">
        <f>VLOOKUP(RIGHT(E2426,3)+0,SchLocTable!$A$2:$B$47,2,FALSE)</f>
        <v>#N/A</v>
      </c>
      <c r="B2426" s="207" t="str">
        <f>VLOOKUP(VALUE(D2426),$D$3:F$106,3,FALSE)</f>
        <v>Athletics</v>
      </c>
      <c r="C2426" s="751" t="s">
        <v>246</v>
      </c>
      <c r="D2426" s="751" t="s">
        <v>779</v>
      </c>
      <c r="E2426" s="751" t="s">
        <v>780</v>
      </c>
      <c r="F2426" s="751" t="s">
        <v>331</v>
      </c>
      <c r="G2426" s="752" t="s">
        <v>1681</v>
      </c>
      <c r="H2426" s="753">
        <v>52504</v>
      </c>
      <c r="I2426" s="754">
        <v>437.47</v>
      </c>
      <c r="J2426" s="754">
        <v>0</v>
      </c>
      <c r="K2426" s="754">
        <v>0</v>
      </c>
      <c r="L2426" s="754">
        <v>67.95</v>
      </c>
      <c r="M2426" s="754">
        <f t="shared" si="99"/>
        <v>67.95</v>
      </c>
      <c r="N2426" s="756">
        <v>437.47</v>
      </c>
      <c r="O2426" s="720">
        <f t="shared" si="100"/>
        <v>0</v>
      </c>
    </row>
    <row r="2427" spans="1:15" outlineLevel="2" x14ac:dyDescent="0.25">
      <c r="A2427" s="207" t="e">
        <f>VLOOKUP(RIGHT(E2427,3)+0,SchLocTable!$A$2:$B$47,2,FALSE)</f>
        <v>#N/A</v>
      </c>
      <c r="B2427" s="207" t="str">
        <f>VLOOKUP(VALUE(D2427),$D$3:F$106,3,FALSE)</f>
        <v>Athletics</v>
      </c>
      <c r="C2427" s="751" t="s">
        <v>246</v>
      </c>
      <c r="D2427" s="751" t="s">
        <v>779</v>
      </c>
      <c r="E2427" s="751" t="s">
        <v>780</v>
      </c>
      <c r="F2427" s="751" t="s">
        <v>756</v>
      </c>
      <c r="G2427" s="752" t="s">
        <v>1681</v>
      </c>
      <c r="H2427" s="753">
        <v>53050</v>
      </c>
      <c r="I2427" s="754">
        <v>950</v>
      </c>
      <c r="J2427" s="754">
        <v>550</v>
      </c>
      <c r="K2427" s="754">
        <v>0</v>
      </c>
      <c r="L2427" s="754">
        <v>400</v>
      </c>
      <c r="M2427" s="754">
        <f t="shared" si="99"/>
        <v>950</v>
      </c>
      <c r="N2427" s="756">
        <v>950</v>
      </c>
      <c r="O2427" s="720">
        <f t="shared" si="100"/>
        <v>0</v>
      </c>
    </row>
    <row r="2428" spans="1:15" outlineLevel="2" x14ac:dyDescent="0.25">
      <c r="A2428" s="207" t="e">
        <f>VLOOKUP(RIGHT(E2428,3)+0,SchLocTable!$A$2:$B$47,2,FALSE)</f>
        <v>#N/A</v>
      </c>
      <c r="B2428" s="207" t="str">
        <f>VLOOKUP(VALUE(D2428),$D$3:F$106,3,FALSE)</f>
        <v>Athletics</v>
      </c>
      <c r="C2428" s="755" t="s">
        <v>246</v>
      </c>
      <c r="D2428" s="751" t="s">
        <v>779</v>
      </c>
      <c r="E2428" s="751" t="s">
        <v>780</v>
      </c>
      <c r="F2428" s="751" t="s">
        <v>757</v>
      </c>
      <c r="G2428" s="752" t="s">
        <v>1681</v>
      </c>
      <c r="H2428" s="753">
        <v>53420</v>
      </c>
      <c r="I2428" s="754">
        <v>160367</v>
      </c>
      <c r="J2428" s="754">
        <v>0</v>
      </c>
      <c r="K2428" s="754">
        <v>0</v>
      </c>
      <c r="L2428" s="754">
        <v>136735</v>
      </c>
      <c r="M2428" s="754">
        <f t="shared" si="99"/>
        <v>136735</v>
      </c>
      <c r="N2428" s="756">
        <v>160367</v>
      </c>
      <c r="O2428" s="720">
        <f t="shared" si="100"/>
        <v>0</v>
      </c>
    </row>
    <row r="2429" spans="1:15" outlineLevel="2" x14ac:dyDescent="0.25">
      <c r="A2429" s="207" t="e">
        <f>VLOOKUP(RIGHT(E2429,3)+0,SchLocTable!$A$2:$B$47,2,FALSE)</f>
        <v>#N/A</v>
      </c>
      <c r="B2429" s="207" t="str">
        <f>VLOOKUP(VALUE(D2429),$D$3:F$106,3,FALSE)</f>
        <v>Athletics</v>
      </c>
      <c r="C2429" s="751" t="s">
        <v>246</v>
      </c>
      <c r="D2429" s="751" t="s">
        <v>779</v>
      </c>
      <c r="E2429" s="751" t="s">
        <v>780</v>
      </c>
      <c r="F2429" s="751" t="s">
        <v>396</v>
      </c>
      <c r="G2429" s="752" t="s">
        <v>1681</v>
      </c>
      <c r="H2429" s="753">
        <v>53605</v>
      </c>
      <c r="I2429" s="754">
        <v>9360</v>
      </c>
      <c r="J2429" s="754">
        <v>0</v>
      </c>
      <c r="K2429" s="754">
        <v>0</v>
      </c>
      <c r="L2429" s="754">
        <v>0</v>
      </c>
      <c r="M2429" s="754">
        <f t="shared" si="99"/>
        <v>0</v>
      </c>
      <c r="N2429" s="756">
        <v>9360</v>
      </c>
      <c r="O2429" s="720">
        <f t="shared" si="100"/>
        <v>0</v>
      </c>
    </row>
    <row r="2430" spans="1:15" outlineLevel="2" x14ac:dyDescent="0.25">
      <c r="A2430" s="207" t="e">
        <f>VLOOKUP(RIGHT(E2430,3)+0,SchLocTable!$A$2:$B$47,2,FALSE)</f>
        <v>#N/A</v>
      </c>
      <c r="B2430" s="207" t="str">
        <f>VLOOKUP(VALUE(D2430),$D$3:F$106,3,FALSE)</f>
        <v>Athletics</v>
      </c>
      <c r="C2430" s="751" t="s">
        <v>246</v>
      </c>
      <c r="D2430" s="751" t="s">
        <v>779</v>
      </c>
      <c r="E2430" s="751" t="s">
        <v>780</v>
      </c>
      <c r="F2430" s="751" t="s">
        <v>764</v>
      </c>
      <c r="G2430" s="752" t="s">
        <v>1681</v>
      </c>
      <c r="H2430" s="753">
        <v>54670</v>
      </c>
      <c r="I2430" s="754">
        <v>2050</v>
      </c>
      <c r="J2430" s="754">
        <v>0</v>
      </c>
      <c r="K2430" s="754">
        <v>0</v>
      </c>
      <c r="L2430" s="754">
        <v>0</v>
      </c>
      <c r="M2430" s="754">
        <f t="shared" si="99"/>
        <v>0</v>
      </c>
      <c r="N2430" s="756">
        <v>2050</v>
      </c>
      <c r="O2430" s="720">
        <f t="shared" si="100"/>
        <v>0</v>
      </c>
    </row>
    <row r="2431" spans="1:15" outlineLevel="2" x14ac:dyDescent="0.25">
      <c r="A2431" s="207" t="e">
        <f>VLOOKUP(RIGHT(E2431,3)+0,SchLocTable!$A$2:$B$47,2,FALSE)</f>
        <v>#N/A</v>
      </c>
      <c r="B2431" s="207" t="str">
        <f>VLOOKUP(VALUE(D2431),$D$3:F$106,3,FALSE)</f>
        <v>Athletics</v>
      </c>
      <c r="C2431" s="751" t="s">
        <v>246</v>
      </c>
      <c r="D2431" s="751" t="s">
        <v>779</v>
      </c>
      <c r="E2431" s="751" t="s">
        <v>780</v>
      </c>
      <c r="F2431" s="751" t="s">
        <v>372</v>
      </c>
      <c r="G2431" s="752" t="s">
        <v>1681</v>
      </c>
      <c r="H2431" s="753">
        <v>54675</v>
      </c>
      <c r="I2431" s="754">
        <v>0</v>
      </c>
      <c r="J2431" s="754">
        <v>0</v>
      </c>
      <c r="K2431" s="754">
        <v>0</v>
      </c>
      <c r="L2431" s="754">
        <v>0</v>
      </c>
      <c r="M2431" s="754">
        <f t="shared" ref="M2431:M2494" si="101">SUM(J2431:L2431)</f>
        <v>0</v>
      </c>
      <c r="N2431" s="756">
        <v>0</v>
      </c>
      <c r="O2431" s="720">
        <f t="shared" ref="O2431:O2494" si="102">I2431-N2431</f>
        <v>0</v>
      </c>
    </row>
    <row r="2432" spans="1:15" outlineLevel="2" x14ac:dyDescent="0.25">
      <c r="A2432" s="207" t="e">
        <f>VLOOKUP(RIGHT(E2432,3)+0,SchLocTable!$A$2:$B$47,2,FALSE)</f>
        <v>#N/A</v>
      </c>
      <c r="B2432" s="207" t="str">
        <f>VLOOKUP(VALUE(D2432),$D$3:F$106,3,FALSE)</f>
        <v>Athletics</v>
      </c>
      <c r="C2432" s="751" t="s">
        <v>246</v>
      </c>
      <c r="D2432" s="751" t="s">
        <v>779</v>
      </c>
      <c r="E2432" s="751" t="s">
        <v>780</v>
      </c>
      <c r="F2432" s="751" t="s">
        <v>783</v>
      </c>
      <c r="G2432" s="752" t="s">
        <v>1681</v>
      </c>
      <c r="H2432" s="751">
        <v>54745</v>
      </c>
      <c r="I2432" s="754">
        <v>11470</v>
      </c>
      <c r="J2432" s="754">
        <v>1595</v>
      </c>
      <c r="K2432" s="754">
        <v>0</v>
      </c>
      <c r="L2432" s="754">
        <v>7560</v>
      </c>
      <c r="M2432" s="754">
        <f t="shared" si="101"/>
        <v>9155</v>
      </c>
      <c r="N2432" s="756">
        <v>11470</v>
      </c>
      <c r="O2432" s="720">
        <f t="shared" si="102"/>
        <v>0</v>
      </c>
    </row>
    <row r="2433" spans="1:15" outlineLevel="2" x14ac:dyDescent="0.25">
      <c r="A2433" s="207" t="e">
        <f>VLOOKUP(RIGHT(E2433,3)+0,SchLocTable!$A$2:$B$47,2,FALSE)</f>
        <v>#N/A</v>
      </c>
      <c r="B2433" s="207" t="str">
        <f>VLOOKUP(VALUE(D2433),$D$3:F$106,3,FALSE)</f>
        <v>Athletics</v>
      </c>
      <c r="C2433" s="751" t="s">
        <v>246</v>
      </c>
      <c r="D2433" s="751" t="s">
        <v>779</v>
      </c>
      <c r="E2433" s="751" t="s">
        <v>780</v>
      </c>
      <c r="F2433" s="751" t="s">
        <v>634</v>
      </c>
      <c r="G2433" s="752" t="s">
        <v>1681</v>
      </c>
      <c r="H2433" s="753">
        <v>55195</v>
      </c>
      <c r="I2433" s="754">
        <v>113993</v>
      </c>
      <c r="J2433" s="754">
        <v>0</v>
      </c>
      <c r="K2433" s="754">
        <v>0</v>
      </c>
      <c r="L2433" s="754">
        <v>2864.94</v>
      </c>
      <c r="M2433" s="754">
        <f t="shared" si="101"/>
        <v>2864.94</v>
      </c>
      <c r="N2433" s="756">
        <v>113993</v>
      </c>
      <c r="O2433" s="720">
        <f t="shared" si="102"/>
        <v>0</v>
      </c>
    </row>
    <row r="2434" spans="1:15" outlineLevel="2" x14ac:dyDescent="0.25">
      <c r="A2434" s="207" t="e">
        <f>VLOOKUP(RIGHT(E2434,3)+0,SchLocTable!$A$2:$B$47,2,FALSE)</f>
        <v>#N/A</v>
      </c>
      <c r="B2434" s="207" t="str">
        <f>VLOOKUP(VALUE(D2434),$D$3:F$106,3,FALSE)</f>
        <v>Athletics</v>
      </c>
      <c r="C2434" s="751" t="s">
        <v>246</v>
      </c>
      <c r="D2434" s="751" t="s">
        <v>779</v>
      </c>
      <c r="E2434" s="751" t="s">
        <v>780</v>
      </c>
      <c r="F2434" s="751" t="s">
        <v>766</v>
      </c>
      <c r="G2434" s="752" t="s">
        <v>1681</v>
      </c>
      <c r="H2434" s="753">
        <v>56170</v>
      </c>
      <c r="I2434" s="754">
        <v>425</v>
      </c>
      <c r="J2434" s="754">
        <v>0</v>
      </c>
      <c r="K2434" s="754">
        <v>0</v>
      </c>
      <c r="L2434" s="754">
        <v>0</v>
      </c>
      <c r="M2434" s="754">
        <f t="shared" si="101"/>
        <v>0</v>
      </c>
      <c r="N2434" s="756">
        <v>425</v>
      </c>
      <c r="O2434" s="720">
        <f t="shared" si="102"/>
        <v>0</v>
      </c>
    </row>
    <row r="2435" spans="1:15" outlineLevel="2" x14ac:dyDescent="0.25">
      <c r="A2435" s="207" t="e">
        <f>VLOOKUP(RIGHT(E2435,3)+0,SchLocTable!$A$2:$B$47,2,FALSE)</f>
        <v>#N/A</v>
      </c>
      <c r="B2435" s="207" t="str">
        <f>VLOOKUP(VALUE(D2435),$D$3:F$106,3,FALSE)</f>
        <v>Athletics</v>
      </c>
      <c r="C2435" s="751" t="s">
        <v>246</v>
      </c>
      <c r="D2435" s="751" t="s">
        <v>779</v>
      </c>
      <c r="E2435" s="751" t="s">
        <v>780</v>
      </c>
      <c r="F2435" s="751" t="s">
        <v>382</v>
      </c>
      <c r="G2435" s="752" t="s">
        <v>1681</v>
      </c>
      <c r="H2435" s="753">
        <v>56180</v>
      </c>
      <c r="I2435" s="754">
        <v>219260.92</v>
      </c>
      <c r="J2435" s="754">
        <v>55</v>
      </c>
      <c r="K2435" s="754">
        <v>0</v>
      </c>
      <c r="L2435" s="754">
        <v>25160</v>
      </c>
      <c r="M2435" s="754">
        <f t="shared" si="101"/>
        <v>25215</v>
      </c>
      <c r="N2435" s="756">
        <v>219260.92</v>
      </c>
      <c r="O2435" s="720">
        <f t="shared" si="102"/>
        <v>0</v>
      </c>
    </row>
    <row r="2436" spans="1:15" outlineLevel="2" x14ac:dyDescent="0.25">
      <c r="A2436" s="207" t="e">
        <f>VLOOKUP(RIGHT(E2436,3)+0,SchLocTable!$A$2:$B$47,2,FALSE)</f>
        <v>#N/A</v>
      </c>
      <c r="B2436" s="207" t="str">
        <f>VLOOKUP(VALUE(D2436),$D$3:F$106,3,FALSE)</f>
        <v>Athletics</v>
      </c>
      <c r="C2436" s="755" t="s">
        <v>246</v>
      </c>
      <c r="D2436" s="751" t="s">
        <v>779</v>
      </c>
      <c r="E2436" s="751" t="s">
        <v>780</v>
      </c>
      <c r="F2436" s="751" t="s">
        <v>635</v>
      </c>
      <c r="G2436" s="752" t="s">
        <v>1681</v>
      </c>
      <c r="H2436" s="753">
        <v>56240</v>
      </c>
      <c r="I2436" s="754">
        <v>20481.580000000002</v>
      </c>
      <c r="J2436" s="754">
        <v>15481.58</v>
      </c>
      <c r="K2436" s="754">
        <v>0</v>
      </c>
      <c r="L2436" s="754">
        <v>1040</v>
      </c>
      <c r="M2436" s="754">
        <f t="shared" si="101"/>
        <v>16521.580000000002</v>
      </c>
      <c r="N2436" s="756">
        <v>147807.93</v>
      </c>
      <c r="O2436" s="720">
        <f t="shared" si="102"/>
        <v>-127326.34999999999</v>
      </c>
    </row>
    <row r="2437" spans="1:15" outlineLevel="2" x14ac:dyDescent="0.25">
      <c r="A2437" s="207" t="e">
        <f>VLOOKUP(RIGHT(E2437,3)+0,SchLocTable!$A$2:$B$47,2,FALSE)</f>
        <v>#N/A</v>
      </c>
      <c r="B2437" s="207" t="str">
        <f>VLOOKUP(VALUE(D2437),$D$3:F$106,3,FALSE)</f>
        <v>Intramurals</v>
      </c>
      <c r="C2437" s="751" t="s">
        <v>246</v>
      </c>
      <c r="D2437" s="751" t="s">
        <v>1762</v>
      </c>
      <c r="E2437" s="751" t="s">
        <v>1763</v>
      </c>
      <c r="F2437" s="751" t="s">
        <v>402</v>
      </c>
      <c r="G2437" s="752" t="s">
        <v>1681</v>
      </c>
      <c r="H2437" s="753">
        <v>51400</v>
      </c>
      <c r="I2437" s="754">
        <v>420</v>
      </c>
      <c r="J2437" s="754">
        <v>0</v>
      </c>
      <c r="K2437" s="754">
        <v>0</v>
      </c>
      <c r="L2437" s="754">
        <v>420</v>
      </c>
      <c r="M2437" s="754">
        <f t="shared" si="101"/>
        <v>420</v>
      </c>
      <c r="N2437" s="756">
        <v>420</v>
      </c>
      <c r="O2437" s="720">
        <f t="shared" si="102"/>
        <v>0</v>
      </c>
    </row>
    <row r="2438" spans="1:15" outlineLevel="2" x14ac:dyDescent="0.25">
      <c r="A2438" s="207" t="e">
        <f>VLOOKUP(RIGHT(E2438,3)+0,SchLocTable!$A$2:$B$47,2,FALSE)</f>
        <v>#N/A</v>
      </c>
      <c r="B2438" s="207" t="str">
        <f>VLOOKUP(VALUE(D2438),$D$3:F$106,3,FALSE)</f>
        <v>Intramurals</v>
      </c>
      <c r="C2438" s="751" t="s">
        <v>246</v>
      </c>
      <c r="D2438" s="751" t="s">
        <v>1762</v>
      </c>
      <c r="E2438" s="751" t="s">
        <v>1763</v>
      </c>
      <c r="F2438" s="751" t="s">
        <v>254</v>
      </c>
      <c r="G2438" s="752" t="s">
        <v>1681</v>
      </c>
      <c r="H2438" s="753">
        <v>52360</v>
      </c>
      <c r="I2438" s="754">
        <v>6.09</v>
      </c>
      <c r="J2438" s="754">
        <v>0</v>
      </c>
      <c r="K2438" s="754">
        <v>0</v>
      </c>
      <c r="L2438" s="754">
        <v>6.09</v>
      </c>
      <c r="M2438" s="754">
        <f t="shared" si="101"/>
        <v>6.09</v>
      </c>
      <c r="N2438" s="756">
        <v>6.09</v>
      </c>
      <c r="O2438" s="720">
        <f t="shared" si="102"/>
        <v>0</v>
      </c>
    </row>
    <row r="2439" spans="1:15" outlineLevel="2" x14ac:dyDescent="0.25">
      <c r="A2439" s="207" t="e">
        <f>VLOOKUP(RIGHT(E2439,3)+0,SchLocTable!$A$2:$B$47,2,FALSE)</f>
        <v>#N/A</v>
      </c>
      <c r="B2439" s="207" t="str">
        <f>VLOOKUP(VALUE(D2439),$D$3:F$106,3,FALSE)</f>
        <v>Intramurals</v>
      </c>
      <c r="C2439" s="751" t="s">
        <v>246</v>
      </c>
      <c r="D2439" s="751" t="s">
        <v>1762</v>
      </c>
      <c r="E2439" s="751" t="s">
        <v>1763</v>
      </c>
      <c r="F2439" s="751" t="s">
        <v>382</v>
      </c>
      <c r="G2439" s="752" t="s">
        <v>1681</v>
      </c>
      <c r="H2439" s="753">
        <v>56180</v>
      </c>
      <c r="I2439" s="754">
        <v>510</v>
      </c>
      <c r="J2439" s="754">
        <v>0</v>
      </c>
      <c r="K2439" s="754">
        <v>0</v>
      </c>
      <c r="L2439" s="754">
        <v>0</v>
      </c>
      <c r="M2439" s="754">
        <f t="shared" si="101"/>
        <v>0</v>
      </c>
      <c r="N2439" s="756">
        <v>510</v>
      </c>
      <c r="O2439" s="720">
        <f t="shared" si="102"/>
        <v>0</v>
      </c>
    </row>
    <row r="2440" spans="1:15" outlineLevel="2" x14ac:dyDescent="0.25">
      <c r="A2440" s="207" t="e">
        <f>VLOOKUP(RIGHT(E2440,3)+0,SchLocTable!$A$2:$B$47,2,FALSE)</f>
        <v>#N/A</v>
      </c>
      <c r="B2440" s="207" t="str">
        <f>VLOOKUP(VALUE(D2440),$D$3:F$106,3,FALSE)</f>
        <v>Extracurricular, HS</v>
      </c>
      <c r="C2440" s="751" t="s">
        <v>246</v>
      </c>
      <c r="D2440" s="751" t="s">
        <v>785</v>
      </c>
      <c r="E2440" s="751" t="s">
        <v>786</v>
      </c>
      <c r="F2440" s="751" t="s">
        <v>402</v>
      </c>
      <c r="G2440" s="752" t="s">
        <v>1681</v>
      </c>
      <c r="H2440" s="753">
        <v>51400</v>
      </c>
      <c r="I2440" s="754">
        <v>140691.82</v>
      </c>
      <c r="J2440" s="754">
        <v>0</v>
      </c>
      <c r="K2440" s="754">
        <v>0</v>
      </c>
      <c r="L2440" s="754">
        <v>0</v>
      </c>
      <c r="M2440" s="754">
        <f t="shared" si="101"/>
        <v>0</v>
      </c>
      <c r="N2440" s="756">
        <v>140691.82</v>
      </c>
      <c r="O2440" s="720">
        <f t="shared" si="102"/>
        <v>0</v>
      </c>
    </row>
    <row r="2441" spans="1:15" outlineLevel="2" x14ac:dyDescent="0.25">
      <c r="A2441" s="207" t="e">
        <f>VLOOKUP(RIGHT(E2441,3)+0,SchLocTable!$A$2:$B$47,2,FALSE)</f>
        <v>#N/A</v>
      </c>
      <c r="B2441" s="207" t="str">
        <f>VLOOKUP(VALUE(D2441),$D$3:F$106,3,FALSE)</f>
        <v>Extracurricular, HS</v>
      </c>
      <c r="C2441" s="751" t="s">
        <v>246</v>
      </c>
      <c r="D2441" s="751" t="s">
        <v>785</v>
      </c>
      <c r="E2441" s="751" t="s">
        <v>786</v>
      </c>
      <c r="F2441" s="751" t="s">
        <v>254</v>
      </c>
      <c r="G2441" s="752" t="s">
        <v>1681</v>
      </c>
      <c r="H2441" s="753">
        <v>52360</v>
      </c>
      <c r="I2441" s="754">
        <v>0</v>
      </c>
      <c r="J2441" s="754">
        <v>0</v>
      </c>
      <c r="K2441" s="754">
        <v>0</v>
      </c>
      <c r="L2441" s="754">
        <v>0</v>
      </c>
      <c r="M2441" s="754">
        <f t="shared" si="101"/>
        <v>0</v>
      </c>
      <c r="N2441" s="756">
        <v>0</v>
      </c>
      <c r="O2441" s="720">
        <f t="shared" si="102"/>
        <v>0</v>
      </c>
    </row>
    <row r="2442" spans="1:15" outlineLevel="2" x14ac:dyDescent="0.25">
      <c r="A2442" s="207" t="e">
        <f>VLOOKUP(RIGHT(E2442,3)+0,SchLocTable!$A$2:$B$47,2,FALSE)</f>
        <v>#N/A</v>
      </c>
      <c r="B2442" s="207" t="str">
        <f>VLOOKUP(VALUE(D2442),$D$3:F$106,3,FALSE)</f>
        <v>Extracurricular, HS</v>
      </c>
      <c r="C2442" s="751" t="s">
        <v>246</v>
      </c>
      <c r="D2442" s="751" t="s">
        <v>785</v>
      </c>
      <c r="E2442" s="751" t="s">
        <v>786</v>
      </c>
      <c r="F2442" s="751" t="s">
        <v>292</v>
      </c>
      <c r="G2442" s="752" t="s">
        <v>1681</v>
      </c>
      <c r="H2442" s="753">
        <v>52385</v>
      </c>
      <c r="I2442" s="754">
        <v>0</v>
      </c>
      <c r="J2442" s="754">
        <v>0</v>
      </c>
      <c r="K2442" s="754">
        <v>0</v>
      </c>
      <c r="L2442" s="754">
        <v>0</v>
      </c>
      <c r="M2442" s="754">
        <f t="shared" si="101"/>
        <v>0</v>
      </c>
      <c r="N2442" s="756">
        <v>0</v>
      </c>
      <c r="O2442" s="720">
        <f t="shared" si="102"/>
        <v>0</v>
      </c>
    </row>
    <row r="2443" spans="1:15" outlineLevel="2" x14ac:dyDescent="0.25">
      <c r="A2443" s="207" t="e">
        <f>VLOOKUP(RIGHT(E2443,3)+0,SchLocTable!$A$2:$B$47,2,FALSE)</f>
        <v>#N/A</v>
      </c>
      <c r="B2443" s="207" t="str">
        <f>VLOOKUP(VALUE(D2443),$D$3:F$106,3,FALSE)</f>
        <v>Extracurricular, HS</v>
      </c>
      <c r="C2443" s="751" t="s">
        <v>246</v>
      </c>
      <c r="D2443" s="751" t="s">
        <v>785</v>
      </c>
      <c r="E2443" s="751" t="s">
        <v>786</v>
      </c>
      <c r="F2443" s="751" t="s">
        <v>331</v>
      </c>
      <c r="G2443" s="752" t="s">
        <v>1681</v>
      </c>
      <c r="H2443" s="753">
        <v>52504</v>
      </c>
      <c r="I2443" s="754">
        <v>0</v>
      </c>
      <c r="J2443" s="754">
        <v>0</v>
      </c>
      <c r="K2443" s="754">
        <v>0</v>
      </c>
      <c r="L2443" s="754">
        <v>0</v>
      </c>
      <c r="M2443" s="754">
        <f t="shared" si="101"/>
        <v>0</v>
      </c>
      <c r="N2443" s="756">
        <v>0</v>
      </c>
      <c r="O2443" s="720">
        <f t="shared" si="102"/>
        <v>0</v>
      </c>
    </row>
    <row r="2444" spans="1:15" outlineLevel="2" x14ac:dyDescent="0.25">
      <c r="A2444" s="207" t="e">
        <f>VLOOKUP(RIGHT(E2444,3)+0,SchLocTable!$A$2:$B$47,2,FALSE)</f>
        <v>#N/A</v>
      </c>
      <c r="B2444" s="207" t="str">
        <f>VLOOKUP(VALUE(D2444),$D$3:F$106,3,FALSE)</f>
        <v>Adult Education</v>
      </c>
      <c r="C2444" s="751" t="s">
        <v>246</v>
      </c>
      <c r="D2444" s="751" t="s">
        <v>787</v>
      </c>
      <c r="E2444" s="751" t="s">
        <v>788</v>
      </c>
      <c r="F2444" s="751" t="s">
        <v>248</v>
      </c>
      <c r="G2444" s="752">
        <v>5</v>
      </c>
      <c r="H2444" s="753">
        <v>51000</v>
      </c>
      <c r="I2444" s="754">
        <v>455788.04</v>
      </c>
      <c r="J2444" s="754">
        <v>0</v>
      </c>
      <c r="K2444" s="754">
        <v>0</v>
      </c>
      <c r="L2444" s="754">
        <v>106706.6</v>
      </c>
      <c r="M2444" s="754">
        <f t="shared" si="101"/>
        <v>106706.6</v>
      </c>
      <c r="N2444" s="756">
        <v>455788.04</v>
      </c>
      <c r="O2444" s="720">
        <f t="shared" si="102"/>
        <v>0</v>
      </c>
    </row>
    <row r="2445" spans="1:15" outlineLevel="2" x14ac:dyDescent="0.25">
      <c r="A2445" s="207" t="e">
        <f>VLOOKUP(RIGHT(E2445,3)+0,SchLocTable!$A$2:$B$47,2,FALSE)</f>
        <v>#N/A</v>
      </c>
      <c r="B2445" s="207" t="str">
        <f>VLOOKUP(VALUE(D2445),$D$3:F$106,3,FALSE)</f>
        <v>Adult Education</v>
      </c>
      <c r="C2445" s="751" t="s">
        <v>246</v>
      </c>
      <c r="D2445" s="751" t="s">
        <v>787</v>
      </c>
      <c r="E2445" s="751" t="s">
        <v>788</v>
      </c>
      <c r="F2445" s="751" t="s">
        <v>257</v>
      </c>
      <c r="G2445" s="752" t="s">
        <v>1681</v>
      </c>
      <c r="H2445" s="753">
        <v>51140</v>
      </c>
      <c r="I2445" s="754">
        <v>7250</v>
      </c>
      <c r="J2445" s="754">
        <v>0</v>
      </c>
      <c r="K2445" s="754">
        <v>0</v>
      </c>
      <c r="L2445" s="754">
        <v>1946.25</v>
      </c>
      <c r="M2445" s="754">
        <f t="shared" si="101"/>
        <v>1946.25</v>
      </c>
      <c r="N2445" s="756">
        <v>7250</v>
      </c>
      <c r="O2445" s="720">
        <f t="shared" si="102"/>
        <v>0</v>
      </c>
    </row>
    <row r="2446" spans="1:15" outlineLevel="2" x14ac:dyDescent="0.25">
      <c r="A2446" s="207" t="e">
        <f>VLOOKUP(RIGHT(E2446,3)+0,SchLocTable!$A$2:$B$47,2,FALSE)</f>
        <v>#N/A</v>
      </c>
      <c r="B2446" s="207" t="str">
        <f>VLOOKUP(VALUE(D2446),$D$3:F$106,3,FALSE)</f>
        <v>Adult Education</v>
      </c>
      <c r="C2446" s="755" t="s">
        <v>246</v>
      </c>
      <c r="D2446" s="751" t="s">
        <v>787</v>
      </c>
      <c r="E2446" s="751" t="s">
        <v>788</v>
      </c>
      <c r="F2446" s="751" t="s">
        <v>252</v>
      </c>
      <c r="G2446" s="752" t="s">
        <v>1681</v>
      </c>
      <c r="H2446" s="753">
        <v>51154</v>
      </c>
      <c r="I2446" s="754">
        <v>9948.1299999999992</v>
      </c>
      <c r="J2446" s="754">
        <v>0</v>
      </c>
      <c r="K2446" s="754">
        <v>0</v>
      </c>
      <c r="L2446" s="754">
        <v>9948.1299999999992</v>
      </c>
      <c r="M2446" s="754">
        <f t="shared" si="101"/>
        <v>9948.1299999999992</v>
      </c>
      <c r="N2446" s="756">
        <v>9948.1299999999992</v>
      </c>
      <c r="O2446" s="720">
        <f t="shared" si="102"/>
        <v>0</v>
      </c>
    </row>
    <row r="2447" spans="1:15" outlineLevel="2" x14ac:dyDescent="0.25">
      <c r="A2447" s="207" t="e">
        <f>VLOOKUP(RIGHT(E2447,3)+0,SchLocTable!$A$2:$B$47,2,FALSE)</f>
        <v>#N/A</v>
      </c>
      <c r="B2447" s="207" t="str">
        <f>VLOOKUP(VALUE(D2447),$D$3:F$106,3,FALSE)</f>
        <v>Adult Education</v>
      </c>
      <c r="C2447" s="751" t="s">
        <v>246</v>
      </c>
      <c r="D2447" s="751" t="s">
        <v>787</v>
      </c>
      <c r="E2447" s="751" t="s">
        <v>788</v>
      </c>
      <c r="F2447" s="751" t="s">
        <v>797</v>
      </c>
      <c r="G2447" s="752" t="s">
        <v>1681</v>
      </c>
      <c r="H2447" s="753">
        <v>51156</v>
      </c>
      <c r="I2447" s="754">
        <v>0</v>
      </c>
      <c r="J2447" s="754">
        <v>0</v>
      </c>
      <c r="K2447" s="754">
        <v>0</v>
      </c>
      <c r="L2447" s="754">
        <v>0</v>
      </c>
      <c r="M2447" s="754">
        <f t="shared" si="101"/>
        <v>0</v>
      </c>
      <c r="N2447" s="756">
        <v>0</v>
      </c>
      <c r="O2447" s="720">
        <f t="shared" si="102"/>
        <v>0</v>
      </c>
    </row>
    <row r="2448" spans="1:15" outlineLevel="2" x14ac:dyDescent="0.25">
      <c r="A2448" s="207" t="e">
        <f>VLOOKUP(RIGHT(E2448,3)+0,SchLocTable!$A$2:$B$47,2,FALSE)</f>
        <v>#N/A</v>
      </c>
      <c r="B2448" s="207" t="str">
        <f>VLOOKUP(VALUE(D2448),$D$3:F$106,3,FALSE)</f>
        <v>Adult Education</v>
      </c>
      <c r="C2448" s="751" t="s">
        <v>246</v>
      </c>
      <c r="D2448" s="751" t="s">
        <v>787</v>
      </c>
      <c r="E2448" s="751" t="s">
        <v>788</v>
      </c>
      <c r="F2448" s="751" t="s">
        <v>326</v>
      </c>
      <c r="G2448" s="752" t="s">
        <v>1681</v>
      </c>
      <c r="H2448" s="753">
        <v>51314</v>
      </c>
      <c r="I2448" s="754">
        <v>13812.02</v>
      </c>
      <c r="J2448" s="754">
        <v>0</v>
      </c>
      <c r="K2448" s="754">
        <v>0</v>
      </c>
      <c r="L2448" s="754">
        <v>13812.02</v>
      </c>
      <c r="M2448" s="754">
        <f t="shared" si="101"/>
        <v>13812.02</v>
      </c>
      <c r="N2448" s="756">
        <v>13812.02</v>
      </c>
      <c r="O2448" s="720">
        <f t="shared" si="102"/>
        <v>0</v>
      </c>
    </row>
    <row r="2449" spans="1:15" outlineLevel="2" x14ac:dyDescent="0.25">
      <c r="A2449" s="207" t="e">
        <f>VLOOKUP(RIGHT(E2449,3)+0,SchLocTable!$A$2:$B$47,2,FALSE)</f>
        <v>#N/A</v>
      </c>
      <c r="B2449" s="207" t="str">
        <f>VLOOKUP(VALUE(D2449),$D$3:F$106,3,FALSE)</f>
        <v>Adult Education</v>
      </c>
      <c r="C2449" s="751" t="s">
        <v>246</v>
      </c>
      <c r="D2449" s="751" t="s">
        <v>787</v>
      </c>
      <c r="E2449" s="751" t="s">
        <v>788</v>
      </c>
      <c r="F2449" s="751" t="s">
        <v>328</v>
      </c>
      <c r="G2449" s="752" t="s">
        <v>1681</v>
      </c>
      <c r="H2449" s="753">
        <v>51318</v>
      </c>
      <c r="I2449" s="754">
        <v>356.19</v>
      </c>
      <c r="J2449" s="754">
        <v>0</v>
      </c>
      <c r="K2449" s="754">
        <v>0</v>
      </c>
      <c r="L2449" s="754">
        <v>356.19</v>
      </c>
      <c r="M2449" s="754">
        <f t="shared" si="101"/>
        <v>356.19</v>
      </c>
      <c r="N2449" s="756">
        <v>356.19</v>
      </c>
      <c r="O2449" s="720">
        <f t="shared" si="102"/>
        <v>0</v>
      </c>
    </row>
    <row r="2450" spans="1:15" outlineLevel="2" x14ac:dyDescent="0.25">
      <c r="A2450" s="207" t="e">
        <f>VLOOKUP(RIGHT(E2450,3)+0,SchLocTable!$A$2:$B$47,2,FALSE)</f>
        <v>#N/A</v>
      </c>
      <c r="B2450" s="207" t="str">
        <f>VLOOKUP(VALUE(D2450),$D$3:F$106,3,FALSE)</f>
        <v>Adult Education</v>
      </c>
      <c r="C2450" s="755" t="s">
        <v>246</v>
      </c>
      <c r="D2450" s="751" t="s">
        <v>787</v>
      </c>
      <c r="E2450" s="751" t="s">
        <v>788</v>
      </c>
      <c r="F2450" s="751" t="s">
        <v>454</v>
      </c>
      <c r="G2450" s="752" t="s">
        <v>1681</v>
      </c>
      <c r="H2450" s="753">
        <v>51404</v>
      </c>
      <c r="I2450" s="754">
        <v>0</v>
      </c>
      <c r="J2450" s="754">
        <v>0</v>
      </c>
      <c r="K2450" s="754">
        <v>0</v>
      </c>
      <c r="L2450" s="754">
        <v>0</v>
      </c>
      <c r="M2450" s="754">
        <f t="shared" si="101"/>
        <v>0</v>
      </c>
      <c r="N2450" s="756">
        <v>0</v>
      </c>
      <c r="O2450" s="720">
        <f t="shared" si="102"/>
        <v>0</v>
      </c>
    </row>
    <row r="2451" spans="1:15" outlineLevel="2" x14ac:dyDescent="0.25">
      <c r="A2451" s="207" t="e">
        <f>VLOOKUP(RIGHT(E2451,3)+0,SchLocTable!$A$2:$B$47,2,FALSE)</f>
        <v>#N/A</v>
      </c>
      <c r="B2451" s="207" t="str">
        <f>VLOOKUP(VALUE(D2451),$D$3:F$106,3,FALSE)</f>
        <v>Adult Education</v>
      </c>
      <c r="C2451" s="751" t="s">
        <v>246</v>
      </c>
      <c r="D2451" s="751" t="s">
        <v>787</v>
      </c>
      <c r="E2451" s="751" t="s">
        <v>788</v>
      </c>
      <c r="F2451" s="751" t="s">
        <v>254</v>
      </c>
      <c r="G2451" s="752" t="s">
        <v>1681</v>
      </c>
      <c r="H2451" s="753">
        <v>52360</v>
      </c>
      <c r="I2451" s="754">
        <v>6811.19</v>
      </c>
      <c r="J2451" s="754">
        <v>0</v>
      </c>
      <c r="K2451" s="754">
        <v>0</v>
      </c>
      <c r="L2451" s="754">
        <v>1749.51</v>
      </c>
      <c r="M2451" s="754">
        <f t="shared" si="101"/>
        <v>1749.51</v>
      </c>
      <c r="N2451" s="756">
        <v>6811.19</v>
      </c>
      <c r="O2451" s="720">
        <f t="shared" si="102"/>
        <v>0</v>
      </c>
    </row>
    <row r="2452" spans="1:15" outlineLevel="2" x14ac:dyDescent="0.25">
      <c r="A2452" s="207" t="e">
        <f>VLOOKUP(RIGHT(E2452,3)+0,SchLocTable!$A$2:$B$47,2,FALSE)</f>
        <v>#N/A</v>
      </c>
      <c r="B2452" s="207" t="str">
        <f>VLOOKUP(VALUE(D2452),$D$3:F$106,3,FALSE)</f>
        <v>Adult Education</v>
      </c>
      <c r="C2452" s="751" t="s">
        <v>246</v>
      </c>
      <c r="D2452" s="751" t="s">
        <v>787</v>
      </c>
      <c r="E2452" s="751" t="s">
        <v>788</v>
      </c>
      <c r="F2452" s="751" t="s">
        <v>292</v>
      </c>
      <c r="G2452" s="752" t="s">
        <v>1681</v>
      </c>
      <c r="H2452" s="753">
        <v>52385</v>
      </c>
      <c r="I2452" s="754">
        <v>0</v>
      </c>
      <c r="J2452" s="754">
        <v>0</v>
      </c>
      <c r="K2452" s="754">
        <v>0</v>
      </c>
      <c r="L2452" s="754">
        <v>0</v>
      </c>
      <c r="M2452" s="754">
        <f t="shared" si="101"/>
        <v>0</v>
      </c>
      <c r="N2452" s="756">
        <v>0</v>
      </c>
      <c r="O2452" s="720">
        <f t="shared" si="102"/>
        <v>0</v>
      </c>
    </row>
    <row r="2453" spans="1:15" outlineLevel="2" x14ac:dyDescent="0.25">
      <c r="A2453" s="207" t="e">
        <f>VLOOKUP(RIGHT(E2453,3)+0,SchLocTable!$A$2:$B$47,2,FALSE)</f>
        <v>#N/A</v>
      </c>
      <c r="B2453" s="207" t="str">
        <f>VLOOKUP(VALUE(D2453),$D$3:F$106,3,FALSE)</f>
        <v>Adult Education</v>
      </c>
      <c r="C2453" s="751" t="s">
        <v>246</v>
      </c>
      <c r="D2453" s="751" t="s">
        <v>787</v>
      </c>
      <c r="E2453" s="751" t="s">
        <v>788</v>
      </c>
      <c r="F2453" s="751" t="s">
        <v>331</v>
      </c>
      <c r="G2453" s="752" t="s">
        <v>1681</v>
      </c>
      <c r="H2453" s="753">
        <v>52504</v>
      </c>
      <c r="I2453" s="754">
        <v>27835.67</v>
      </c>
      <c r="J2453" s="754">
        <v>0</v>
      </c>
      <c r="K2453" s="754">
        <v>0</v>
      </c>
      <c r="L2453" s="754">
        <v>9036.56</v>
      </c>
      <c r="M2453" s="754">
        <f t="shared" si="101"/>
        <v>9036.56</v>
      </c>
      <c r="N2453" s="756">
        <v>27835.67</v>
      </c>
      <c r="O2453" s="720">
        <f t="shared" si="102"/>
        <v>0</v>
      </c>
    </row>
    <row r="2454" spans="1:15" outlineLevel="2" x14ac:dyDescent="0.25">
      <c r="A2454" s="207" t="e">
        <f>VLOOKUP(RIGHT(E2454,3)+0,SchLocTable!$A$2:$B$47,2,FALSE)</f>
        <v>#N/A</v>
      </c>
      <c r="B2454" s="207" t="str">
        <f>VLOOKUP(VALUE(D2454),$D$3:F$106,3,FALSE)</f>
        <v>Adult Education</v>
      </c>
      <c r="C2454" s="751" t="s">
        <v>246</v>
      </c>
      <c r="D2454" s="751" t="s">
        <v>787</v>
      </c>
      <c r="E2454" s="751" t="s">
        <v>788</v>
      </c>
      <c r="F2454" s="751" t="s">
        <v>259</v>
      </c>
      <c r="G2454" s="752" t="s">
        <v>1681</v>
      </c>
      <c r="H2454" s="753">
        <v>52917</v>
      </c>
      <c r="I2454" s="754">
        <v>142579.31</v>
      </c>
      <c r="J2454" s="754">
        <v>0</v>
      </c>
      <c r="K2454" s="754">
        <v>0</v>
      </c>
      <c r="L2454" s="754">
        <v>37259.160000000003</v>
      </c>
      <c r="M2454" s="754">
        <f t="shared" si="101"/>
        <v>37259.160000000003</v>
      </c>
      <c r="N2454" s="756">
        <v>142579.31</v>
      </c>
      <c r="O2454" s="720">
        <f t="shared" si="102"/>
        <v>0</v>
      </c>
    </row>
    <row r="2455" spans="1:15" outlineLevel="2" x14ac:dyDescent="0.25">
      <c r="A2455" s="207" t="e">
        <f>VLOOKUP(RIGHT(E2455,3)+0,SchLocTable!$A$2:$B$47,2,FALSE)</f>
        <v>#N/A</v>
      </c>
      <c r="B2455" s="207" t="str">
        <f>VLOOKUP(VALUE(D2455),$D$3:F$106,3,FALSE)</f>
        <v>Adult Education</v>
      </c>
      <c r="C2455" s="751" t="s">
        <v>246</v>
      </c>
      <c r="D2455" s="751" t="s">
        <v>787</v>
      </c>
      <c r="E2455" s="751" t="s">
        <v>788</v>
      </c>
      <c r="F2455" s="751" t="s">
        <v>756</v>
      </c>
      <c r="G2455" s="752" t="s">
        <v>1681</v>
      </c>
      <c r="H2455" s="753">
        <v>53050</v>
      </c>
      <c r="I2455" s="754">
        <v>118248</v>
      </c>
      <c r="J2455" s="754">
        <v>73592</v>
      </c>
      <c r="K2455" s="754">
        <v>0</v>
      </c>
      <c r="L2455" s="754">
        <v>44656</v>
      </c>
      <c r="M2455" s="754">
        <f t="shared" si="101"/>
        <v>118248</v>
      </c>
      <c r="N2455" s="756">
        <v>118248</v>
      </c>
      <c r="O2455" s="720">
        <f t="shared" si="102"/>
        <v>0</v>
      </c>
    </row>
    <row r="2456" spans="1:15" outlineLevel="2" x14ac:dyDescent="0.25">
      <c r="A2456" s="207" t="e">
        <f>VLOOKUP(RIGHT(E2456,3)+0,SchLocTable!$A$2:$B$47,2,FALSE)</f>
        <v>#N/A</v>
      </c>
      <c r="B2456" s="207" t="str">
        <f>VLOOKUP(VALUE(D2456),$D$3:F$106,3,FALSE)</f>
        <v>Adult Education</v>
      </c>
      <c r="C2456" s="751" t="s">
        <v>246</v>
      </c>
      <c r="D2456" s="751" t="s">
        <v>787</v>
      </c>
      <c r="E2456" s="751" t="s">
        <v>788</v>
      </c>
      <c r="F2456" s="751" t="s">
        <v>1042</v>
      </c>
      <c r="G2456" s="752" t="s">
        <v>1681</v>
      </c>
      <c r="H2456" s="753">
        <v>53110</v>
      </c>
      <c r="I2456" s="754">
        <v>11125</v>
      </c>
      <c r="J2456" s="754">
        <v>0</v>
      </c>
      <c r="K2456" s="754">
        <v>0</v>
      </c>
      <c r="L2456" s="754">
        <v>0</v>
      </c>
      <c r="M2456" s="754">
        <f t="shared" si="101"/>
        <v>0</v>
      </c>
      <c r="N2456" s="756">
        <v>11125</v>
      </c>
      <c r="O2456" s="720">
        <f t="shared" si="102"/>
        <v>0</v>
      </c>
    </row>
    <row r="2457" spans="1:15" outlineLevel="2" x14ac:dyDescent="0.25">
      <c r="A2457" s="207" t="e">
        <f>VLOOKUP(RIGHT(E2457,3)+0,SchLocTable!$A$2:$B$47,2,FALSE)</f>
        <v>#N/A</v>
      </c>
      <c r="B2457" s="207" t="str">
        <f>VLOOKUP(VALUE(D2457),$D$3:F$106,3,FALSE)</f>
        <v>Adult Education</v>
      </c>
      <c r="C2457" s="751" t="s">
        <v>246</v>
      </c>
      <c r="D2457" s="751" t="s">
        <v>787</v>
      </c>
      <c r="E2457" s="751" t="s">
        <v>788</v>
      </c>
      <c r="F2457" s="751" t="s">
        <v>1044</v>
      </c>
      <c r="G2457" s="752" t="s">
        <v>1681</v>
      </c>
      <c r="H2457" s="753">
        <v>53120</v>
      </c>
      <c r="I2457" s="754">
        <v>0</v>
      </c>
      <c r="J2457" s="754">
        <v>0</v>
      </c>
      <c r="K2457" s="754">
        <v>0</v>
      </c>
      <c r="L2457" s="754">
        <v>0</v>
      </c>
      <c r="M2457" s="754">
        <f t="shared" si="101"/>
        <v>0</v>
      </c>
      <c r="N2457" s="756">
        <v>0</v>
      </c>
      <c r="O2457" s="720">
        <f t="shared" si="102"/>
        <v>0</v>
      </c>
    </row>
    <row r="2458" spans="1:15" outlineLevel="2" x14ac:dyDescent="0.25">
      <c r="A2458" s="207" t="e">
        <f>VLOOKUP(RIGHT(E2458,3)+0,SchLocTable!$A$2:$B$47,2,FALSE)</f>
        <v>#N/A</v>
      </c>
      <c r="B2458" s="207" t="str">
        <f>VLOOKUP(VALUE(D2458),$D$3:F$106,3,FALSE)</f>
        <v>Adult Education</v>
      </c>
      <c r="C2458" s="751" t="s">
        <v>246</v>
      </c>
      <c r="D2458" s="751" t="s">
        <v>787</v>
      </c>
      <c r="E2458" s="751" t="s">
        <v>788</v>
      </c>
      <c r="F2458" s="751" t="s">
        <v>1046</v>
      </c>
      <c r="G2458" s="752" t="s">
        <v>1681</v>
      </c>
      <c r="H2458" s="753">
        <v>53130</v>
      </c>
      <c r="I2458" s="754">
        <v>117629.46</v>
      </c>
      <c r="J2458" s="754">
        <v>0</v>
      </c>
      <c r="K2458" s="754">
        <v>0</v>
      </c>
      <c r="L2458" s="754">
        <v>0</v>
      </c>
      <c r="M2458" s="754">
        <f t="shared" si="101"/>
        <v>0</v>
      </c>
      <c r="N2458" s="756">
        <v>117629.46</v>
      </c>
      <c r="O2458" s="720">
        <f t="shared" si="102"/>
        <v>0</v>
      </c>
    </row>
    <row r="2459" spans="1:15" outlineLevel="2" x14ac:dyDescent="0.25">
      <c r="A2459" s="207" t="e">
        <f>VLOOKUP(RIGHT(E2459,3)+0,SchLocTable!$A$2:$B$47,2,FALSE)</f>
        <v>#N/A</v>
      </c>
      <c r="B2459" s="207" t="str">
        <f>VLOOKUP(VALUE(D2459),$D$3:F$106,3,FALSE)</f>
        <v>Adult Education</v>
      </c>
      <c r="C2459" s="751" t="s">
        <v>246</v>
      </c>
      <c r="D2459" s="751" t="s">
        <v>787</v>
      </c>
      <c r="E2459" s="751" t="s">
        <v>788</v>
      </c>
      <c r="F2459" s="751" t="s">
        <v>1048</v>
      </c>
      <c r="G2459" s="752" t="s">
        <v>1681</v>
      </c>
      <c r="H2459" s="753">
        <v>53140</v>
      </c>
      <c r="I2459" s="754">
        <v>49103</v>
      </c>
      <c r="J2459" s="754">
        <v>0</v>
      </c>
      <c r="K2459" s="754">
        <v>0</v>
      </c>
      <c r="L2459" s="754">
        <v>0</v>
      </c>
      <c r="M2459" s="754">
        <f t="shared" si="101"/>
        <v>0</v>
      </c>
      <c r="N2459" s="756">
        <v>49103</v>
      </c>
      <c r="O2459" s="720">
        <f t="shared" si="102"/>
        <v>0</v>
      </c>
    </row>
    <row r="2460" spans="1:15" outlineLevel="2" x14ac:dyDescent="0.25">
      <c r="A2460" s="207" t="e">
        <f>VLOOKUP(RIGHT(E2460,3)+0,SchLocTable!$A$2:$B$47,2,FALSE)</f>
        <v>#N/A</v>
      </c>
      <c r="B2460" s="207" t="str">
        <f>VLOOKUP(VALUE(D2460),$D$3:F$106,3,FALSE)</f>
        <v>Adult Education</v>
      </c>
      <c r="C2460" s="751" t="s">
        <v>246</v>
      </c>
      <c r="D2460" s="751" t="s">
        <v>787</v>
      </c>
      <c r="E2460" s="751" t="s">
        <v>788</v>
      </c>
      <c r="F2460" s="751" t="s">
        <v>922</v>
      </c>
      <c r="G2460" s="752" t="s">
        <v>1681</v>
      </c>
      <c r="H2460" s="753">
        <v>53720</v>
      </c>
      <c r="I2460" s="754">
        <v>0</v>
      </c>
      <c r="J2460" s="754">
        <v>0</v>
      </c>
      <c r="K2460" s="754">
        <v>0</v>
      </c>
      <c r="L2460" s="754">
        <v>0</v>
      </c>
      <c r="M2460" s="754">
        <f t="shared" si="101"/>
        <v>0</v>
      </c>
      <c r="N2460" s="756">
        <v>0</v>
      </c>
      <c r="O2460" s="720">
        <f t="shared" si="102"/>
        <v>0</v>
      </c>
    </row>
    <row r="2461" spans="1:15" outlineLevel="2" x14ac:dyDescent="0.25">
      <c r="A2461" s="207" t="e">
        <f>VLOOKUP(RIGHT(E2461,3)+0,SchLocTable!$A$2:$B$47,2,FALSE)</f>
        <v>#N/A</v>
      </c>
      <c r="B2461" s="207" t="str">
        <f>VLOOKUP(VALUE(D2461),$D$3:F$106,3,FALSE)</f>
        <v>Adult Education</v>
      </c>
      <c r="C2461" s="755" t="s">
        <v>246</v>
      </c>
      <c r="D2461" s="751" t="s">
        <v>787</v>
      </c>
      <c r="E2461" s="751" t="s">
        <v>788</v>
      </c>
      <c r="F2461" s="751" t="s">
        <v>672</v>
      </c>
      <c r="G2461" s="752" t="s">
        <v>1681</v>
      </c>
      <c r="H2461" s="753">
        <v>54540</v>
      </c>
      <c r="I2461" s="754">
        <v>0</v>
      </c>
      <c r="J2461" s="754">
        <v>0</v>
      </c>
      <c r="K2461" s="754">
        <v>0</v>
      </c>
      <c r="L2461" s="754">
        <v>0</v>
      </c>
      <c r="M2461" s="754">
        <f t="shared" si="101"/>
        <v>0</v>
      </c>
      <c r="N2461" s="756">
        <v>0</v>
      </c>
      <c r="O2461" s="720">
        <f t="shared" si="102"/>
        <v>0</v>
      </c>
    </row>
    <row r="2462" spans="1:15" outlineLevel="2" x14ac:dyDescent="0.25">
      <c r="A2462" s="207" t="e">
        <f>VLOOKUP(RIGHT(E2462,3)+0,SchLocTable!$A$2:$B$47,2,FALSE)</f>
        <v>#N/A</v>
      </c>
      <c r="B2462" s="207" t="str">
        <f>VLOOKUP(VALUE(D2462),$D$3:F$106,3,FALSE)</f>
        <v>Adult Education</v>
      </c>
      <c r="C2462" s="751" t="s">
        <v>246</v>
      </c>
      <c r="D2462" s="751" t="s">
        <v>787</v>
      </c>
      <c r="E2462" s="751" t="s">
        <v>788</v>
      </c>
      <c r="F2462" s="751" t="s">
        <v>673</v>
      </c>
      <c r="G2462" s="752" t="s">
        <v>1681</v>
      </c>
      <c r="H2462" s="753">
        <v>54640</v>
      </c>
      <c r="I2462" s="754">
        <v>0</v>
      </c>
      <c r="J2462" s="754">
        <v>0</v>
      </c>
      <c r="K2462" s="754">
        <v>0</v>
      </c>
      <c r="L2462" s="754">
        <v>0</v>
      </c>
      <c r="M2462" s="754">
        <f t="shared" si="101"/>
        <v>0</v>
      </c>
      <c r="N2462" s="756">
        <v>0</v>
      </c>
      <c r="O2462" s="720">
        <f t="shared" si="102"/>
        <v>0</v>
      </c>
    </row>
    <row r="2463" spans="1:15" outlineLevel="2" x14ac:dyDescent="0.25">
      <c r="A2463" s="207" t="e">
        <f>VLOOKUP(RIGHT(E2463,3)+0,SchLocTable!$A$2:$B$47,2,FALSE)</f>
        <v>#N/A</v>
      </c>
      <c r="B2463" s="207" t="str">
        <f>VLOOKUP(VALUE(D2463),$D$3:F$106,3,FALSE)</f>
        <v>Adult Education</v>
      </c>
      <c r="C2463" s="751" t="s">
        <v>246</v>
      </c>
      <c r="D2463" s="751" t="s">
        <v>787</v>
      </c>
      <c r="E2463" s="751" t="s">
        <v>788</v>
      </c>
      <c r="F2463" s="751" t="s">
        <v>1073</v>
      </c>
      <c r="G2463" s="752" t="s">
        <v>1681</v>
      </c>
      <c r="H2463" s="753">
        <v>54715</v>
      </c>
      <c r="I2463" s="754">
        <v>0</v>
      </c>
      <c r="J2463" s="754">
        <v>0</v>
      </c>
      <c r="K2463" s="754">
        <v>0</v>
      </c>
      <c r="L2463" s="754">
        <v>0</v>
      </c>
      <c r="M2463" s="754">
        <f t="shared" si="101"/>
        <v>0</v>
      </c>
      <c r="N2463" s="756">
        <v>0</v>
      </c>
      <c r="O2463" s="720">
        <f t="shared" si="102"/>
        <v>0</v>
      </c>
    </row>
    <row r="2464" spans="1:15" outlineLevel="2" x14ac:dyDescent="0.25">
      <c r="A2464" s="207" t="e">
        <f>VLOOKUP(RIGHT(E2464,3)+0,SchLocTable!$A$2:$B$47,2,FALSE)</f>
        <v>#N/A</v>
      </c>
      <c r="B2464" s="207" t="str">
        <f>VLOOKUP(VALUE(D2464),$D$3:F$106,3,FALSE)</f>
        <v>Adult Education</v>
      </c>
      <c r="C2464" s="751" t="s">
        <v>246</v>
      </c>
      <c r="D2464" s="751" t="s">
        <v>787</v>
      </c>
      <c r="E2464" s="751" t="s">
        <v>788</v>
      </c>
      <c r="F2464" s="751" t="s">
        <v>1074</v>
      </c>
      <c r="G2464" s="752" t="s">
        <v>1681</v>
      </c>
      <c r="H2464" s="753">
        <v>55080</v>
      </c>
      <c r="I2464" s="754">
        <v>0</v>
      </c>
      <c r="J2464" s="754">
        <v>0</v>
      </c>
      <c r="K2464" s="754">
        <v>0</v>
      </c>
      <c r="L2464" s="754">
        <v>0</v>
      </c>
      <c r="M2464" s="754">
        <f t="shared" si="101"/>
        <v>0</v>
      </c>
      <c r="N2464" s="756">
        <v>0</v>
      </c>
      <c r="O2464" s="720">
        <f t="shared" si="102"/>
        <v>0</v>
      </c>
    </row>
    <row r="2465" spans="1:15" outlineLevel="1" x14ac:dyDescent="0.25">
      <c r="A2465" s="207" t="e">
        <f>VLOOKUP(RIGHT(E2465,3)+0,SchLocTable!$A$2:$B$47,2,FALSE)</f>
        <v>#N/A</v>
      </c>
      <c r="B2465" s="207" t="str">
        <f>VLOOKUP(VALUE(D2465),$D$3:F$106,3,FALSE)</f>
        <v>Adult Education</v>
      </c>
      <c r="C2465" s="751" t="s">
        <v>246</v>
      </c>
      <c r="D2465" s="751" t="s">
        <v>787</v>
      </c>
      <c r="E2465" s="751" t="s">
        <v>788</v>
      </c>
      <c r="F2465" s="751" t="s">
        <v>1060</v>
      </c>
      <c r="G2465" s="752" t="s">
        <v>1681</v>
      </c>
      <c r="H2465" s="753">
        <v>55110</v>
      </c>
      <c r="I2465" s="754">
        <v>0</v>
      </c>
      <c r="J2465" s="754">
        <v>0</v>
      </c>
      <c r="K2465" s="754">
        <v>0</v>
      </c>
      <c r="L2465" s="754">
        <v>0</v>
      </c>
      <c r="M2465" s="754">
        <f t="shared" si="101"/>
        <v>0</v>
      </c>
      <c r="N2465" s="756">
        <v>0</v>
      </c>
      <c r="O2465" s="720">
        <f t="shared" si="102"/>
        <v>0</v>
      </c>
    </row>
    <row r="2466" spans="1:15" outlineLevel="2" x14ac:dyDescent="0.25">
      <c r="A2466" s="207" t="e">
        <f>VLOOKUP(RIGHT(E2466,3)+0,SchLocTable!$A$2:$B$47,2,FALSE)</f>
        <v>#N/A</v>
      </c>
      <c r="B2466" s="207" t="str">
        <f>VLOOKUP(VALUE(D2466),$D$3:F$106,3,FALSE)</f>
        <v>Adult Education</v>
      </c>
      <c r="C2466" s="751" t="s">
        <v>246</v>
      </c>
      <c r="D2466" s="751" t="s">
        <v>787</v>
      </c>
      <c r="E2466" s="751" t="s">
        <v>788</v>
      </c>
      <c r="F2466" s="751" t="s">
        <v>910</v>
      </c>
      <c r="G2466" s="752" t="s">
        <v>1681</v>
      </c>
      <c r="H2466" s="753">
        <v>55155</v>
      </c>
      <c r="I2466" s="754">
        <v>0</v>
      </c>
      <c r="J2466" s="754">
        <v>0</v>
      </c>
      <c r="K2466" s="754">
        <v>0</v>
      </c>
      <c r="L2466" s="754">
        <v>0</v>
      </c>
      <c r="M2466" s="754">
        <f t="shared" si="101"/>
        <v>0</v>
      </c>
      <c r="N2466" s="756">
        <v>0</v>
      </c>
      <c r="O2466" s="720">
        <f t="shared" si="102"/>
        <v>0</v>
      </c>
    </row>
    <row r="2467" spans="1:15" outlineLevel="2" x14ac:dyDescent="0.25">
      <c r="A2467" s="207" t="e">
        <f>VLOOKUP(RIGHT(E2467,3)+0,SchLocTable!$A$2:$B$47,2,FALSE)</f>
        <v>#N/A</v>
      </c>
      <c r="B2467" s="207" t="str">
        <f>VLOOKUP(VALUE(D2467),$D$3:F$106,3,FALSE)</f>
        <v>Adult Education</v>
      </c>
      <c r="C2467" s="751" t="s">
        <v>246</v>
      </c>
      <c r="D2467" s="751" t="s">
        <v>787</v>
      </c>
      <c r="E2467" s="751" t="s">
        <v>788</v>
      </c>
      <c r="F2467" s="751" t="s">
        <v>1061</v>
      </c>
      <c r="G2467" s="752" t="s">
        <v>1681</v>
      </c>
      <c r="H2467" s="753">
        <v>56045</v>
      </c>
      <c r="I2467" s="754">
        <v>0</v>
      </c>
      <c r="J2467" s="754">
        <v>0</v>
      </c>
      <c r="K2467" s="754">
        <v>0</v>
      </c>
      <c r="L2467" s="754">
        <v>0</v>
      </c>
      <c r="M2467" s="754">
        <f t="shared" si="101"/>
        <v>0</v>
      </c>
      <c r="N2467" s="756">
        <v>0</v>
      </c>
      <c r="O2467" s="720">
        <f t="shared" si="102"/>
        <v>0</v>
      </c>
    </row>
    <row r="2468" spans="1:15" outlineLevel="1" x14ac:dyDescent="0.25">
      <c r="A2468" s="207" t="e">
        <f>VLOOKUP(RIGHT(E2468,3)+0,SchLocTable!$A$2:$B$47,2,FALSE)</f>
        <v>#N/A</v>
      </c>
      <c r="B2468" s="207" t="str">
        <f>VLOOKUP(VALUE(D2468),$D$3:F$106,3,FALSE)</f>
        <v>Adult Education</v>
      </c>
      <c r="C2468" s="751" t="s">
        <v>246</v>
      </c>
      <c r="D2468" s="751" t="s">
        <v>787</v>
      </c>
      <c r="E2468" s="751" t="s">
        <v>788</v>
      </c>
      <c r="F2468" s="751" t="s">
        <v>1063</v>
      </c>
      <c r="G2468" s="752" t="s">
        <v>1681</v>
      </c>
      <c r="H2468" s="753">
        <v>56060</v>
      </c>
      <c r="I2468" s="754">
        <v>0</v>
      </c>
      <c r="J2468" s="754">
        <v>0</v>
      </c>
      <c r="K2468" s="754">
        <v>0</v>
      </c>
      <c r="L2468" s="754">
        <v>0</v>
      </c>
      <c r="M2468" s="754">
        <f t="shared" si="101"/>
        <v>0</v>
      </c>
      <c r="N2468" s="756">
        <v>0</v>
      </c>
      <c r="O2468" s="720">
        <f t="shared" si="102"/>
        <v>0</v>
      </c>
    </row>
    <row r="2469" spans="1:15" outlineLevel="1" x14ac:dyDescent="0.25">
      <c r="A2469" s="207" t="e">
        <f>VLOOKUP(RIGHT(E2469,3)+0,SchLocTable!$A$2:$B$47,2,FALSE)</f>
        <v>#N/A</v>
      </c>
      <c r="B2469" s="207" t="str">
        <f>VLOOKUP(VALUE(D2469),$D$3:F$106,3,FALSE)</f>
        <v>Adult Education</v>
      </c>
      <c r="C2469" s="751" t="s">
        <v>246</v>
      </c>
      <c r="D2469" s="751" t="s">
        <v>787</v>
      </c>
      <c r="E2469" s="751" t="s">
        <v>788</v>
      </c>
      <c r="F2469" s="751" t="s">
        <v>1064</v>
      </c>
      <c r="G2469" s="752" t="s">
        <v>1681</v>
      </c>
      <c r="H2469" s="753">
        <v>56080</v>
      </c>
      <c r="I2469" s="754">
        <v>0</v>
      </c>
      <c r="J2469" s="754">
        <v>0</v>
      </c>
      <c r="K2469" s="754">
        <v>0</v>
      </c>
      <c r="L2469" s="754">
        <v>0</v>
      </c>
      <c r="M2469" s="754">
        <f t="shared" si="101"/>
        <v>0</v>
      </c>
      <c r="N2469" s="756">
        <v>0</v>
      </c>
      <c r="O2469" s="720">
        <f t="shared" si="102"/>
        <v>0</v>
      </c>
    </row>
    <row r="2470" spans="1:15" outlineLevel="2" x14ac:dyDescent="0.25">
      <c r="A2470" s="207" t="e">
        <f>VLOOKUP(RIGHT(E2470,3)+0,SchLocTable!$A$2:$B$47,2,FALSE)</f>
        <v>#N/A</v>
      </c>
      <c r="B2470" s="207" t="str">
        <f>VLOOKUP(VALUE(D2470),$D$3:F$106,3,FALSE)</f>
        <v>Adult Education</v>
      </c>
      <c r="C2470" s="755" t="s">
        <v>246</v>
      </c>
      <c r="D2470" s="751" t="s">
        <v>787</v>
      </c>
      <c r="E2470" s="751" t="s">
        <v>788</v>
      </c>
      <c r="F2470" s="751" t="s">
        <v>1065</v>
      </c>
      <c r="G2470" s="752" t="s">
        <v>1681</v>
      </c>
      <c r="H2470" s="753">
        <v>56125</v>
      </c>
      <c r="I2470" s="754">
        <v>0</v>
      </c>
      <c r="J2470" s="754">
        <v>0</v>
      </c>
      <c r="K2470" s="754">
        <v>0</v>
      </c>
      <c r="L2470" s="754">
        <v>0</v>
      </c>
      <c r="M2470" s="754">
        <f t="shared" si="101"/>
        <v>0</v>
      </c>
      <c r="N2470" s="756">
        <v>0</v>
      </c>
      <c r="O2470" s="720">
        <f t="shared" si="102"/>
        <v>0</v>
      </c>
    </row>
    <row r="2471" spans="1:15" outlineLevel="2" x14ac:dyDescent="0.25">
      <c r="A2471" s="207" t="e">
        <f>VLOOKUP(RIGHT(E2471,3)+0,SchLocTable!$A$2:$B$47,2,FALSE)</f>
        <v>#N/A</v>
      </c>
      <c r="B2471" s="207" t="str">
        <f>VLOOKUP(VALUE(D2471),$D$3:F$106,3,FALSE)</f>
        <v>Adult Education</v>
      </c>
      <c r="C2471" s="751" t="s">
        <v>246</v>
      </c>
      <c r="D2471" s="751" t="s">
        <v>787</v>
      </c>
      <c r="E2471" s="751" t="s">
        <v>788</v>
      </c>
      <c r="F2471" s="751" t="s">
        <v>766</v>
      </c>
      <c r="G2471" s="752" t="s">
        <v>1681</v>
      </c>
      <c r="H2471" s="753">
        <v>56170</v>
      </c>
      <c r="I2471" s="754">
        <v>0</v>
      </c>
      <c r="J2471" s="754">
        <v>0</v>
      </c>
      <c r="K2471" s="754">
        <v>0</v>
      </c>
      <c r="L2471" s="754">
        <v>0</v>
      </c>
      <c r="M2471" s="754">
        <f t="shared" si="101"/>
        <v>0</v>
      </c>
      <c r="N2471" s="756">
        <v>0</v>
      </c>
      <c r="O2471" s="720">
        <f t="shared" si="102"/>
        <v>0</v>
      </c>
    </row>
    <row r="2472" spans="1:15" outlineLevel="2" x14ac:dyDescent="0.25">
      <c r="A2472" s="207" t="e">
        <f>VLOOKUP(RIGHT(E2472,3)+0,SchLocTable!$A$2:$B$47,2,FALSE)</f>
        <v>#N/A</v>
      </c>
      <c r="B2472" s="207" t="str">
        <f>VLOOKUP(VALUE(D2472),$D$3:F$106,3,FALSE)</f>
        <v>Adult Education</v>
      </c>
      <c r="C2472" s="755" t="s">
        <v>246</v>
      </c>
      <c r="D2472" s="751" t="s">
        <v>787</v>
      </c>
      <c r="E2472" s="751" t="s">
        <v>788</v>
      </c>
      <c r="F2472" s="751" t="s">
        <v>382</v>
      </c>
      <c r="G2472" s="752" t="s">
        <v>1681</v>
      </c>
      <c r="H2472" s="753">
        <v>56180</v>
      </c>
      <c r="I2472" s="754">
        <v>0</v>
      </c>
      <c r="J2472" s="754">
        <v>0</v>
      </c>
      <c r="K2472" s="754">
        <v>0</v>
      </c>
      <c r="L2472" s="754">
        <v>0</v>
      </c>
      <c r="M2472" s="754">
        <f t="shared" si="101"/>
        <v>0</v>
      </c>
      <c r="N2472" s="756">
        <v>0</v>
      </c>
      <c r="O2472" s="720">
        <f t="shared" si="102"/>
        <v>0</v>
      </c>
    </row>
    <row r="2473" spans="1:15" outlineLevel="2" x14ac:dyDescent="0.25">
      <c r="A2473" s="207" t="e">
        <f>VLOOKUP(RIGHT(E2473,3)+0,SchLocTable!$A$2:$B$47,2,FALSE)</f>
        <v>#N/A</v>
      </c>
      <c r="B2473" s="207" t="str">
        <f>VLOOKUP(VALUE(D2473),$D$3:F$106,3,FALSE)</f>
        <v>Adult Education</v>
      </c>
      <c r="C2473" s="751" t="s">
        <v>246</v>
      </c>
      <c r="D2473" s="751" t="s">
        <v>787</v>
      </c>
      <c r="E2473" s="751" t="s">
        <v>788</v>
      </c>
      <c r="F2473" s="751" t="s">
        <v>1053</v>
      </c>
      <c r="G2473" s="752" t="s">
        <v>1681</v>
      </c>
      <c r="H2473" s="753">
        <v>56215</v>
      </c>
      <c r="I2473" s="754">
        <v>0</v>
      </c>
      <c r="J2473" s="754">
        <v>0</v>
      </c>
      <c r="K2473" s="754">
        <v>0</v>
      </c>
      <c r="L2473" s="754">
        <v>0</v>
      </c>
      <c r="M2473" s="754">
        <f t="shared" si="101"/>
        <v>0</v>
      </c>
      <c r="N2473" s="756">
        <v>0</v>
      </c>
      <c r="O2473" s="720">
        <f t="shared" si="102"/>
        <v>0</v>
      </c>
    </row>
    <row r="2474" spans="1:15" outlineLevel="2" x14ac:dyDescent="0.25">
      <c r="A2474" s="207" t="e">
        <f>VLOOKUP(RIGHT(E2474,3)+0,SchLocTable!$A$2:$B$47,2,FALSE)</f>
        <v>#N/A</v>
      </c>
      <c r="B2474" s="207" t="str">
        <f>VLOOKUP(VALUE(D2474),$D$3:F$106,3,FALSE)</f>
        <v>Adult Education</v>
      </c>
      <c r="C2474" s="751" t="s">
        <v>246</v>
      </c>
      <c r="D2474" s="751" t="s">
        <v>787</v>
      </c>
      <c r="E2474" s="751" t="s">
        <v>788</v>
      </c>
      <c r="F2474" s="751" t="s">
        <v>925</v>
      </c>
      <c r="G2474" s="752" t="s">
        <v>1681</v>
      </c>
      <c r="H2474" s="753">
        <v>56225</v>
      </c>
      <c r="I2474" s="754">
        <v>0</v>
      </c>
      <c r="J2474" s="754">
        <v>0</v>
      </c>
      <c r="K2474" s="754">
        <v>0</v>
      </c>
      <c r="L2474" s="754">
        <v>0</v>
      </c>
      <c r="M2474" s="754">
        <f t="shared" si="101"/>
        <v>0</v>
      </c>
      <c r="N2474" s="756">
        <v>0</v>
      </c>
      <c r="O2474" s="720">
        <f t="shared" si="102"/>
        <v>0</v>
      </c>
    </row>
    <row r="2475" spans="1:15" outlineLevel="2" x14ac:dyDescent="0.25">
      <c r="A2475" s="207" t="e">
        <f>VLOOKUP(RIGHT(E2475,3)+0,SchLocTable!$A$2:$B$47,2,FALSE)</f>
        <v>#N/A</v>
      </c>
      <c r="B2475" s="207" t="str">
        <f>VLOOKUP(VALUE(D2475),$D$3:F$106,3,FALSE)</f>
        <v>Adult Ed Security</v>
      </c>
      <c r="C2475" s="751" t="s">
        <v>246</v>
      </c>
      <c r="D2475" s="751" t="s">
        <v>789</v>
      </c>
      <c r="E2475" s="751" t="s">
        <v>790</v>
      </c>
      <c r="F2475" s="751" t="s">
        <v>378</v>
      </c>
      <c r="G2475" s="752" t="s">
        <v>1681</v>
      </c>
      <c r="H2475" s="753">
        <v>51108</v>
      </c>
      <c r="I2475" s="754">
        <v>0</v>
      </c>
      <c r="J2475" s="754">
        <v>0</v>
      </c>
      <c r="K2475" s="754">
        <v>0</v>
      </c>
      <c r="L2475" s="754">
        <v>0</v>
      </c>
      <c r="M2475" s="754">
        <f t="shared" si="101"/>
        <v>0</v>
      </c>
      <c r="N2475" s="756">
        <v>0</v>
      </c>
      <c r="O2475" s="720">
        <f t="shared" si="102"/>
        <v>0</v>
      </c>
    </row>
    <row r="2476" spans="1:15" outlineLevel="1" x14ac:dyDescent="0.25">
      <c r="A2476" s="207" t="e">
        <f>VLOOKUP(RIGHT(E2476,3)+0,SchLocTable!$A$2:$B$47,2,FALSE)</f>
        <v>#N/A</v>
      </c>
      <c r="B2476" s="207" t="str">
        <f>VLOOKUP(VALUE(D2476),$D$3:F$106,3,FALSE)</f>
        <v>Adult Ed Security</v>
      </c>
      <c r="C2476" s="751" t="s">
        <v>246</v>
      </c>
      <c r="D2476" s="751" t="s">
        <v>789</v>
      </c>
      <c r="E2476" s="751" t="s">
        <v>790</v>
      </c>
      <c r="F2476" s="751" t="s">
        <v>380</v>
      </c>
      <c r="G2476" s="752" t="s">
        <v>1681</v>
      </c>
      <c r="H2476" s="753">
        <v>51122</v>
      </c>
      <c r="I2476" s="754">
        <v>89116.53</v>
      </c>
      <c r="J2476" s="754">
        <v>0</v>
      </c>
      <c r="K2476" s="754">
        <v>0</v>
      </c>
      <c r="L2476" s="754">
        <v>18934.87</v>
      </c>
      <c r="M2476" s="754">
        <f t="shared" si="101"/>
        <v>18934.87</v>
      </c>
      <c r="N2476" s="756">
        <v>89116.53</v>
      </c>
      <c r="O2476" s="720">
        <f t="shared" si="102"/>
        <v>0</v>
      </c>
    </row>
    <row r="2477" spans="1:15" outlineLevel="2" x14ac:dyDescent="0.25">
      <c r="A2477" s="207" t="e">
        <f>VLOOKUP(RIGHT(E2477,3)+0,SchLocTable!$A$2:$B$47,2,FALSE)</f>
        <v>#N/A</v>
      </c>
      <c r="B2477" s="207" t="str">
        <f>VLOOKUP(VALUE(D2477),$D$3:F$106,3,FALSE)</f>
        <v>Adult Ed Security</v>
      </c>
      <c r="C2477" s="751" t="s">
        <v>246</v>
      </c>
      <c r="D2477" s="751" t="s">
        <v>789</v>
      </c>
      <c r="E2477" s="751" t="s">
        <v>790</v>
      </c>
      <c r="F2477" s="751" t="s">
        <v>257</v>
      </c>
      <c r="G2477" s="752" t="s">
        <v>1681</v>
      </c>
      <c r="H2477" s="753">
        <v>51140</v>
      </c>
      <c r="I2477" s="754">
        <v>2250</v>
      </c>
      <c r="J2477" s="754">
        <v>0</v>
      </c>
      <c r="K2477" s="754">
        <v>0</v>
      </c>
      <c r="L2477" s="754">
        <v>1743.75</v>
      </c>
      <c r="M2477" s="754">
        <f t="shared" si="101"/>
        <v>1743.75</v>
      </c>
      <c r="N2477" s="756">
        <v>2250</v>
      </c>
      <c r="O2477" s="720">
        <f t="shared" si="102"/>
        <v>0</v>
      </c>
    </row>
    <row r="2478" spans="1:15" outlineLevel="2" x14ac:dyDescent="0.25">
      <c r="A2478" s="207" t="e">
        <f>VLOOKUP(RIGHT(E2478,3)+0,SchLocTable!$A$2:$B$47,2,FALSE)</f>
        <v>#N/A</v>
      </c>
      <c r="B2478" s="207" t="str">
        <f>VLOOKUP(VALUE(D2478),$D$3:F$106,3,FALSE)</f>
        <v>Adult Ed Security</v>
      </c>
      <c r="C2478" s="751" t="s">
        <v>246</v>
      </c>
      <c r="D2478" s="751" t="s">
        <v>789</v>
      </c>
      <c r="E2478" s="751" t="s">
        <v>790</v>
      </c>
      <c r="F2478" s="751" t="s">
        <v>254</v>
      </c>
      <c r="G2478" s="752" t="s">
        <v>1681</v>
      </c>
      <c r="H2478" s="753">
        <v>52360</v>
      </c>
      <c r="I2478" s="754">
        <v>1317.5</v>
      </c>
      <c r="J2478" s="754">
        <v>0</v>
      </c>
      <c r="K2478" s="754">
        <v>0</v>
      </c>
      <c r="L2478" s="754">
        <v>299.87</v>
      </c>
      <c r="M2478" s="754">
        <f t="shared" si="101"/>
        <v>299.87</v>
      </c>
      <c r="N2478" s="756">
        <v>1317.5</v>
      </c>
      <c r="O2478" s="720">
        <f t="shared" si="102"/>
        <v>0</v>
      </c>
    </row>
    <row r="2479" spans="1:15" outlineLevel="2" x14ac:dyDescent="0.25">
      <c r="A2479" s="207" t="e">
        <f>VLOOKUP(RIGHT(E2479,3)+0,SchLocTable!$A$2:$B$47,2,FALSE)</f>
        <v>#N/A</v>
      </c>
      <c r="B2479" s="207" t="str">
        <f>VLOOKUP(VALUE(D2479),$D$3:F$106,3,FALSE)</f>
        <v>Adult Ed Security</v>
      </c>
      <c r="C2479" s="751" t="s">
        <v>246</v>
      </c>
      <c r="D2479" s="751" t="s">
        <v>789</v>
      </c>
      <c r="E2479" s="751" t="s">
        <v>790</v>
      </c>
      <c r="F2479" s="751" t="s">
        <v>292</v>
      </c>
      <c r="G2479" s="752" t="s">
        <v>1681</v>
      </c>
      <c r="H2479" s="753">
        <v>52385</v>
      </c>
      <c r="I2479" s="754">
        <v>0</v>
      </c>
      <c r="J2479" s="754">
        <v>0</v>
      </c>
      <c r="K2479" s="754">
        <v>0</v>
      </c>
      <c r="L2479" s="754">
        <v>0</v>
      </c>
      <c r="M2479" s="754">
        <f t="shared" si="101"/>
        <v>0</v>
      </c>
      <c r="N2479" s="756">
        <v>0</v>
      </c>
      <c r="O2479" s="720">
        <f t="shared" si="102"/>
        <v>0</v>
      </c>
    </row>
    <row r="2480" spans="1:15" outlineLevel="2" x14ac:dyDescent="0.25">
      <c r="A2480" s="207" t="e">
        <f>VLOOKUP(RIGHT(E2480,3)+0,SchLocTable!$A$2:$B$47,2,FALSE)</f>
        <v>#N/A</v>
      </c>
      <c r="B2480" s="207" t="str">
        <f>VLOOKUP(VALUE(D2480),$D$3:F$106,3,FALSE)</f>
        <v>Adult Ed Security</v>
      </c>
      <c r="C2480" s="751" t="s">
        <v>246</v>
      </c>
      <c r="D2480" s="751" t="s">
        <v>789</v>
      </c>
      <c r="E2480" s="751" t="s">
        <v>790</v>
      </c>
      <c r="F2480" s="751" t="s">
        <v>331</v>
      </c>
      <c r="G2480" s="752" t="s">
        <v>1681</v>
      </c>
      <c r="H2480" s="753">
        <v>52504</v>
      </c>
      <c r="I2480" s="754">
        <v>18708.04</v>
      </c>
      <c r="J2480" s="754">
        <v>0</v>
      </c>
      <c r="K2480" s="754">
        <v>0</v>
      </c>
      <c r="L2480" s="754">
        <v>4257.6400000000003</v>
      </c>
      <c r="M2480" s="754">
        <f t="shared" si="101"/>
        <v>4257.6400000000003</v>
      </c>
      <c r="N2480" s="756">
        <v>18708.04</v>
      </c>
      <c r="O2480" s="720">
        <f t="shared" si="102"/>
        <v>0</v>
      </c>
    </row>
    <row r="2481" spans="1:15" outlineLevel="1" x14ac:dyDescent="0.25">
      <c r="A2481" s="207" t="e">
        <f>VLOOKUP(RIGHT(E2481,3)+0,SchLocTable!$A$2:$B$47,2,FALSE)</f>
        <v>#N/A</v>
      </c>
      <c r="B2481" s="207" t="str">
        <f>VLOOKUP(VALUE(D2481),$D$3:F$106,3,FALSE)</f>
        <v>Adult Ed Custodial</v>
      </c>
      <c r="C2481" s="751" t="s">
        <v>246</v>
      </c>
      <c r="D2481" s="751" t="s">
        <v>791</v>
      </c>
      <c r="E2481" s="751" t="s">
        <v>792</v>
      </c>
      <c r="F2481" s="751" t="s">
        <v>378</v>
      </c>
      <c r="G2481" s="752" t="s">
        <v>1681</v>
      </c>
      <c r="H2481" s="753">
        <v>51108</v>
      </c>
      <c r="I2481" s="754">
        <v>0</v>
      </c>
      <c r="J2481" s="754">
        <v>0</v>
      </c>
      <c r="K2481" s="754">
        <v>0</v>
      </c>
      <c r="L2481" s="754">
        <v>0</v>
      </c>
      <c r="M2481" s="754">
        <f t="shared" si="101"/>
        <v>0</v>
      </c>
      <c r="N2481" s="756">
        <v>0</v>
      </c>
      <c r="O2481" s="720">
        <f t="shared" si="102"/>
        <v>0</v>
      </c>
    </row>
    <row r="2482" spans="1:15" outlineLevel="1" x14ac:dyDescent="0.25">
      <c r="A2482" s="207" t="e">
        <f>VLOOKUP(RIGHT(E2482,3)+0,SchLocTable!$A$2:$B$47,2,FALSE)</f>
        <v>#N/A</v>
      </c>
      <c r="B2482" s="207" t="str">
        <f>VLOOKUP(VALUE(D2482),$D$3:F$106,3,FALSE)</f>
        <v>Adult Ed Custodial</v>
      </c>
      <c r="C2482" s="751" t="s">
        <v>246</v>
      </c>
      <c r="D2482" s="751" t="s">
        <v>791</v>
      </c>
      <c r="E2482" s="751" t="s">
        <v>792</v>
      </c>
      <c r="F2482" s="751" t="s">
        <v>380</v>
      </c>
      <c r="G2482" s="752" t="s">
        <v>1681</v>
      </c>
      <c r="H2482" s="753">
        <v>51122</v>
      </c>
      <c r="I2482" s="754">
        <v>14816.44</v>
      </c>
      <c r="J2482" s="754">
        <v>0</v>
      </c>
      <c r="K2482" s="754">
        <v>0</v>
      </c>
      <c r="L2482" s="754">
        <v>4353.55</v>
      </c>
      <c r="M2482" s="754">
        <f t="shared" si="101"/>
        <v>4353.55</v>
      </c>
      <c r="N2482" s="756">
        <v>14816.44</v>
      </c>
      <c r="O2482" s="720">
        <f t="shared" si="102"/>
        <v>0</v>
      </c>
    </row>
    <row r="2483" spans="1:15" outlineLevel="2" x14ac:dyDescent="0.25">
      <c r="A2483" s="207" t="e">
        <f>VLOOKUP(RIGHT(E2483,3)+0,SchLocTable!$A$2:$B$47,2,FALSE)</f>
        <v>#N/A</v>
      </c>
      <c r="B2483" s="207" t="str">
        <f>VLOOKUP(VALUE(D2483),$D$3:F$106,3,FALSE)</f>
        <v>Adult Ed Custodial</v>
      </c>
      <c r="C2483" s="755" t="s">
        <v>246</v>
      </c>
      <c r="D2483" s="751" t="s">
        <v>791</v>
      </c>
      <c r="E2483" s="751" t="s">
        <v>792</v>
      </c>
      <c r="F2483" s="751" t="s">
        <v>257</v>
      </c>
      <c r="G2483" s="752" t="s">
        <v>1681</v>
      </c>
      <c r="H2483" s="753">
        <v>51140</v>
      </c>
      <c r="I2483" s="754">
        <v>2943.75</v>
      </c>
      <c r="J2483" s="754">
        <v>0</v>
      </c>
      <c r="K2483" s="754">
        <v>0</v>
      </c>
      <c r="L2483" s="754">
        <v>0</v>
      </c>
      <c r="M2483" s="754">
        <f t="shared" si="101"/>
        <v>0</v>
      </c>
      <c r="N2483" s="756">
        <v>2943.75</v>
      </c>
      <c r="O2483" s="720">
        <f t="shared" si="102"/>
        <v>0</v>
      </c>
    </row>
    <row r="2484" spans="1:15" outlineLevel="2" x14ac:dyDescent="0.25">
      <c r="A2484" s="207" t="e">
        <f>VLOOKUP(RIGHT(E2484,3)+0,SchLocTable!$A$2:$B$47,2,FALSE)</f>
        <v>#N/A</v>
      </c>
      <c r="B2484" s="207" t="str">
        <f>VLOOKUP(VALUE(D2484),$D$3:F$106,3,FALSE)</f>
        <v>Adult Ed Custodial</v>
      </c>
      <c r="C2484" s="751" t="s">
        <v>246</v>
      </c>
      <c r="D2484" s="751" t="s">
        <v>791</v>
      </c>
      <c r="E2484" s="751" t="s">
        <v>792</v>
      </c>
      <c r="F2484" s="751" t="s">
        <v>254</v>
      </c>
      <c r="G2484" s="752" t="s">
        <v>1681</v>
      </c>
      <c r="H2484" s="753">
        <v>52360</v>
      </c>
      <c r="I2484" s="754">
        <v>214.44</v>
      </c>
      <c r="J2484" s="754">
        <v>0</v>
      </c>
      <c r="K2484" s="754">
        <v>0</v>
      </c>
      <c r="L2484" s="754">
        <v>62.73</v>
      </c>
      <c r="M2484" s="754">
        <f t="shared" si="101"/>
        <v>62.73</v>
      </c>
      <c r="N2484" s="756">
        <v>214.44</v>
      </c>
      <c r="O2484" s="720">
        <f t="shared" si="102"/>
        <v>0</v>
      </c>
    </row>
    <row r="2485" spans="1:15" outlineLevel="2" x14ac:dyDescent="0.25">
      <c r="A2485" s="207" t="e">
        <f>VLOOKUP(RIGHT(E2485,3)+0,SchLocTable!$A$2:$B$47,2,FALSE)</f>
        <v>#N/A</v>
      </c>
      <c r="B2485" s="207" t="str">
        <f>VLOOKUP(VALUE(D2485),$D$3:F$106,3,FALSE)</f>
        <v>Adult Ed Custodial</v>
      </c>
      <c r="C2485" s="751" t="s">
        <v>246</v>
      </c>
      <c r="D2485" s="751" t="s">
        <v>791</v>
      </c>
      <c r="E2485" s="751" t="s">
        <v>792</v>
      </c>
      <c r="F2485" s="751" t="s">
        <v>331</v>
      </c>
      <c r="G2485" s="752" t="s">
        <v>1681</v>
      </c>
      <c r="H2485" s="753">
        <v>52504</v>
      </c>
      <c r="I2485" s="754">
        <v>3050.73</v>
      </c>
      <c r="J2485" s="754">
        <v>0</v>
      </c>
      <c r="K2485" s="754">
        <v>0</v>
      </c>
      <c r="L2485" s="754">
        <v>896.42</v>
      </c>
      <c r="M2485" s="754">
        <f t="shared" si="101"/>
        <v>896.42</v>
      </c>
      <c r="N2485" s="756">
        <v>3050.73</v>
      </c>
      <c r="O2485" s="720">
        <f t="shared" si="102"/>
        <v>0</v>
      </c>
    </row>
    <row r="2486" spans="1:15" outlineLevel="2" x14ac:dyDescent="0.25">
      <c r="A2486" s="207" t="e">
        <f>VLOOKUP(RIGHT(E2486,3)+0,SchLocTable!$A$2:$B$47,2,FALSE)</f>
        <v>#N/A</v>
      </c>
      <c r="B2486" s="207" t="str">
        <f>VLOOKUP(VALUE(D2486),$D$3:F$106,3,FALSE)</f>
        <v>Summer School</v>
      </c>
      <c r="C2486" s="751" t="s">
        <v>246</v>
      </c>
      <c r="D2486" s="751" t="s">
        <v>793</v>
      </c>
      <c r="E2486" s="751" t="s">
        <v>794</v>
      </c>
      <c r="F2486" s="751" t="s">
        <v>248</v>
      </c>
      <c r="G2486" s="752" t="s">
        <v>1681</v>
      </c>
      <c r="H2486" s="753">
        <v>51000</v>
      </c>
      <c r="I2486" s="754">
        <v>0</v>
      </c>
      <c r="J2486" s="754">
        <v>0</v>
      </c>
      <c r="K2486" s="754">
        <v>0</v>
      </c>
      <c r="L2486" s="754">
        <v>0</v>
      </c>
      <c r="M2486" s="754">
        <f t="shared" si="101"/>
        <v>0</v>
      </c>
      <c r="N2486" s="756">
        <v>0</v>
      </c>
      <c r="O2486" s="720">
        <f t="shared" si="102"/>
        <v>0</v>
      </c>
    </row>
    <row r="2487" spans="1:15" outlineLevel="2" x14ac:dyDescent="0.25">
      <c r="A2487" s="207" t="e">
        <f>VLOOKUP(RIGHT(E2487,3)+0,SchLocTable!$A$2:$B$47,2,FALSE)</f>
        <v>#N/A</v>
      </c>
      <c r="B2487" s="207" t="str">
        <f>VLOOKUP(VALUE(D2487),$D$3:F$106,3,FALSE)</f>
        <v>Summer School</v>
      </c>
      <c r="C2487" s="751" t="s">
        <v>246</v>
      </c>
      <c r="D2487" s="751" t="s">
        <v>793</v>
      </c>
      <c r="E2487" s="751" t="s">
        <v>794</v>
      </c>
      <c r="F2487" s="751" t="s">
        <v>250</v>
      </c>
      <c r="G2487" s="752" t="s">
        <v>1681</v>
      </c>
      <c r="H2487" s="753">
        <v>51100</v>
      </c>
      <c r="I2487" s="754">
        <v>44081</v>
      </c>
      <c r="J2487" s="754">
        <v>0</v>
      </c>
      <c r="K2487" s="754">
        <v>0</v>
      </c>
      <c r="L2487" s="754">
        <v>44081</v>
      </c>
      <c r="M2487" s="754">
        <f t="shared" si="101"/>
        <v>44081</v>
      </c>
      <c r="N2487" s="756">
        <v>44081</v>
      </c>
      <c r="O2487" s="720">
        <f t="shared" si="102"/>
        <v>0</v>
      </c>
    </row>
    <row r="2488" spans="1:15" outlineLevel="2" x14ac:dyDescent="0.25">
      <c r="A2488" s="207" t="e">
        <f>VLOOKUP(RIGHT(E2488,3)+0,SchLocTable!$A$2:$B$47,2,FALSE)</f>
        <v>#N/A</v>
      </c>
      <c r="B2488" s="207" t="str">
        <f>VLOOKUP(VALUE(D2488),$D$3:F$106,3,FALSE)</f>
        <v>Summer School</v>
      </c>
      <c r="C2488" s="751" t="s">
        <v>246</v>
      </c>
      <c r="D2488" s="751" t="s">
        <v>793</v>
      </c>
      <c r="E2488" s="751" t="s">
        <v>794</v>
      </c>
      <c r="F2488" s="751" t="s">
        <v>254</v>
      </c>
      <c r="G2488" s="752" t="s">
        <v>1681</v>
      </c>
      <c r="H2488" s="753">
        <v>52360</v>
      </c>
      <c r="I2488" s="754">
        <v>652.34</v>
      </c>
      <c r="J2488" s="754">
        <v>0</v>
      </c>
      <c r="K2488" s="754">
        <v>0</v>
      </c>
      <c r="L2488" s="754">
        <v>652.34</v>
      </c>
      <c r="M2488" s="754">
        <f t="shared" si="101"/>
        <v>652.34</v>
      </c>
      <c r="N2488" s="756">
        <v>652.34</v>
      </c>
      <c r="O2488" s="720">
        <f t="shared" si="102"/>
        <v>0</v>
      </c>
    </row>
    <row r="2489" spans="1:15" outlineLevel="1" x14ac:dyDescent="0.25">
      <c r="A2489" s="207" t="e">
        <f>VLOOKUP(RIGHT(E2489,3)+0,SchLocTable!$A$2:$B$47,2,FALSE)</f>
        <v>#N/A</v>
      </c>
      <c r="B2489" s="207" t="str">
        <f>VLOOKUP(VALUE(D2489),$D$3:F$106,3,FALSE)</f>
        <v>Summer School</v>
      </c>
      <c r="C2489" s="751" t="s">
        <v>246</v>
      </c>
      <c r="D2489" s="751" t="s">
        <v>793</v>
      </c>
      <c r="E2489" s="751" t="s">
        <v>794</v>
      </c>
      <c r="F2489" s="751" t="s">
        <v>292</v>
      </c>
      <c r="G2489" s="752" t="s">
        <v>1681</v>
      </c>
      <c r="H2489" s="753">
        <v>52385</v>
      </c>
      <c r="I2489" s="754">
        <v>0</v>
      </c>
      <c r="J2489" s="754">
        <v>0</v>
      </c>
      <c r="K2489" s="754">
        <v>0</v>
      </c>
      <c r="L2489" s="754">
        <v>0</v>
      </c>
      <c r="M2489" s="754">
        <f t="shared" si="101"/>
        <v>0</v>
      </c>
      <c r="N2489" s="756">
        <v>0</v>
      </c>
      <c r="O2489" s="720">
        <f t="shared" si="102"/>
        <v>0</v>
      </c>
    </row>
    <row r="2490" spans="1:15" outlineLevel="2" x14ac:dyDescent="0.25">
      <c r="A2490" s="207" t="e">
        <f>VLOOKUP(RIGHT(E2490,3)+0,SchLocTable!$A$2:$B$47,2,FALSE)</f>
        <v>#N/A</v>
      </c>
      <c r="B2490" s="207" t="str">
        <f>VLOOKUP(VALUE(D2490),$D$3:F$106,3,FALSE)</f>
        <v>Fringes</v>
      </c>
      <c r="C2490" s="751" t="s">
        <v>246</v>
      </c>
      <c r="D2490" s="751" t="s">
        <v>795</v>
      </c>
      <c r="E2490" s="751" t="s">
        <v>796</v>
      </c>
      <c r="F2490" s="751" t="s">
        <v>799</v>
      </c>
      <c r="G2490" s="752" t="s">
        <v>1681</v>
      </c>
      <c r="H2490" s="753">
        <v>52024</v>
      </c>
      <c r="I2490" s="754">
        <v>41160</v>
      </c>
      <c r="J2490" s="754">
        <v>0</v>
      </c>
      <c r="K2490" s="754">
        <v>0</v>
      </c>
      <c r="L2490" s="754">
        <v>41160</v>
      </c>
      <c r="M2490" s="754">
        <f t="shared" si="101"/>
        <v>41160</v>
      </c>
      <c r="N2490" s="756">
        <v>41160</v>
      </c>
      <c r="O2490" s="720">
        <f t="shared" si="102"/>
        <v>0</v>
      </c>
    </row>
    <row r="2491" spans="1:15" outlineLevel="2" x14ac:dyDescent="0.25">
      <c r="A2491" s="207" t="e">
        <f>VLOOKUP(RIGHT(E2491,3)+0,SchLocTable!$A$2:$B$47,2,FALSE)</f>
        <v>#N/A</v>
      </c>
      <c r="B2491" s="207" t="str">
        <f>VLOOKUP(VALUE(D2491),$D$3:F$106,3,FALSE)</f>
        <v>Fringes</v>
      </c>
      <c r="C2491" s="751" t="s">
        <v>246</v>
      </c>
      <c r="D2491" s="751" t="s">
        <v>795</v>
      </c>
      <c r="E2491" s="751" t="s">
        <v>796</v>
      </c>
      <c r="F2491" s="751" t="s">
        <v>800</v>
      </c>
      <c r="G2491" s="752" t="s">
        <v>1681</v>
      </c>
      <c r="H2491" s="753">
        <v>52120</v>
      </c>
      <c r="I2491" s="754">
        <v>1600</v>
      </c>
      <c r="J2491" s="754">
        <v>0</v>
      </c>
      <c r="K2491" s="754">
        <v>0</v>
      </c>
      <c r="L2491" s="754">
        <v>1600</v>
      </c>
      <c r="M2491" s="754">
        <f t="shared" si="101"/>
        <v>1600</v>
      </c>
      <c r="N2491" s="756">
        <v>1600</v>
      </c>
      <c r="O2491" s="720">
        <f t="shared" si="102"/>
        <v>0</v>
      </c>
    </row>
    <row r="2492" spans="1:15" outlineLevel="2" x14ac:dyDescent="0.25">
      <c r="A2492" s="207" t="e">
        <f>VLOOKUP(RIGHT(E2492,3)+0,SchLocTable!$A$2:$B$47,2,FALSE)</f>
        <v>#N/A</v>
      </c>
      <c r="B2492" s="207" t="str">
        <f>VLOOKUP(VALUE(D2492),$D$3:F$106,3,FALSE)</f>
        <v>Fringes</v>
      </c>
      <c r="C2492" s="755" t="s">
        <v>246</v>
      </c>
      <c r="D2492" s="751" t="s">
        <v>795</v>
      </c>
      <c r="E2492" s="751" t="s">
        <v>796</v>
      </c>
      <c r="F2492" s="751" t="s">
        <v>801</v>
      </c>
      <c r="G2492" s="752" t="s">
        <v>1681</v>
      </c>
      <c r="H2492" s="753">
        <v>52138</v>
      </c>
      <c r="I2492" s="754">
        <v>6800</v>
      </c>
      <c r="J2492" s="754">
        <v>0</v>
      </c>
      <c r="K2492" s="754">
        <v>0</v>
      </c>
      <c r="L2492" s="754">
        <v>6800</v>
      </c>
      <c r="M2492" s="754">
        <f t="shared" si="101"/>
        <v>6800</v>
      </c>
      <c r="N2492" s="756">
        <v>6800</v>
      </c>
      <c r="O2492" s="720">
        <f t="shared" si="102"/>
        <v>0</v>
      </c>
    </row>
    <row r="2493" spans="1:15" outlineLevel="2" x14ac:dyDescent="0.25">
      <c r="A2493" s="207" t="e">
        <f>VLOOKUP(RIGHT(E2493,3)+0,SchLocTable!$A$2:$B$47,2,FALSE)</f>
        <v>#N/A</v>
      </c>
      <c r="B2493" s="207" t="str">
        <f>VLOOKUP(VALUE(D2493),$D$3:F$106,3,FALSE)</f>
        <v>Fringes</v>
      </c>
      <c r="C2493" s="751" t="s">
        <v>246</v>
      </c>
      <c r="D2493" s="751" t="s">
        <v>795</v>
      </c>
      <c r="E2493" s="751" t="s">
        <v>796</v>
      </c>
      <c r="F2493" s="751" t="s">
        <v>802</v>
      </c>
      <c r="G2493" s="752" t="s">
        <v>1681</v>
      </c>
      <c r="H2493" s="753">
        <v>52153</v>
      </c>
      <c r="I2493" s="754">
        <v>510000</v>
      </c>
      <c r="J2493" s="754">
        <v>510000</v>
      </c>
      <c r="K2493" s="754">
        <v>0</v>
      </c>
      <c r="L2493" s="754">
        <v>0</v>
      </c>
      <c r="M2493" s="754">
        <f t="shared" si="101"/>
        <v>510000</v>
      </c>
      <c r="N2493" s="756">
        <v>510000</v>
      </c>
      <c r="O2493" s="720">
        <f t="shared" si="102"/>
        <v>0</v>
      </c>
    </row>
    <row r="2494" spans="1:15" outlineLevel="2" x14ac:dyDescent="0.25">
      <c r="A2494" s="207" t="e">
        <f>VLOOKUP(RIGHT(E2494,3)+0,SchLocTable!$A$2:$B$47,2,FALSE)</f>
        <v>#N/A</v>
      </c>
      <c r="B2494" s="207" t="str">
        <f>VLOOKUP(VALUE(D2494),$D$3:F$106,3,FALSE)</f>
        <v>Fringes</v>
      </c>
      <c r="C2494" s="751" t="s">
        <v>246</v>
      </c>
      <c r="D2494" s="751" t="s">
        <v>795</v>
      </c>
      <c r="E2494" s="751" t="s">
        <v>796</v>
      </c>
      <c r="F2494" s="751" t="s">
        <v>803</v>
      </c>
      <c r="G2494" s="752" t="s">
        <v>1681</v>
      </c>
      <c r="H2494" s="753">
        <v>52163</v>
      </c>
      <c r="I2494" s="754">
        <v>725000</v>
      </c>
      <c r="J2494" s="754">
        <v>0</v>
      </c>
      <c r="K2494" s="754">
        <v>0</v>
      </c>
      <c r="L2494" s="754">
        <v>725000</v>
      </c>
      <c r="M2494" s="754">
        <f t="shared" si="101"/>
        <v>725000</v>
      </c>
      <c r="N2494" s="756">
        <v>725000</v>
      </c>
      <c r="O2494" s="720">
        <f t="shared" si="102"/>
        <v>0</v>
      </c>
    </row>
    <row r="2495" spans="1:15" outlineLevel="2" x14ac:dyDescent="0.25">
      <c r="A2495" s="207" t="e">
        <f>VLOOKUP(RIGHT(E2495,3)+0,SchLocTable!$A$2:$B$47,2,FALSE)</f>
        <v>#N/A</v>
      </c>
      <c r="B2495" s="207" t="str">
        <f>VLOOKUP(VALUE(D2495),$D$3:F$106,3,FALSE)</f>
        <v>Fringes</v>
      </c>
      <c r="C2495" s="751" t="s">
        <v>246</v>
      </c>
      <c r="D2495" s="751" t="s">
        <v>795</v>
      </c>
      <c r="E2495" s="751" t="s">
        <v>796</v>
      </c>
      <c r="F2495" s="751" t="s">
        <v>1333</v>
      </c>
      <c r="G2495" s="752" t="s">
        <v>1681</v>
      </c>
      <c r="H2495" s="753">
        <v>52258</v>
      </c>
      <c r="I2495" s="754">
        <v>85000</v>
      </c>
      <c r="J2495" s="754">
        <v>0</v>
      </c>
      <c r="K2495" s="754">
        <v>0</v>
      </c>
      <c r="L2495" s="754">
        <v>85000</v>
      </c>
      <c r="M2495" s="754">
        <f t="shared" ref="M2495:M2558" si="103">SUM(J2495:L2495)</f>
        <v>85000</v>
      </c>
      <c r="N2495" s="756">
        <v>85000</v>
      </c>
      <c r="O2495" s="720">
        <f t="shared" ref="O2495:O2558" si="104">I2495-N2495</f>
        <v>0</v>
      </c>
    </row>
    <row r="2496" spans="1:15" outlineLevel="2" x14ac:dyDescent="0.25">
      <c r="A2496" s="207" t="e">
        <f>VLOOKUP(RIGHT(E2496,3)+0,SchLocTable!$A$2:$B$47,2,FALSE)</f>
        <v>#N/A</v>
      </c>
      <c r="B2496" s="207" t="str">
        <f>VLOOKUP(VALUE(D2496),$D$3:F$106,3,FALSE)</f>
        <v>Fringes</v>
      </c>
      <c r="C2496" s="751" t="s">
        <v>246</v>
      </c>
      <c r="D2496" s="751" t="s">
        <v>795</v>
      </c>
      <c r="E2496" s="751" t="s">
        <v>796</v>
      </c>
      <c r="F2496" s="751" t="s">
        <v>1334</v>
      </c>
      <c r="G2496" s="752" t="s">
        <v>1681</v>
      </c>
      <c r="H2496" s="753">
        <v>52260</v>
      </c>
      <c r="I2496" s="754">
        <v>88000</v>
      </c>
      <c r="J2496" s="754">
        <v>0</v>
      </c>
      <c r="K2496" s="754">
        <v>0</v>
      </c>
      <c r="L2496" s="754">
        <v>88000</v>
      </c>
      <c r="M2496" s="754">
        <f t="shared" si="103"/>
        <v>88000</v>
      </c>
      <c r="N2496" s="756">
        <v>88000</v>
      </c>
      <c r="O2496" s="720">
        <f t="shared" si="104"/>
        <v>0</v>
      </c>
    </row>
    <row r="2497" spans="1:15" outlineLevel="2" x14ac:dyDescent="0.25">
      <c r="A2497" s="207" t="e">
        <f>VLOOKUP(RIGHT(E2497,3)+0,SchLocTable!$A$2:$B$47,2,FALSE)</f>
        <v>#N/A</v>
      </c>
      <c r="B2497" s="207" t="str">
        <f>VLOOKUP(VALUE(D2497),$D$3:F$106,3,FALSE)</f>
        <v>Fringes</v>
      </c>
      <c r="C2497" s="751" t="s">
        <v>246</v>
      </c>
      <c r="D2497" s="751" t="s">
        <v>795</v>
      </c>
      <c r="E2497" s="751" t="s">
        <v>796</v>
      </c>
      <c r="F2497" s="751" t="s">
        <v>1335</v>
      </c>
      <c r="G2497" s="752" t="s">
        <v>1681</v>
      </c>
      <c r="H2497" s="753">
        <v>52262</v>
      </c>
      <c r="I2497" s="754">
        <v>111610</v>
      </c>
      <c r="J2497" s="754">
        <v>0</v>
      </c>
      <c r="K2497" s="754">
        <v>0</v>
      </c>
      <c r="L2497" s="754">
        <v>111610</v>
      </c>
      <c r="M2497" s="754">
        <f t="shared" si="103"/>
        <v>111610</v>
      </c>
      <c r="N2497" s="756">
        <v>111610</v>
      </c>
      <c r="O2497" s="720">
        <f t="shared" si="104"/>
        <v>0</v>
      </c>
    </row>
    <row r="2498" spans="1:15" outlineLevel="2" x14ac:dyDescent="0.25">
      <c r="A2498" s="207" t="e">
        <f>VLOOKUP(RIGHT(E2498,3)+0,SchLocTable!$A$2:$B$47,2,FALSE)</f>
        <v>#N/A</v>
      </c>
      <c r="B2498" s="207" t="str">
        <f>VLOOKUP(VALUE(D2498),$D$3:F$106,3,FALSE)</f>
        <v>Fringes</v>
      </c>
      <c r="C2498" s="751" t="s">
        <v>246</v>
      </c>
      <c r="D2498" s="751" t="s">
        <v>795</v>
      </c>
      <c r="E2498" s="751" t="s">
        <v>796</v>
      </c>
      <c r="F2498" s="751" t="s">
        <v>804</v>
      </c>
      <c r="G2498" s="752" t="s">
        <v>1681</v>
      </c>
      <c r="H2498" s="753">
        <v>52266</v>
      </c>
      <c r="I2498" s="754">
        <v>1471716</v>
      </c>
      <c r="J2498" s="754">
        <v>0</v>
      </c>
      <c r="K2498" s="754">
        <v>0</v>
      </c>
      <c r="L2498" s="754">
        <v>1471716</v>
      </c>
      <c r="M2498" s="754">
        <f t="shared" si="103"/>
        <v>1471716</v>
      </c>
      <c r="N2498" s="756">
        <v>1471716</v>
      </c>
      <c r="O2498" s="720">
        <f t="shared" si="104"/>
        <v>0</v>
      </c>
    </row>
    <row r="2499" spans="1:15" outlineLevel="1" x14ac:dyDescent="0.25">
      <c r="A2499" s="207" t="e">
        <f>VLOOKUP(RIGHT(E2499,3)+0,SchLocTable!$A$2:$B$47,2,FALSE)</f>
        <v>#N/A</v>
      </c>
      <c r="B2499" s="207" t="str">
        <f>VLOOKUP(VALUE(D2499),$D$3:F$106,3,FALSE)</f>
        <v>Fringes</v>
      </c>
      <c r="C2499" s="751" t="s">
        <v>246</v>
      </c>
      <c r="D2499" s="751" t="s">
        <v>795</v>
      </c>
      <c r="E2499" s="751" t="s">
        <v>796</v>
      </c>
      <c r="F2499" s="751" t="s">
        <v>805</v>
      </c>
      <c r="G2499" s="752" t="s">
        <v>1681</v>
      </c>
      <c r="H2499" s="753">
        <v>52282</v>
      </c>
      <c r="I2499" s="754">
        <v>1827360</v>
      </c>
      <c r="J2499" s="754">
        <v>0</v>
      </c>
      <c r="K2499" s="754">
        <v>0</v>
      </c>
      <c r="L2499" s="754">
        <v>1827360</v>
      </c>
      <c r="M2499" s="754">
        <f t="shared" si="103"/>
        <v>1827360</v>
      </c>
      <c r="N2499" s="756">
        <v>1827360</v>
      </c>
      <c r="O2499" s="720">
        <f t="shared" si="104"/>
        <v>0</v>
      </c>
    </row>
    <row r="2500" spans="1:15" outlineLevel="2" x14ac:dyDescent="0.25">
      <c r="A2500" s="207" t="e">
        <f>VLOOKUP(RIGHT(E2500,3)+0,SchLocTable!$A$2:$B$47,2,FALSE)</f>
        <v>#N/A</v>
      </c>
      <c r="B2500" s="207" t="str">
        <f>VLOOKUP(VALUE(D2500),$D$3:F$106,3,FALSE)</f>
        <v>Fringes</v>
      </c>
      <c r="C2500" s="751" t="s">
        <v>246</v>
      </c>
      <c r="D2500" s="751" t="s">
        <v>795</v>
      </c>
      <c r="E2500" s="751" t="s">
        <v>796</v>
      </c>
      <c r="F2500" s="751" t="s">
        <v>806</v>
      </c>
      <c r="G2500" s="752" t="s">
        <v>1681</v>
      </c>
      <c r="H2500" s="753">
        <v>52397</v>
      </c>
      <c r="I2500" s="754">
        <v>20551.59</v>
      </c>
      <c r="J2500" s="754">
        <v>0</v>
      </c>
      <c r="K2500" s="754">
        <v>0</v>
      </c>
      <c r="L2500" s="754">
        <v>0</v>
      </c>
      <c r="M2500" s="754">
        <f t="shared" si="103"/>
        <v>0</v>
      </c>
      <c r="N2500" s="756">
        <f>20551.59</f>
        <v>20551.59</v>
      </c>
      <c r="O2500" s="720">
        <f t="shared" si="104"/>
        <v>0</v>
      </c>
    </row>
    <row r="2501" spans="1:15" outlineLevel="2" x14ac:dyDescent="0.25">
      <c r="A2501" s="207" t="e">
        <f>VLOOKUP(RIGHT(E2501,3)+0,SchLocTable!$A$2:$B$47,2,FALSE)</f>
        <v>#N/A</v>
      </c>
      <c r="B2501" s="207" t="str">
        <f>VLOOKUP(VALUE(D2501),$D$3:F$106,3,FALSE)</f>
        <v>Fringes</v>
      </c>
      <c r="C2501" s="751" t="s">
        <v>246</v>
      </c>
      <c r="D2501" s="751" t="s">
        <v>795</v>
      </c>
      <c r="E2501" s="751" t="s">
        <v>796</v>
      </c>
      <c r="F2501" s="751" t="s">
        <v>331</v>
      </c>
      <c r="G2501" s="752" t="s">
        <v>1681</v>
      </c>
      <c r="H2501" s="753">
        <v>52504</v>
      </c>
      <c r="I2501" s="754">
        <v>177000</v>
      </c>
      <c r="J2501" s="754">
        <v>0</v>
      </c>
      <c r="K2501" s="754">
        <v>0</v>
      </c>
      <c r="L2501" s="754">
        <v>0</v>
      </c>
      <c r="M2501" s="754">
        <f t="shared" si="103"/>
        <v>0</v>
      </c>
      <c r="N2501" s="756">
        <v>177000</v>
      </c>
      <c r="O2501" s="720">
        <f t="shared" si="104"/>
        <v>0</v>
      </c>
    </row>
    <row r="2502" spans="1:15" outlineLevel="2" x14ac:dyDescent="0.25">
      <c r="A2502" s="207" t="e">
        <f>VLOOKUP(RIGHT(E2502,3)+0,SchLocTable!$A$2:$B$47,2,FALSE)</f>
        <v>#N/A</v>
      </c>
      <c r="B2502" s="207" t="str">
        <f>VLOOKUP(VALUE(D2502),$D$3:F$106,3,FALSE)</f>
        <v>Fringes</v>
      </c>
      <c r="C2502" s="755" t="s">
        <v>246</v>
      </c>
      <c r="D2502" s="751" t="s">
        <v>795</v>
      </c>
      <c r="E2502" s="751" t="s">
        <v>796</v>
      </c>
      <c r="F2502" s="751" t="s">
        <v>1487</v>
      </c>
      <c r="G2502" s="752" t="s">
        <v>1681</v>
      </c>
      <c r="H2502" s="753">
        <v>52886</v>
      </c>
      <c r="I2502" s="754">
        <v>9000000</v>
      </c>
      <c r="J2502" s="754">
        <v>0</v>
      </c>
      <c r="K2502" s="754">
        <v>0</v>
      </c>
      <c r="L2502" s="754">
        <v>9000000</v>
      </c>
      <c r="M2502" s="754">
        <f t="shared" si="103"/>
        <v>9000000</v>
      </c>
      <c r="N2502" s="756">
        <v>9000000</v>
      </c>
      <c r="O2502" s="720">
        <f t="shared" si="104"/>
        <v>0</v>
      </c>
    </row>
    <row r="2503" spans="1:15" outlineLevel="2" x14ac:dyDescent="0.25">
      <c r="A2503" s="207" t="e">
        <f>VLOOKUP(RIGHT(E2503,3)+0,SchLocTable!$A$2:$B$47,2,FALSE)</f>
        <v>#N/A</v>
      </c>
      <c r="B2503" s="207" t="str">
        <f>VLOOKUP(VALUE(D2503),$D$3:F$106,3,FALSE)</f>
        <v>Fringes</v>
      </c>
      <c r="C2503" s="751" t="s">
        <v>246</v>
      </c>
      <c r="D2503" s="751" t="s">
        <v>795</v>
      </c>
      <c r="E2503" s="751" t="s">
        <v>796</v>
      </c>
      <c r="F2503" s="751" t="s">
        <v>1403</v>
      </c>
      <c r="G2503" s="752" t="s">
        <v>1681</v>
      </c>
      <c r="H2503" s="753">
        <v>52896</v>
      </c>
      <c r="I2503" s="754">
        <v>3000000</v>
      </c>
      <c r="J2503" s="754">
        <v>0</v>
      </c>
      <c r="K2503" s="754">
        <v>0</v>
      </c>
      <c r="L2503" s="754">
        <v>3000000</v>
      </c>
      <c r="M2503" s="754">
        <f t="shared" si="103"/>
        <v>3000000</v>
      </c>
      <c r="N2503" s="756">
        <v>3000000</v>
      </c>
      <c r="O2503" s="720">
        <f t="shared" si="104"/>
        <v>0</v>
      </c>
    </row>
    <row r="2504" spans="1:15" outlineLevel="2" x14ac:dyDescent="0.25">
      <c r="A2504" s="207" t="e">
        <f>VLOOKUP(RIGHT(E2504,3)+0,SchLocTable!$A$2:$B$47,2,FALSE)</f>
        <v>#N/A</v>
      </c>
      <c r="B2504" s="207" t="str">
        <f>VLOOKUP(VALUE(D2504),$D$3:F$106,3,FALSE)</f>
        <v>Fringes</v>
      </c>
      <c r="C2504" s="751" t="s">
        <v>246</v>
      </c>
      <c r="D2504" s="751" t="s">
        <v>795</v>
      </c>
      <c r="E2504" s="751" t="s">
        <v>796</v>
      </c>
      <c r="F2504" s="751" t="s">
        <v>1617</v>
      </c>
      <c r="G2504" s="752" t="s">
        <v>1681</v>
      </c>
      <c r="H2504" s="753">
        <v>56090</v>
      </c>
      <c r="I2504" s="754">
        <v>7000</v>
      </c>
      <c r="J2504" s="754">
        <v>0</v>
      </c>
      <c r="K2504" s="754">
        <v>0</v>
      </c>
      <c r="L2504" s="754">
        <v>7000</v>
      </c>
      <c r="M2504" s="754">
        <f t="shared" si="103"/>
        <v>7000</v>
      </c>
      <c r="N2504" s="756">
        <v>7000</v>
      </c>
      <c r="O2504" s="720">
        <f t="shared" si="104"/>
        <v>0</v>
      </c>
    </row>
    <row r="2505" spans="1:15" outlineLevel="1" x14ac:dyDescent="0.25">
      <c r="A2505" s="207" t="e">
        <f>VLOOKUP(RIGHT(E2505,3)+0,SchLocTable!$A$2:$B$47,2,FALSE)</f>
        <v>#N/A</v>
      </c>
      <c r="B2505" s="207" t="str">
        <f>VLOOKUP(VALUE(D2505),$D$3:F$106,3,FALSE)</f>
        <v>Fringes</v>
      </c>
      <c r="C2505" s="751" t="s">
        <v>246</v>
      </c>
      <c r="D2505" s="751" t="s">
        <v>795</v>
      </c>
      <c r="E2505" s="751" t="s">
        <v>796</v>
      </c>
      <c r="F2505" s="751" t="s">
        <v>1488</v>
      </c>
      <c r="G2505" s="752" t="s">
        <v>1681</v>
      </c>
      <c r="H2505" s="753">
        <v>56165</v>
      </c>
      <c r="I2505" s="754">
        <v>72604</v>
      </c>
      <c r="J2505" s="754">
        <v>0</v>
      </c>
      <c r="K2505" s="754">
        <v>0</v>
      </c>
      <c r="L2505" s="754">
        <v>72604</v>
      </c>
      <c r="M2505" s="754">
        <f t="shared" si="103"/>
        <v>72604</v>
      </c>
      <c r="N2505" s="756">
        <v>72604</v>
      </c>
      <c r="O2505" s="720">
        <f t="shared" si="104"/>
        <v>0</v>
      </c>
    </row>
    <row r="2506" spans="1:15" outlineLevel="2" x14ac:dyDescent="0.25">
      <c r="A2506" s="207" t="e">
        <f>VLOOKUP(RIGHT(E2506,3)+0,SchLocTable!$A$2:$B$47,2,FALSE)</f>
        <v>#N/A</v>
      </c>
      <c r="B2506" s="207" t="str">
        <f>VLOOKUP(VALUE(D2506),$D$3:F$106,3,FALSE)</f>
        <v>Directors &amp; Supervisors</v>
      </c>
      <c r="C2506" s="751" t="s">
        <v>246</v>
      </c>
      <c r="D2506" s="751" t="s">
        <v>808</v>
      </c>
      <c r="E2506" s="751" t="s">
        <v>809</v>
      </c>
      <c r="F2506" s="751" t="s">
        <v>248</v>
      </c>
      <c r="G2506" s="752">
        <v>3</v>
      </c>
      <c r="H2506" s="753">
        <v>51000</v>
      </c>
      <c r="I2506" s="754">
        <v>287032.48</v>
      </c>
      <c r="J2506" s="754">
        <v>0</v>
      </c>
      <c r="K2506" s="754">
        <v>0</v>
      </c>
      <c r="L2506" s="754">
        <v>75004.56</v>
      </c>
      <c r="M2506" s="754">
        <f t="shared" si="103"/>
        <v>75004.56</v>
      </c>
      <c r="N2506" s="756">
        <v>287032.48</v>
      </c>
      <c r="O2506" s="720">
        <f t="shared" si="104"/>
        <v>0</v>
      </c>
    </row>
    <row r="2507" spans="1:15" outlineLevel="2" x14ac:dyDescent="0.25">
      <c r="A2507" s="207" t="e">
        <f>VLOOKUP(RIGHT(E2507,3)+0,SchLocTable!$A$2:$B$47,2,FALSE)</f>
        <v>#N/A</v>
      </c>
      <c r="B2507" s="207" t="str">
        <f>VLOOKUP(VALUE(D2507),$D$3:F$106,3,FALSE)</f>
        <v>Directors &amp; Supervisors</v>
      </c>
      <c r="C2507" s="751" t="s">
        <v>246</v>
      </c>
      <c r="D2507" s="751" t="s">
        <v>808</v>
      </c>
      <c r="E2507" s="751" t="s">
        <v>809</v>
      </c>
      <c r="F2507" s="751" t="s">
        <v>257</v>
      </c>
      <c r="G2507" s="752" t="s">
        <v>1681</v>
      </c>
      <c r="H2507" s="753">
        <v>51140</v>
      </c>
      <c r="I2507" s="754">
        <v>8150</v>
      </c>
      <c r="J2507" s="754">
        <v>0</v>
      </c>
      <c r="K2507" s="754">
        <v>0</v>
      </c>
      <c r="L2507" s="754">
        <v>0</v>
      </c>
      <c r="M2507" s="754">
        <f t="shared" si="103"/>
        <v>0</v>
      </c>
      <c r="N2507" s="756">
        <v>8150</v>
      </c>
      <c r="O2507" s="720">
        <f t="shared" si="104"/>
        <v>0</v>
      </c>
    </row>
    <row r="2508" spans="1:15" outlineLevel="2" x14ac:dyDescent="0.25">
      <c r="A2508" s="207" t="e">
        <f>VLOOKUP(RIGHT(E2508,3)+0,SchLocTable!$A$2:$B$47,2,FALSE)</f>
        <v>#N/A</v>
      </c>
      <c r="B2508" s="207" t="str">
        <f>VLOOKUP(VALUE(D2508),$D$3:F$106,3,FALSE)</f>
        <v>Directors &amp; Supervisors</v>
      </c>
      <c r="C2508" s="751" t="s">
        <v>246</v>
      </c>
      <c r="D2508" s="751" t="s">
        <v>808</v>
      </c>
      <c r="E2508" s="751" t="s">
        <v>809</v>
      </c>
      <c r="F2508" s="751" t="s">
        <v>454</v>
      </c>
      <c r="G2508" s="752" t="s">
        <v>1681</v>
      </c>
      <c r="H2508" s="753">
        <v>51404</v>
      </c>
      <c r="I2508" s="754">
        <v>0</v>
      </c>
      <c r="J2508" s="754">
        <v>0</v>
      </c>
      <c r="K2508" s="754">
        <v>0</v>
      </c>
      <c r="L2508" s="754">
        <v>0</v>
      </c>
      <c r="M2508" s="754">
        <f t="shared" si="103"/>
        <v>0</v>
      </c>
      <c r="N2508" s="756">
        <v>0</v>
      </c>
      <c r="O2508" s="720">
        <f t="shared" si="104"/>
        <v>0</v>
      </c>
    </row>
    <row r="2509" spans="1:15" outlineLevel="2" x14ac:dyDescent="0.25">
      <c r="A2509" s="207" t="e">
        <f>VLOOKUP(RIGHT(E2509,3)+0,SchLocTable!$A$2:$B$47,2,FALSE)</f>
        <v>#N/A</v>
      </c>
      <c r="B2509" s="207" t="str">
        <f>VLOOKUP(VALUE(D2509),$D$3:F$106,3,FALSE)</f>
        <v>Directors &amp; Supervisors</v>
      </c>
      <c r="C2509" s="751" t="s">
        <v>246</v>
      </c>
      <c r="D2509" s="751" t="s">
        <v>808</v>
      </c>
      <c r="E2509" s="751" t="s">
        <v>809</v>
      </c>
      <c r="F2509" s="751" t="s">
        <v>254</v>
      </c>
      <c r="G2509" s="752" t="s">
        <v>1681</v>
      </c>
      <c r="H2509" s="753">
        <v>52360</v>
      </c>
      <c r="I2509" s="754">
        <v>4118.29</v>
      </c>
      <c r="J2509" s="754">
        <v>0</v>
      </c>
      <c r="K2509" s="754">
        <v>0</v>
      </c>
      <c r="L2509" s="754">
        <v>1043.8900000000001</v>
      </c>
      <c r="M2509" s="754">
        <f t="shared" si="103"/>
        <v>1043.8900000000001</v>
      </c>
      <c r="N2509" s="756">
        <v>4118.29</v>
      </c>
      <c r="O2509" s="720">
        <f t="shared" si="104"/>
        <v>0</v>
      </c>
    </row>
    <row r="2510" spans="1:15" outlineLevel="2" x14ac:dyDescent="0.25">
      <c r="A2510" s="207" t="e">
        <f>VLOOKUP(RIGHT(E2510,3)+0,SchLocTable!$A$2:$B$47,2,FALSE)</f>
        <v>#N/A</v>
      </c>
      <c r="B2510" s="207" t="str">
        <f>VLOOKUP(VALUE(D2510),$D$3:F$106,3,FALSE)</f>
        <v>Directors &amp; Supervisors</v>
      </c>
      <c r="C2510" s="751" t="s">
        <v>246</v>
      </c>
      <c r="D2510" s="751" t="s">
        <v>808</v>
      </c>
      <c r="E2510" s="751" t="s">
        <v>809</v>
      </c>
      <c r="F2510" s="751" t="s">
        <v>331</v>
      </c>
      <c r="G2510" s="752" t="s">
        <v>1681</v>
      </c>
      <c r="H2510" s="753">
        <v>52504</v>
      </c>
      <c r="I2510" s="754">
        <v>0</v>
      </c>
      <c r="J2510" s="754">
        <v>0</v>
      </c>
      <c r="K2510" s="754">
        <v>0</v>
      </c>
      <c r="L2510" s="754">
        <v>0</v>
      </c>
      <c r="M2510" s="754">
        <f t="shared" si="103"/>
        <v>0</v>
      </c>
      <c r="N2510" s="756">
        <v>0</v>
      </c>
      <c r="O2510" s="720">
        <f t="shared" si="104"/>
        <v>0</v>
      </c>
    </row>
    <row r="2511" spans="1:15" outlineLevel="2" x14ac:dyDescent="0.25">
      <c r="A2511" s="207" t="e">
        <f>VLOOKUP(RIGHT(E2511,3)+0,SchLocTable!$A$2:$B$47,2,FALSE)</f>
        <v>#N/A</v>
      </c>
      <c r="B2511" s="207" t="str">
        <f>VLOOKUP(VALUE(D2511),$D$3:F$106,3,FALSE)</f>
        <v>Directors &amp; Supervisors</v>
      </c>
      <c r="C2511" s="755" t="s">
        <v>246</v>
      </c>
      <c r="D2511" s="751" t="s">
        <v>808</v>
      </c>
      <c r="E2511" s="751" t="s">
        <v>809</v>
      </c>
      <c r="F2511" s="751" t="s">
        <v>259</v>
      </c>
      <c r="G2511" s="752" t="s">
        <v>1681</v>
      </c>
      <c r="H2511" s="753">
        <v>52917</v>
      </c>
      <c r="I2511" s="754">
        <v>30532.22</v>
      </c>
      <c r="J2511" s="754">
        <v>0</v>
      </c>
      <c r="K2511" s="754">
        <v>0</v>
      </c>
      <c r="L2511" s="754">
        <v>7775.45</v>
      </c>
      <c r="M2511" s="754">
        <f t="shared" si="103"/>
        <v>7775.45</v>
      </c>
      <c r="N2511" s="756">
        <v>30532.22</v>
      </c>
      <c r="O2511" s="720">
        <f t="shared" si="104"/>
        <v>0</v>
      </c>
    </row>
    <row r="2512" spans="1:15" outlineLevel="2" x14ac:dyDescent="0.25">
      <c r="A2512" s="207" t="e">
        <f>VLOOKUP(RIGHT(E2512,3)+0,SchLocTable!$A$2:$B$47,2,FALSE)</f>
        <v>#N/A</v>
      </c>
      <c r="B2512" s="207" t="str">
        <f>VLOOKUP(VALUE(D2512),$D$3:F$106,3,FALSE)</f>
        <v>Clericals</v>
      </c>
      <c r="C2512" s="751" t="s">
        <v>246</v>
      </c>
      <c r="D2512" s="751" t="s">
        <v>810</v>
      </c>
      <c r="E2512" s="751" t="s">
        <v>811</v>
      </c>
      <c r="F2512" s="751" t="s">
        <v>248</v>
      </c>
      <c r="G2512" s="752" t="s">
        <v>1681</v>
      </c>
      <c r="H2512" s="753">
        <v>51000</v>
      </c>
      <c r="I2512" s="754">
        <v>0</v>
      </c>
      <c r="J2512" s="754">
        <v>0</v>
      </c>
      <c r="K2512" s="754">
        <v>0</v>
      </c>
      <c r="L2512" s="754">
        <v>0</v>
      </c>
      <c r="M2512" s="754">
        <f t="shared" si="103"/>
        <v>0</v>
      </c>
      <c r="N2512" s="756">
        <v>0</v>
      </c>
      <c r="O2512" s="720">
        <f t="shared" si="104"/>
        <v>0</v>
      </c>
    </row>
    <row r="2513" spans="1:15" outlineLevel="2" x14ac:dyDescent="0.25">
      <c r="A2513" s="207" t="e">
        <f>VLOOKUP(RIGHT(E2513,3)+0,SchLocTable!$A$2:$B$47,2,FALSE)</f>
        <v>#N/A</v>
      </c>
      <c r="B2513" s="207" t="str">
        <f>VLOOKUP(VALUE(D2513),$D$3:F$106,3,FALSE)</f>
        <v>Clericals</v>
      </c>
      <c r="C2513" s="751" t="s">
        <v>246</v>
      </c>
      <c r="D2513" s="751" t="s">
        <v>810</v>
      </c>
      <c r="E2513" s="751" t="s">
        <v>811</v>
      </c>
      <c r="F2513" s="751" t="s">
        <v>257</v>
      </c>
      <c r="G2513" s="752" t="s">
        <v>1681</v>
      </c>
      <c r="H2513" s="753">
        <v>51140</v>
      </c>
      <c r="I2513" s="754">
        <v>4875</v>
      </c>
      <c r="J2513" s="754">
        <v>0</v>
      </c>
      <c r="K2513" s="754">
        <v>0</v>
      </c>
      <c r="L2513" s="754">
        <v>0</v>
      </c>
      <c r="M2513" s="754">
        <f t="shared" si="103"/>
        <v>0</v>
      </c>
      <c r="N2513" s="756">
        <v>4875</v>
      </c>
      <c r="O2513" s="720">
        <f t="shared" si="104"/>
        <v>0</v>
      </c>
    </row>
    <row r="2514" spans="1:15" outlineLevel="2" x14ac:dyDescent="0.25">
      <c r="A2514" s="207" t="e">
        <f>VLOOKUP(RIGHT(E2514,3)+0,SchLocTable!$A$2:$B$47,2,FALSE)</f>
        <v>#N/A</v>
      </c>
      <c r="B2514" s="207" t="str">
        <f>VLOOKUP(VALUE(D2514),$D$3:F$106,3,FALSE)</f>
        <v>Clericals</v>
      </c>
      <c r="C2514" s="751" t="s">
        <v>246</v>
      </c>
      <c r="D2514" s="751" t="s">
        <v>810</v>
      </c>
      <c r="E2514" s="751" t="s">
        <v>811</v>
      </c>
      <c r="F2514" s="751" t="s">
        <v>326</v>
      </c>
      <c r="G2514" s="752" t="s">
        <v>1681</v>
      </c>
      <c r="H2514" s="753">
        <v>51314</v>
      </c>
      <c r="I2514" s="754">
        <v>0</v>
      </c>
      <c r="J2514" s="754">
        <v>0</v>
      </c>
      <c r="K2514" s="754">
        <v>0</v>
      </c>
      <c r="L2514" s="754">
        <v>0</v>
      </c>
      <c r="M2514" s="754">
        <f t="shared" si="103"/>
        <v>0</v>
      </c>
      <c r="N2514" s="756">
        <v>0</v>
      </c>
      <c r="O2514" s="720">
        <f t="shared" si="104"/>
        <v>0</v>
      </c>
    </row>
    <row r="2515" spans="1:15" outlineLevel="2" x14ac:dyDescent="0.25">
      <c r="A2515" s="207" t="e">
        <f>VLOOKUP(RIGHT(E2515,3)+0,SchLocTable!$A$2:$B$47,2,FALSE)</f>
        <v>#N/A</v>
      </c>
      <c r="B2515" s="207" t="str">
        <f>VLOOKUP(VALUE(D2515),$D$3:F$106,3,FALSE)</f>
        <v>Clericals</v>
      </c>
      <c r="C2515" s="751" t="s">
        <v>246</v>
      </c>
      <c r="D2515" s="751" t="s">
        <v>810</v>
      </c>
      <c r="E2515" s="751" t="s">
        <v>811</v>
      </c>
      <c r="F2515" s="751" t="s">
        <v>328</v>
      </c>
      <c r="G2515" s="752" t="s">
        <v>1681</v>
      </c>
      <c r="H2515" s="753">
        <v>51318</v>
      </c>
      <c r="I2515" s="754">
        <v>9.5</v>
      </c>
      <c r="J2515" s="754">
        <v>0</v>
      </c>
      <c r="K2515" s="754">
        <v>0</v>
      </c>
      <c r="L2515" s="754">
        <v>0</v>
      </c>
      <c r="M2515" s="754">
        <f t="shared" si="103"/>
        <v>0</v>
      </c>
      <c r="N2515" s="756">
        <v>9.5</v>
      </c>
      <c r="O2515" s="720">
        <f t="shared" si="104"/>
        <v>0</v>
      </c>
    </row>
    <row r="2516" spans="1:15" outlineLevel="2" x14ac:dyDescent="0.25">
      <c r="A2516" s="207" t="e">
        <f>VLOOKUP(RIGHT(E2516,3)+0,SchLocTable!$A$2:$B$47,2,FALSE)</f>
        <v>#N/A</v>
      </c>
      <c r="B2516" s="207" t="str">
        <f>VLOOKUP(VALUE(D2516),$D$3:F$106,3,FALSE)</f>
        <v>Clericals</v>
      </c>
      <c r="C2516" s="751" t="s">
        <v>246</v>
      </c>
      <c r="D2516" s="751" t="s">
        <v>810</v>
      </c>
      <c r="E2516" s="751" t="s">
        <v>811</v>
      </c>
      <c r="F2516" s="751" t="s">
        <v>254</v>
      </c>
      <c r="G2516" s="752" t="s">
        <v>1681</v>
      </c>
      <c r="H2516" s="753">
        <v>52360</v>
      </c>
      <c r="I2516" s="754">
        <v>0</v>
      </c>
      <c r="J2516" s="754">
        <v>0</v>
      </c>
      <c r="K2516" s="754">
        <v>0</v>
      </c>
      <c r="L2516" s="754">
        <v>0</v>
      </c>
      <c r="M2516" s="754">
        <f t="shared" si="103"/>
        <v>0</v>
      </c>
      <c r="N2516" s="756">
        <v>0</v>
      </c>
      <c r="O2516" s="720">
        <f t="shared" si="104"/>
        <v>0</v>
      </c>
    </row>
    <row r="2517" spans="1:15" outlineLevel="2" x14ac:dyDescent="0.25">
      <c r="A2517" s="207" t="e">
        <f>VLOOKUP(RIGHT(E2517,3)+0,SchLocTable!$A$2:$B$47,2,FALSE)</f>
        <v>#N/A</v>
      </c>
      <c r="B2517" s="207" t="str">
        <f>VLOOKUP(VALUE(D2517),$D$3:F$106,3,FALSE)</f>
        <v>Clericals</v>
      </c>
      <c r="C2517" s="751" t="s">
        <v>246</v>
      </c>
      <c r="D2517" s="751" t="s">
        <v>810</v>
      </c>
      <c r="E2517" s="751" t="s">
        <v>811</v>
      </c>
      <c r="F2517" s="751" t="s">
        <v>331</v>
      </c>
      <c r="G2517" s="752" t="s">
        <v>1681</v>
      </c>
      <c r="H2517" s="753">
        <v>52504</v>
      </c>
      <c r="I2517" s="754">
        <v>0</v>
      </c>
      <c r="J2517" s="754">
        <v>0</v>
      </c>
      <c r="K2517" s="754">
        <v>0</v>
      </c>
      <c r="L2517" s="754">
        <v>0</v>
      </c>
      <c r="M2517" s="754">
        <f t="shared" si="103"/>
        <v>0</v>
      </c>
      <c r="N2517" s="756">
        <v>0</v>
      </c>
      <c r="O2517" s="720">
        <f t="shared" si="104"/>
        <v>0</v>
      </c>
    </row>
    <row r="2518" spans="1:15" outlineLevel="2" x14ac:dyDescent="0.25">
      <c r="A2518" s="207" t="e">
        <f>VLOOKUP(RIGHT(E2518,3)+0,SchLocTable!$A$2:$B$47,2,FALSE)</f>
        <v>#N/A</v>
      </c>
      <c r="B2518" s="207" t="str">
        <f>VLOOKUP(VALUE(D2518),$D$3:F$106,3,FALSE)</f>
        <v>Clericals</v>
      </c>
      <c r="C2518" s="751" t="s">
        <v>246</v>
      </c>
      <c r="D2518" s="751" t="s">
        <v>810</v>
      </c>
      <c r="E2518" s="751" t="s">
        <v>811</v>
      </c>
      <c r="F2518" s="751" t="s">
        <v>259</v>
      </c>
      <c r="G2518" s="752" t="s">
        <v>1681</v>
      </c>
      <c r="H2518" s="753">
        <v>52917</v>
      </c>
      <c r="I2518" s="754">
        <v>0</v>
      </c>
      <c r="J2518" s="754">
        <v>0</v>
      </c>
      <c r="K2518" s="754">
        <v>0</v>
      </c>
      <c r="L2518" s="754">
        <v>0</v>
      </c>
      <c r="M2518" s="754">
        <f t="shared" si="103"/>
        <v>0</v>
      </c>
      <c r="N2518" s="756">
        <v>0</v>
      </c>
      <c r="O2518" s="720">
        <f t="shared" si="104"/>
        <v>0</v>
      </c>
    </row>
    <row r="2519" spans="1:15" outlineLevel="2" x14ac:dyDescent="0.25">
      <c r="A2519" s="207" t="e">
        <f>VLOOKUP(RIGHT(E2519,3)+0,SchLocTable!$A$2:$B$47,2,FALSE)</f>
        <v>#N/A</v>
      </c>
      <c r="B2519" s="207" t="str">
        <f>VLOOKUP(VALUE(D2519),$D$3:F$106,3,FALSE)</f>
        <v>Social Workers</v>
      </c>
      <c r="C2519" s="751" t="s">
        <v>246</v>
      </c>
      <c r="D2519" s="751" t="s">
        <v>812</v>
      </c>
      <c r="E2519" s="751" t="s">
        <v>813</v>
      </c>
      <c r="F2519" s="751" t="s">
        <v>248</v>
      </c>
      <c r="G2519" s="752">
        <v>11</v>
      </c>
      <c r="H2519" s="753">
        <v>51000</v>
      </c>
      <c r="I2519" s="754">
        <v>811123.28</v>
      </c>
      <c r="J2519" s="754">
        <v>0</v>
      </c>
      <c r="K2519" s="754">
        <v>0</v>
      </c>
      <c r="L2519" s="754">
        <v>147500.01</v>
      </c>
      <c r="M2519" s="754">
        <f t="shared" si="103"/>
        <v>147500.01</v>
      </c>
      <c r="N2519" s="756">
        <v>811123.28</v>
      </c>
      <c r="O2519" s="720">
        <f t="shared" si="104"/>
        <v>0</v>
      </c>
    </row>
    <row r="2520" spans="1:15" outlineLevel="2" x14ac:dyDescent="0.25">
      <c r="A2520" s="207" t="e">
        <f>VLOOKUP(RIGHT(E2520,3)+0,SchLocTable!$A$2:$B$47,2,FALSE)</f>
        <v>#N/A</v>
      </c>
      <c r="B2520" s="207" t="str">
        <f>VLOOKUP(VALUE(D2520),$D$3:F$106,3,FALSE)</f>
        <v>Social Workers</v>
      </c>
      <c r="C2520" s="755" t="s">
        <v>246</v>
      </c>
      <c r="D2520" s="751" t="s">
        <v>812</v>
      </c>
      <c r="E2520" s="751" t="s">
        <v>813</v>
      </c>
      <c r="F2520" s="751" t="s">
        <v>257</v>
      </c>
      <c r="G2520" s="752" t="s">
        <v>1681</v>
      </c>
      <c r="H2520" s="753">
        <v>51140</v>
      </c>
      <c r="I2520" s="754">
        <v>4900</v>
      </c>
      <c r="J2520" s="754">
        <v>0</v>
      </c>
      <c r="K2520" s="754">
        <v>0</v>
      </c>
      <c r="L2520" s="754">
        <v>0</v>
      </c>
      <c r="M2520" s="754">
        <f t="shared" si="103"/>
        <v>0</v>
      </c>
      <c r="N2520" s="756">
        <v>4900</v>
      </c>
      <c r="O2520" s="720">
        <f t="shared" si="104"/>
        <v>0</v>
      </c>
    </row>
    <row r="2521" spans="1:15" outlineLevel="1" x14ac:dyDescent="0.25">
      <c r="A2521" s="207" t="e">
        <f>VLOOKUP(RIGHT(E2521,3)+0,SchLocTable!$A$2:$B$47,2,FALSE)</f>
        <v>#N/A</v>
      </c>
      <c r="B2521" s="207" t="str">
        <f>VLOOKUP(VALUE(D2521),$D$3:F$106,3,FALSE)</f>
        <v>Social Workers</v>
      </c>
      <c r="C2521" s="751" t="s">
        <v>246</v>
      </c>
      <c r="D2521" s="751" t="s">
        <v>812</v>
      </c>
      <c r="E2521" s="751" t="s">
        <v>813</v>
      </c>
      <c r="F2521" s="751" t="s">
        <v>254</v>
      </c>
      <c r="G2521" s="752" t="s">
        <v>1681</v>
      </c>
      <c r="H2521" s="753">
        <v>52360</v>
      </c>
      <c r="I2521" s="754">
        <v>11584.53</v>
      </c>
      <c r="J2521" s="754">
        <v>0</v>
      </c>
      <c r="K2521" s="754">
        <v>0</v>
      </c>
      <c r="L2521" s="754">
        <v>1961.99</v>
      </c>
      <c r="M2521" s="754">
        <f t="shared" si="103"/>
        <v>1961.99</v>
      </c>
      <c r="N2521" s="756">
        <v>11584.53</v>
      </c>
      <c r="O2521" s="720">
        <f t="shared" si="104"/>
        <v>0</v>
      </c>
    </row>
    <row r="2522" spans="1:15" x14ac:dyDescent="0.25">
      <c r="A2522" s="207" t="e">
        <f>VLOOKUP(RIGHT(E2522,3)+0,SchLocTable!$A$2:$B$47,2,FALSE)</f>
        <v>#N/A</v>
      </c>
      <c r="B2522" s="207" t="str">
        <f>VLOOKUP(VALUE(D2522),$D$3:F$106,3,FALSE)</f>
        <v>Social Workers</v>
      </c>
      <c r="C2522" s="751" t="s">
        <v>246</v>
      </c>
      <c r="D2522" s="751" t="s">
        <v>812</v>
      </c>
      <c r="E2522" s="751" t="s">
        <v>813</v>
      </c>
      <c r="F2522" s="751" t="s">
        <v>292</v>
      </c>
      <c r="G2522" s="752" t="s">
        <v>1681</v>
      </c>
      <c r="H2522" s="753">
        <v>52385</v>
      </c>
      <c r="I2522" s="754">
        <v>0</v>
      </c>
      <c r="J2522" s="754">
        <v>0</v>
      </c>
      <c r="K2522" s="754">
        <v>0</v>
      </c>
      <c r="L2522" s="754">
        <v>0</v>
      </c>
      <c r="M2522" s="754">
        <f t="shared" si="103"/>
        <v>0</v>
      </c>
      <c r="N2522" s="756">
        <v>0</v>
      </c>
      <c r="O2522" s="720">
        <f t="shared" si="104"/>
        <v>0</v>
      </c>
    </row>
    <row r="2523" spans="1:15" x14ac:dyDescent="0.25">
      <c r="A2523" s="207" t="e">
        <f>VLOOKUP(RIGHT(E2523,3)+0,SchLocTable!$A$2:$B$47,2,FALSE)</f>
        <v>#N/A</v>
      </c>
      <c r="B2523" s="207" t="str">
        <f>VLOOKUP(VALUE(D2523),$D$3:F$106,3,FALSE)</f>
        <v>Social Workers</v>
      </c>
      <c r="C2523" s="751" t="s">
        <v>246</v>
      </c>
      <c r="D2523" s="751" t="s">
        <v>812</v>
      </c>
      <c r="E2523" s="751" t="s">
        <v>813</v>
      </c>
      <c r="F2523" s="751" t="s">
        <v>259</v>
      </c>
      <c r="G2523" s="752" t="s">
        <v>1681</v>
      </c>
      <c r="H2523" s="753">
        <v>52917</v>
      </c>
      <c r="I2523" s="754">
        <v>171119.7</v>
      </c>
      <c r="J2523" s="754">
        <v>0</v>
      </c>
      <c r="K2523" s="754">
        <v>0</v>
      </c>
      <c r="L2523" s="754">
        <v>41172.5</v>
      </c>
      <c r="M2523" s="754">
        <f t="shared" si="103"/>
        <v>41172.5</v>
      </c>
      <c r="N2523" s="756">
        <v>171119.7</v>
      </c>
      <c r="O2523" s="720">
        <f t="shared" si="104"/>
        <v>0</v>
      </c>
    </row>
    <row r="2524" spans="1:15" x14ac:dyDescent="0.25">
      <c r="A2524" s="207" t="str">
        <f>VLOOKUP(RIGHT(E2524,3)+0,SchLocTable!$A$2:$B$47,2,FALSE)</f>
        <v>Barnum</v>
      </c>
      <c r="B2524" s="207" t="str">
        <f>VLOOKUP(VALUE(D2524),$D$3:F$106,3,FALSE)</f>
        <v>Social Workers</v>
      </c>
      <c r="C2524" s="751" t="s">
        <v>246</v>
      </c>
      <c r="D2524" s="751" t="s">
        <v>812</v>
      </c>
      <c r="E2524" s="751" t="s">
        <v>814</v>
      </c>
      <c r="F2524" s="751" t="s">
        <v>248</v>
      </c>
      <c r="G2524" s="752">
        <v>1</v>
      </c>
      <c r="H2524" s="753">
        <v>51000</v>
      </c>
      <c r="I2524" s="754">
        <v>84260.72</v>
      </c>
      <c r="J2524" s="754">
        <v>0</v>
      </c>
      <c r="K2524" s="754">
        <v>0</v>
      </c>
      <c r="L2524" s="754">
        <v>16141.9</v>
      </c>
      <c r="M2524" s="754">
        <f t="shared" si="103"/>
        <v>16141.9</v>
      </c>
      <c r="N2524" s="756">
        <v>84260.72</v>
      </c>
      <c r="O2524" s="720">
        <f t="shared" si="104"/>
        <v>0</v>
      </c>
    </row>
    <row r="2525" spans="1:15" x14ac:dyDescent="0.25">
      <c r="A2525" s="207" t="str">
        <f>VLOOKUP(RIGHT(E2525,3)+0,SchLocTable!$A$2:$B$47,2,FALSE)</f>
        <v>Barnum</v>
      </c>
      <c r="B2525" s="207" t="str">
        <f>VLOOKUP(VALUE(D2525),$D$3:F$106,3,FALSE)</f>
        <v>Social Workers</v>
      </c>
      <c r="C2525" s="755" t="s">
        <v>246</v>
      </c>
      <c r="D2525" s="751" t="s">
        <v>812</v>
      </c>
      <c r="E2525" s="751" t="s">
        <v>814</v>
      </c>
      <c r="F2525" s="751" t="s">
        <v>254</v>
      </c>
      <c r="G2525" s="752" t="s">
        <v>1681</v>
      </c>
      <c r="H2525" s="753">
        <v>52360</v>
      </c>
      <c r="I2525" s="754">
        <v>1186.1300000000001</v>
      </c>
      <c r="J2525" s="754">
        <v>0</v>
      </c>
      <c r="K2525" s="754">
        <v>0</v>
      </c>
      <c r="L2525" s="754">
        <v>198.41</v>
      </c>
      <c r="M2525" s="754">
        <f t="shared" si="103"/>
        <v>198.41</v>
      </c>
      <c r="N2525" s="756">
        <v>1186.1300000000001</v>
      </c>
      <c r="O2525" s="720">
        <f t="shared" si="104"/>
        <v>0</v>
      </c>
    </row>
    <row r="2526" spans="1:15" x14ac:dyDescent="0.25">
      <c r="A2526" s="207" t="str">
        <f>VLOOKUP(RIGHT(E2526,3)+0,SchLocTable!$A$2:$B$47,2,FALSE)</f>
        <v>Barnum</v>
      </c>
      <c r="B2526" s="207" t="str">
        <f>VLOOKUP(VALUE(D2526),$D$3:F$106,3,FALSE)</f>
        <v>Social Workers</v>
      </c>
      <c r="C2526" s="751" t="s">
        <v>246</v>
      </c>
      <c r="D2526" s="751" t="s">
        <v>812</v>
      </c>
      <c r="E2526" s="751" t="s">
        <v>814</v>
      </c>
      <c r="F2526" s="751" t="s">
        <v>259</v>
      </c>
      <c r="G2526" s="752" t="s">
        <v>1681</v>
      </c>
      <c r="H2526" s="753">
        <v>52917</v>
      </c>
      <c r="I2526" s="754">
        <v>35075.879999999997</v>
      </c>
      <c r="J2526" s="754">
        <v>0</v>
      </c>
      <c r="K2526" s="754">
        <v>0</v>
      </c>
      <c r="L2526" s="754">
        <v>8351.4</v>
      </c>
      <c r="M2526" s="754">
        <f t="shared" si="103"/>
        <v>8351.4</v>
      </c>
      <c r="N2526" s="756">
        <v>35075.879999999997</v>
      </c>
      <c r="O2526" s="720">
        <f t="shared" si="104"/>
        <v>0</v>
      </c>
    </row>
    <row r="2527" spans="1:15" x14ac:dyDescent="0.25">
      <c r="A2527" s="207" t="str">
        <f>VLOOKUP(RIGHT(E2527,3)+0,SchLocTable!$A$2:$B$47,2,FALSE)</f>
        <v>Columbus</v>
      </c>
      <c r="B2527" s="207" t="str">
        <f>VLOOKUP(VALUE(D2527),$D$3:F$106,3,FALSE)</f>
        <v>Social Workers</v>
      </c>
      <c r="C2527" s="751" t="s">
        <v>246</v>
      </c>
      <c r="D2527" s="751" t="s">
        <v>812</v>
      </c>
      <c r="E2527" s="751" t="s">
        <v>1618</v>
      </c>
      <c r="F2527" s="751" t="s">
        <v>248</v>
      </c>
      <c r="G2527" s="752" t="s">
        <v>1681</v>
      </c>
      <c r="H2527" s="753">
        <v>51000</v>
      </c>
      <c r="I2527" s="754">
        <v>0</v>
      </c>
      <c r="J2527" s="754">
        <v>0</v>
      </c>
      <c r="K2527" s="754">
        <v>0</v>
      </c>
      <c r="L2527" s="754">
        <v>0</v>
      </c>
      <c r="M2527" s="754">
        <f t="shared" si="103"/>
        <v>0</v>
      </c>
      <c r="N2527" s="756">
        <v>0</v>
      </c>
      <c r="O2527" s="720">
        <f t="shared" si="104"/>
        <v>0</v>
      </c>
    </row>
    <row r="2528" spans="1:15" x14ac:dyDescent="0.25">
      <c r="A2528" s="207" t="str">
        <f>VLOOKUP(RIGHT(E2528,3)+0,SchLocTable!$A$2:$B$47,2,FALSE)</f>
        <v>Columbus</v>
      </c>
      <c r="B2528" s="207" t="str">
        <f>VLOOKUP(VALUE(D2528),$D$3:F$106,3,FALSE)</f>
        <v>Social Workers</v>
      </c>
      <c r="C2528" s="751" t="s">
        <v>246</v>
      </c>
      <c r="D2528" s="751" t="s">
        <v>812</v>
      </c>
      <c r="E2528" s="751" t="s">
        <v>1618</v>
      </c>
      <c r="F2528" s="751" t="s">
        <v>254</v>
      </c>
      <c r="G2528" s="752" t="s">
        <v>1681</v>
      </c>
      <c r="H2528" s="753">
        <v>52360</v>
      </c>
      <c r="I2528" s="754">
        <v>0</v>
      </c>
      <c r="J2528" s="754">
        <v>0</v>
      </c>
      <c r="K2528" s="754">
        <v>0</v>
      </c>
      <c r="L2528" s="754">
        <v>0</v>
      </c>
      <c r="M2528" s="754">
        <f t="shared" si="103"/>
        <v>0</v>
      </c>
      <c r="N2528" s="756">
        <v>0</v>
      </c>
      <c r="O2528" s="720">
        <f t="shared" si="104"/>
        <v>0</v>
      </c>
    </row>
    <row r="2529" spans="1:15" x14ac:dyDescent="0.25">
      <c r="A2529" s="207" t="str">
        <f>VLOOKUP(RIGHT(E2529,3)+0,SchLocTable!$A$2:$B$47,2,FALSE)</f>
        <v>Columbus</v>
      </c>
      <c r="B2529" s="207" t="str">
        <f>VLOOKUP(VALUE(D2529),$D$3:F$106,3,FALSE)</f>
        <v>Social Workers</v>
      </c>
      <c r="C2529" s="751" t="s">
        <v>246</v>
      </c>
      <c r="D2529" s="751" t="s">
        <v>812</v>
      </c>
      <c r="E2529" s="751" t="s">
        <v>1618</v>
      </c>
      <c r="F2529" s="751" t="s">
        <v>259</v>
      </c>
      <c r="G2529" s="752" t="s">
        <v>1681</v>
      </c>
      <c r="H2529" s="753">
        <v>52917</v>
      </c>
      <c r="I2529" s="754">
        <v>0</v>
      </c>
      <c r="J2529" s="754">
        <v>0</v>
      </c>
      <c r="K2529" s="754">
        <v>0</v>
      </c>
      <c r="L2529" s="754">
        <v>0</v>
      </c>
      <c r="M2529" s="754">
        <f t="shared" si="103"/>
        <v>0</v>
      </c>
      <c r="N2529" s="756">
        <v>0</v>
      </c>
      <c r="O2529" s="720">
        <f t="shared" si="104"/>
        <v>0</v>
      </c>
    </row>
    <row r="2530" spans="1:15" x14ac:dyDescent="0.25">
      <c r="A2530" s="207" t="str">
        <f>VLOOKUP(RIGHT(E2530,3)+0,SchLocTable!$A$2:$B$47,2,FALSE)</f>
        <v>Marin</v>
      </c>
      <c r="B2530" s="207" t="str">
        <f>VLOOKUP(VALUE(D2530),$D$3:F$106,3,FALSE)</f>
        <v>Social Workers</v>
      </c>
      <c r="C2530" s="751" t="s">
        <v>246</v>
      </c>
      <c r="D2530" s="751" t="s">
        <v>812</v>
      </c>
      <c r="E2530" s="751" t="s">
        <v>815</v>
      </c>
      <c r="F2530" s="751" t="s">
        <v>248</v>
      </c>
      <c r="G2530" s="752">
        <v>2</v>
      </c>
      <c r="H2530" s="753">
        <v>51000</v>
      </c>
      <c r="I2530" s="754">
        <v>122189.81</v>
      </c>
      <c r="J2530" s="754">
        <v>0</v>
      </c>
      <c r="K2530" s="754">
        <v>0</v>
      </c>
      <c r="L2530" s="754">
        <v>16956.939999999999</v>
      </c>
      <c r="M2530" s="754">
        <f t="shared" si="103"/>
        <v>16956.939999999999</v>
      </c>
      <c r="N2530" s="756">
        <v>122189.81</v>
      </c>
      <c r="O2530" s="720">
        <f t="shared" si="104"/>
        <v>0</v>
      </c>
    </row>
    <row r="2531" spans="1:15" x14ac:dyDescent="0.25">
      <c r="A2531" s="207" t="str">
        <f>VLOOKUP(RIGHT(E2531,3)+0,SchLocTable!$A$2:$B$47,2,FALSE)</f>
        <v>Marin</v>
      </c>
      <c r="B2531" s="207" t="str">
        <f>VLOOKUP(VALUE(D2531),$D$3:F$106,3,FALSE)</f>
        <v>Social Workers</v>
      </c>
      <c r="C2531" s="751" t="s">
        <v>246</v>
      </c>
      <c r="D2531" s="751" t="s">
        <v>812</v>
      </c>
      <c r="E2531" s="751" t="s">
        <v>815</v>
      </c>
      <c r="F2531" s="751" t="s">
        <v>254</v>
      </c>
      <c r="G2531" s="752" t="s">
        <v>1681</v>
      </c>
      <c r="H2531" s="753">
        <v>52360</v>
      </c>
      <c r="I2531" s="754">
        <v>1759.7</v>
      </c>
      <c r="J2531" s="754">
        <v>0</v>
      </c>
      <c r="K2531" s="754">
        <v>0</v>
      </c>
      <c r="L2531" s="754">
        <v>233.82</v>
      </c>
      <c r="M2531" s="754">
        <f t="shared" si="103"/>
        <v>233.82</v>
      </c>
      <c r="N2531" s="756">
        <v>1759.7</v>
      </c>
      <c r="O2531" s="720">
        <f t="shared" si="104"/>
        <v>0</v>
      </c>
    </row>
    <row r="2532" spans="1:15" x14ac:dyDescent="0.25">
      <c r="A2532" s="207" t="str">
        <f>VLOOKUP(RIGHT(E2532,3)+0,SchLocTable!$A$2:$B$47,2,FALSE)</f>
        <v>Marin</v>
      </c>
      <c r="B2532" s="207" t="str">
        <f>VLOOKUP(VALUE(D2532),$D$3:F$106,3,FALSE)</f>
        <v>Social Workers</v>
      </c>
      <c r="C2532" s="751" t="s">
        <v>246</v>
      </c>
      <c r="D2532" s="751" t="s">
        <v>812</v>
      </c>
      <c r="E2532" s="751" t="s">
        <v>815</v>
      </c>
      <c r="F2532" s="751" t="s">
        <v>292</v>
      </c>
      <c r="G2532" s="752" t="s">
        <v>1681</v>
      </c>
      <c r="H2532" s="753">
        <v>52385</v>
      </c>
      <c r="I2532" s="754">
        <v>0</v>
      </c>
      <c r="J2532" s="754">
        <v>0</v>
      </c>
      <c r="K2532" s="754">
        <v>0</v>
      </c>
      <c r="L2532" s="754">
        <v>0</v>
      </c>
      <c r="M2532" s="754">
        <f t="shared" si="103"/>
        <v>0</v>
      </c>
      <c r="N2532" s="756">
        <v>0</v>
      </c>
      <c r="O2532" s="720">
        <f t="shared" si="104"/>
        <v>0</v>
      </c>
    </row>
    <row r="2533" spans="1:15" x14ac:dyDescent="0.25">
      <c r="A2533" s="207" t="str">
        <f>VLOOKUP(RIGHT(E2533,3)+0,SchLocTable!$A$2:$B$47,2,FALSE)</f>
        <v>Marin</v>
      </c>
      <c r="B2533" s="207" t="str">
        <f>VLOOKUP(VALUE(D2533),$D$3:F$106,3,FALSE)</f>
        <v>Social Workers</v>
      </c>
      <c r="C2533" s="751" t="s">
        <v>246</v>
      </c>
      <c r="D2533" s="751" t="s">
        <v>812</v>
      </c>
      <c r="E2533" s="751" t="s">
        <v>815</v>
      </c>
      <c r="F2533" s="751" t="s">
        <v>259</v>
      </c>
      <c r="G2533" s="752" t="s">
        <v>1681</v>
      </c>
      <c r="H2533" s="753">
        <v>52917</v>
      </c>
      <c r="I2533" s="754">
        <v>11844</v>
      </c>
      <c r="J2533" s="754">
        <v>0</v>
      </c>
      <c r="K2533" s="754">
        <v>0</v>
      </c>
      <c r="L2533" s="754">
        <v>2820</v>
      </c>
      <c r="M2533" s="754">
        <f t="shared" si="103"/>
        <v>2820</v>
      </c>
      <c r="N2533" s="756">
        <v>11844</v>
      </c>
      <c r="O2533" s="720">
        <f t="shared" si="104"/>
        <v>0</v>
      </c>
    </row>
    <row r="2534" spans="1:15" x14ac:dyDescent="0.25">
      <c r="A2534" s="207" t="str">
        <f>VLOOKUP(RIGHT(E2534,3)+0,SchLocTable!$A$2:$B$47,2,FALSE)</f>
        <v>Hooker</v>
      </c>
      <c r="B2534" s="207" t="str">
        <f>VLOOKUP(VALUE(D2534),$D$3:F$106,3,FALSE)</f>
        <v>Social Workers</v>
      </c>
      <c r="C2534" s="751" t="s">
        <v>246</v>
      </c>
      <c r="D2534" s="751" t="s">
        <v>812</v>
      </c>
      <c r="E2534" s="751" t="s">
        <v>816</v>
      </c>
      <c r="F2534" s="751" t="s">
        <v>248</v>
      </c>
      <c r="G2534" s="752">
        <v>1</v>
      </c>
      <c r="H2534" s="753">
        <v>51000</v>
      </c>
      <c r="I2534" s="754">
        <v>103153.2</v>
      </c>
      <c r="J2534" s="754">
        <v>0</v>
      </c>
      <c r="K2534" s="754">
        <v>0</v>
      </c>
      <c r="L2534" s="754">
        <v>19761.150000000001</v>
      </c>
      <c r="M2534" s="754">
        <f t="shared" si="103"/>
        <v>19761.150000000001</v>
      </c>
      <c r="N2534" s="756">
        <v>103153.2</v>
      </c>
      <c r="O2534" s="720">
        <f t="shared" si="104"/>
        <v>0</v>
      </c>
    </row>
    <row r="2535" spans="1:15" x14ac:dyDescent="0.25">
      <c r="A2535" s="207" t="str">
        <f>VLOOKUP(RIGHT(E2535,3)+0,SchLocTable!$A$2:$B$47,2,FALSE)</f>
        <v>Hooker</v>
      </c>
      <c r="B2535" s="207" t="str">
        <f>VLOOKUP(VALUE(D2535),$D$3:F$106,3,FALSE)</f>
        <v>Social Workers</v>
      </c>
      <c r="C2535" s="751" t="s">
        <v>246</v>
      </c>
      <c r="D2535" s="751" t="s">
        <v>812</v>
      </c>
      <c r="E2535" s="751" t="s">
        <v>816</v>
      </c>
      <c r="F2535" s="751" t="s">
        <v>257</v>
      </c>
      <c r="G2535" s="752" t="s">
        <v>1681</v>
      </c>
      <c r="H2535" s="753">
        <v>51140</v>
      </c>
      <c r="I2535" s="754">
        <v>900</v>
      </c>
      <c r="J2535" s="754">
        <v>0</v>
      </c>
      <c r="K2535" s="754">
        <v>0</v>
      </c>
      <c r="L2535" s="754">
        <v>0</v>
      </c>
      <c r="M2535" s="754">
        <f t="shared" si="103"/>
        <v>0</v>
      </c>
      <c r="N2535" s="756">
        <v>900</v>
      </c>
      <c r="O2535" s="720">
        <f t="shared" si="104"/>
        <v>0</v>
      </c>
    </row>
    <row r="2536" spans="1:15" x14ac:dyDescent="0.25">
      <c r="A2536" s="207" t="str">
        <f>VLOOKUP(RIGHT(E2536,3)+0,SchLocTable!$A$2:$B$47,2,FALSE)</f>
        <v>Hooker</v>
      </c>
      <c r="B2536" s="207" t="str">
        <f>VLOOKUP(VALUE(D2536),$D$3:F$106,3,FALSE)</f>
        <v>Social Workers</v>
      </c>
      <c r="C2536" s="751" t="s">
        <v>246</v>
      </c>
      <c r="D2536" s="751" t="s">
        <v>812</v>
      </c>
      <c r="E2536" s="751" t="s">
        <v>816</v>
      </c>
      <c r="F2536" s="751" t="s">
        <v>254</v>
      </c>
      <c r="G2536" s="752" t="s">
        <v>1681</v>
      </c>
      <c r="H2536" s="753">
        <v>52360</v>
      </c>
      <c r="I2536" s="754">
        <v>1483.68</v>
      </c>
      <c r="J2536" s="754">
        <v>0</v>
      </c>
      <c r="K2536" s="754">
        <v>0</v>
      </c>
      <c r="L2536" s="754">
        <v>274.5</v>
      </c>
      <c r="M2536" s="754">
        <f t="shared" si="103"/>
        <v>274.5</v>
      </c>
      <c r="N2536" s="756">
        <v>1483.68</v>
      </c>
      <c r="O2536" s="720">
        <f t="shared" si="104"/>
        <v>0</v>
      </c>
    </row>
    <row r="2537" spans="1:15" x14ac:dyDescent="0.25">
      <c r="A2537" s="207" t="str">
        <f>VLOOKUP(RIGHT(E2537,3)+0,SchLocTable!$A$2:$B$47,2,FALSE)</f>
        <v>Hooker</v>
      </c>
      <c r="B2537" s="207" t="str">
        <f>VLOOKUP(VALUE(D2537),$D$3:F$106,3,FALSE)</f>
        <v>Social Workers</v>
      </c>
      <c r="C2537" s="751" t="s">
        <v>246</v>
      </c>
      <c r="D2537" s="751" t="s">
        <v>812</v>
      </c>
      <c r="E2537" s="751" t="s">
        <v>816</v>
      </c>
      <c r="F2537" s="751" t="s">
        <v>259</v>
      </c>
      <c r="G2537" s="752" t="s">
        <v>1681</v>
      </c>
      <c r="H2537" s="753">
        <v>52917</v>
      </c>
      <c r="I2537" s="754">
        <v>11844</v>
      </c>
      <c r="J2537" s="754">
        <v>0</v>
      </c>
      <c r="K2537" s="754">
        <v>0</v>
      </c>
      <c r="L2537" s="754">
        <v>2820</v>
      </c>
      <c r="M2537" s="754">
        <f t="shared" si="103"/>
        <v>2820</v>
      </c>
      <c r="N2537" s="756">
        <v>11844</v>
      </c>
      <c r="O2537" s="720">
        <f t="shared" si="104"/>
        <v>0</v>
      </c>
    </row>
    <row r="2538" spans="1:15" x14ac:dyDescent="0.25">
      <c r="A2538" s="207" t="str">
        <f>VLOOKUP(RIGHT(E2538,3)+0,SchLocTable!$A$2:$B$47,2,FALSE)</f>
        <v>Batalla</v>
      </c>
      <c r="B2538" s="207" t="str">
        <f>VLOOKUP(VALUE(D2538),$D$3:F$106,3,FALSE)</f>
        <v>Social Workers</v>
      </c>
      <c r="C2538" s="755" t="s">
        <v>246</v>
      </c>
      <c r="D2538" s="751" t="s">
        <v>812</v>
      </c>
      <c r="E2538" s="751" t="s">
        <v>817</v>
      </c>
      <c r="F2538" s="751" t="s">
        <v>248</v>
      </c>
      <c r="G2538" s="752">
        <v>3</v>
      </c>
      <c r="H2538" s="753">
        <v>51000</v>
      </c>
      <c r="I2538" s="754">
        <v>203854.38</v>
      </c>
      <c r="J2538" s="754">
        <v>0</v>
      </c>
      <c r="K2538" s="754">
        <v>0</v>
      </c>
      <c r="L2538" s="754">
        <v>28936.45</v>
      </c>
      <c r="M2538" s="754">
        <f t="shared" si="103"/>
        <v>28936.45</v>
      </c>
      <c r="N2538" s="756">
        <v>203854.38</v>
      </c>
      <c r="O2538" s="720">
        <f t="shared" si="104"/>
        <v>0</v>
      </c>
    </row>
    <row r="2539" spans="1:15" x14ac:dyDescent="0.25">
      <c r="A2539" s="207" t="str">
        <f>VLOOKUP(RIGHT(E2539,3)+0,SchLocTable!$A$2:$B$47,2,FALSE)</f>
        <v>Batalla</v>
      </c>
      <c r="B2539" s="207" t="str">
        <f>VLOOKUP(VALUE(D2539),$D$3:F$106,3,FALSE)</f>
        <v>Social Workers</v>
      </c>
      <c r="C2539" s="755" t="s">
        <v>246</v>
      </c>
      <c r="D2539" s="751" t="s">
        <v>812</v>
      </c>
      <c r="E2539" s="751" t="s">
        <v>817</v>
      </c>
      <c r="F2539" s="751" t="s">
        <v>254</v>
      </c>
      <c r="G2539" s="752" t="s">
        <v>1681</v>
      </c>
      <c r="H2539" s="753">
        <v>52360</v>
      </c>
      <c r="I2539" s="754">
        <v>2901.19</v>
      </c>
      <c r="J2539" s="754">
        <v>0</v>
      </c>
      <c r="K2539" s="754">
        <v>0</v>
      </c>
      <c r="L2539" s="754">
        <v>364.88</v>
      </c>
      <c r="M2539" s="754">
        <f t="shared" si="103"/>
        <v>364.88</v>
      </c>
      <c r="N2539" s="756">
        <v>2901.19</v>
      </c>
      <c r="O2539" s="720">
        <f t="shared" si="104"/>
        <v>0</v>
      </c>
    </row>
    <row r="2540" spans="1:15" x14ac:dyDescent="0.25">
      <c r="A2540" s="207" t="str">
        <f>VLOOKUP(RIGHT(E2540,3)+0,SchLocTable!$A$2:$B$47,2,FALSE)</f>
        <v>Batalla</v>
      </c>
      <c r="B2540" s="207" t="str">
        <f>VLOOKUP(VALUE(D2540),$D$3:F$106,3,FALSE)</f>
        <v>Social Workers</v>
      </c>
      <c r="C2540" s="751" t="s">
        <v>246</v>
      </c>
      <c r="D2540" s="751" t="s">
        <v>812</v>
      </c>
      <c r="E2540" s="751" t="s">
        <v>817</v>
      </c>
      <c r="F2540" s="751" t="s">
        <v>259</v>
      </c>
      <c r="G2540" s="752" t="s">
        <v>1681</v>
      </c>
      <c r="H2540" s="753">
        <v>52917</v>
      </c>
      <c r="I2540" s="754">
        <v>75210.12</v>
      </c>
      <c r="J2540" s="754">
        <v>0</v>
      </c>
      <c r="K2540" s="754">
        <v>0</v>
      </c>
      <c r="L2540" s="754">
        <v>12810.76</v>
      </c>
      <c r="M2540" s="754">
        <f t="shared" si="103"/>
        <v>12810.76</v>
      </c>
      <c r="N2540" s="756">
        <v>75210.12</v>
      </c>
      <c r="O2540" s="720">
        <f t="shared" si="104"/>
        <v>0</v>
      </c>
    </row>
    <row r="2541" spans="1:15" x14ac:dyDescent="0.25">
      <c r="A2541" s="207" t="str">
        <f>VLOOKUP(RIGHT(E2541,3)+0,SchLocTable!$A$2:$B$47,2,FALSE)</f>
        <v>Zoo Science HS</v>
      </c>
      <c r="B2541" s="207" t="str">
        <f>VLOOKUP(VALUE(D2541),$D$3:F$106,3,FALSE)</f>
        <v>Social Workers</v>
      </c>
      <c r="C2541" s="751" t="s">
        <v>246</v>
      </c>
      <c r="D2541" s="751" t="s">
        <v>812</v>
      </c>
      <c r="E2541" s="751" t="s">
        <v>818</v>
      </c>
      <c r="F2541" s="751" t="s">
        <v>248</v>
      </c>
      <c r="G2541" s="752">
        <v>1</v>
      </c>
      <c r="H2541" s="753">
        <v>51000</v>
      </c>
      <c r="I2541" s="754">
        <v>103153.2</v>
      </c>
      <c r="J2541" s="754">
        <v>0</v>
      </c>
      <c r="K2541" s="754">
        <v>0</v>
      </c>
      <c r="L2541" s="754">
        <v>19761.150000000001</v>
      </c>
      <c r="M2541" s="754">
        <f t="shared" si="103"/>
        <v>19761.150000000001</v>
      </c>
      <c r="N2541" s="756">
        <v>103153.2</v>
      </c>
      <c r="O2541" s="720">
        <f t="shared" si="104"/>
        <v>0</v>
      </c>
    </row>
    <row r="2542" spans="1:15" x14ac:dyDescent="0.25">
      <c r="A2542" s="207" t="str">
        <f>VLOOKUP(RIGHT(E2542,3)+0,SchLocTable!$A$2:$B$47,2,FALSE)</f>
        <v>Zoo Science HS</v>
      </c>
      <c r="B2542" s="207" t="str">
        <f>VLOOKUP(VALUE(D2542),$D$3:F$106,3,FALSE)</f>
        <v>Social Workers</v>
      </c>
      <c r="C2542" s="751" t="s">
        <v>246</v>
      </c>
      <c r="D2542" s="751" t="s">
        <v>812</v>
      </c>
      <c r="E2542" s="751" t="s">
        <v>818</v>
      </c>
      <c r="F2542" s="751" t="s">
        <v>254</v>
      </c>
      <c r="G2542" s="752" t="s">
        <v>1681</v>
      </c>
      <c r="H2542" s="753">
        <v>52360</v>
      </c>
      <c r="I2542" s="754">
        <v>1460.07</v>
      </c>
      <c r="J2542" s="754">
        <v>0</v>
      </c>
      <c r="K2542" s="754">
        <v>0</v>
      </c>
      <c r="L2542" s="754">
        <v>250.89</v>
      </c>
      <c r="M2542" s="754">
        <f t="shared" si="103"/>
        <v>250.89</v>
      </c>
      <c r="N2542" s="756">
        <v>1460.07</v>
      </c>
      <c r="O2542" s="720">
        <f t="shared" si="104"/>
        <v>0</v>
      </c>
    </row>
    <row r="2543" spans="1:15" x14ac:dyDescent="0.25">
      <c r="A2543" s="207" t="str">
        <f>VLOOKUP(RIGHT(E2543,3)+0,SchLocTable!$A$2:$B$47,2,FALSE)</f>
        <v>Zoo Science HS</v>
      </c>
      <c r="B2543" s="207" t="str">
        <f>VLOOKUP(VALUE(D2543),$D$3:F$106,3,FALSE)</f>
        <v>Social Workers</v>
      </c>
      <c r="C2543" s="755" t="s">
        <v>246</v>
      </c>
      <c r="D2543" s="751" t="s">
        <v>812</v>
      </c>
      <c r="E2543" s="751" t="s">
        <v>818</v>
      </c>
      <c r="F2543" s="751" t="s">
        <v>259</v>
      </c>
      <c r="G2543" s="752" t="s">
        <v>1681</v>
      </c>
      <c r="H2543" s="753">
        <v>52917</v>
      </c>
      <c r="I2543" s="754">
        <v>35075.879999999997</v>
      </c>
      <c r="J2543" s="754">
        <v>0</v>
      </c>
      <c r="K2543" s="754">
        <v>0</v>
      </c>
      <c r="L2543" s="754">
        <v>8351.4</v>
      </c>
      <c r="M2543" s="754">
        <f t="shared" si="103"/>
        <v>8351.4</v>
      </c>
      <c r="N2543" s="756">
        <v>35075.879999999997</v>
      </c>
      <c r="O2543" s="720">
        <f t="shared" si="104"/>
        <v>0</v>
      </c>
    </row>
    <row r="2544" spans="1:15" x14ac:dyDescent="0.25">
      <c r="A2544" s="207" t="str">
        <f>VLOOKUP(RIGHT(E2544,3)+0,SchLocTable!$A$2:$B$47,2,FALSE)</f>
        <v>Classical Studies Academy</v>
      </c>
      <c r="B2544" s="207" t="str">
        <f>VLOOKUP(VALUE(D2544),$D$3:F$106,3,FALSE)</f>
        <v>Social Workers</v>
      </c>
      <c r="C2544" s="751" t="s">
        <v>246</v>
      </c>
      <c r="D2544" s="751" t="s">
        <v>812</v>
      </c>
      <c r="E2544" s="751" t="s">
        <v>1784</v>
      </c>
      <c r="F2544" s="751" t="s">
        <v>248</v>
      </c>
      <c r="G2544" s="752">
        <v>1</v>
      </c>
      <c r="H2544" s="753">
        <v>51000</v>
      </c>
      <c r="I2544" s="754">
        <v>103153.2</v>
      </c>
      <c r="J2544" s="754">
        <v>0</v>
      </c>
      <c r="K2544" s="754">
        <v>0</v>
      </c>
      <c r="L2544" s="754">
        <v>19761.150000000001</v>
      </c>
      <c r="M2544" s="754">
        <f t="shared" si="103"/>
        <v>19761.150000000001</v>
      </c>
      <c r="N2544" s="756">
        <v>103153.2</v>
      </c>
      <c r="O2544" s="720">
        <f t="shared" si="104"/>
        <v>0</v>
      </c>
    </row>
    <row r="2545" spans="1:15" x14ac:dyDescent="0.25">
      <c r="A2545" s="207" t="str">
        <f>VLOOKUP(RIGHT(E2545,3)+0,SchLocTable!$A$2:$B$47,2,FALSE)</f>
        <v>Classical Studies Academy</v>
      </c>
      <c r="B2545" s="207" t="str">
        <f>VLOOKUP(VALUE(D2545),$D$3:F$106,3,FALSE)</f>
        <v>Social Workers</v>
      </c>
      <c r="C2545" s="751" t="s">
        <v>246</v>
      </c>
      <c r="D2545" s="751" t="s">
        <v>812</v>
      </c>
      <c r="E2545" s="751" t="s">
        <v>1784</v>
      </c>
      <c r="F2545" s="751" t="s">
        <v>454</v>
      </c>
      <c r="G2545" s="752" t="s">
        <v>1681</v>
      </c>
      <c r="H2545" s="753">
        <v>51404</v>
      </c>
      <c r="I2545" s="754">
        <v>0</v>
      </c>
      <c r="J2545" s="754">
        <v>0</v>
      </c>
      <c r="K2545" s="754">
        <v>0</v>
      </c>
      <c r="L2545" s="754">
        <v>0</v>
      </c>
      <c r="M2545" s="754">
        <f t="shared" si="103"/>
        <v>0</v>
      </c>
      <c r="N2545" s="756">
        <v>0</v>
      </c>
      <c r="O2545" s="720">
        <f t="shared" si="104"/>
        <v>0</v>
      </c>
    </row>
    <row r="2546" spans="1:15" x14ac:dyDescent="0.25">
      <c r="A2546" s="207" t="str">
        <f>VLOOKUP(RIGHT(E2546,3)+0,SchLocTable!$A$2:$B$47,2,FALSE)</f>
        <v>Classical Studies Academy</v>
      </c>
      <c r="B2546" s="207" t="str">
        <f>VLOOKUP(VALUE(D2546),$D$3:F$106,3,FALSE)</f>
        <v>Social Workers</v>
      </c>
      <c r="C2546" s="751" t="s">
        <v>246</v>
      </c>
      <c r="D2546" s="751" t="s">
        <v>812</v>
      </c>
      <c r="E2546" s="751" t="s">
        <v>1784</v>
      </c>
      <c r="F2546" s="751" t="s">
        <v>254</v>
      </c>
      <c r="G2546" s="752" t="s">
        <v>1681</v>
      </c>
      <c r="H2546" s="753">
        <v>52360</v>
      </c>
      <c r="I2546" s="754">
        <v>1460.07</v>
      </c>
      <c r="J2546" s="754">
        <v>0</v>
      </c>
      <c r="K2546" s="754">
        <v>0</v>
      </c>
      <c r="L2546" s="754">
        <v>250.89</v>
      </c>
      <c r="M2546" s="754">
        <f t="shared" si="103"/>
        <v>250.89</v>
      </c>
      <c r="N2546" s="756">
        <v>1460.07</v>
      </c>
      <c r="O2546" s="720">
        <f t="shared" si="104"/>
        <v>0</v>
      </c>
    </row>
    <row r="2547" spans="1:15" x14ac:dyDescent="0.25">
      <c r="A2547" s="207" t="str">
        <f>VLOOKUP(RIGHT(E2547,3)+0,SchLocTable!$A$2:$B$47,2,FALSE)</f>
        <v>Classical Studies Academy</v>
      </c>
      <c r="B2547" s="207" t="str">
        <f>VLOOKUP(VALUE(D2547),$D$3:F$106,3,FALSE)</f>
        <v>Social Workers</v>
      </c>
      <c r="C2547" s="751" t="s">
        <v>246</v>
      </c>
      <c r="D2547" s="751" t="s">
        <v>812</v>
      </c>
      <c r="E2547" s="751" t="s">
        <v>1784</v>
      </c>
      <c r="F2547" s="751" t="s">
        <v>259</v>
      </c>
      <c r="G2547" s="752" t="s">
        <v>1681</v>
      </c>
      <c r="H2547" s="753">
        <v>52917</v>
      </c>
      <c r="I2547" s="754">
        <v>35075.879999999997</v>
      </c>
      <c r="J2547" s="754">
        <v>0</v>
      </c>
      <c r="K2547" s="754">
        <v>0</v>
      </c>
      <c r="L2547" s="754">
        <v>8351.4</v>
      </c>
      <c r="M2547" s="754">
        <f t="shared" si="103"/>
        <v>8351.4</v>
      </c>
      <c r="N2547" s="756">
        <v>35075.879999999997</v>
      </c>
      <c r="O2547" s="720">
        <f t="shared" si="104"/>
        <v>0</v>
      </c>
    </row>
    <row r="2548" spans="1:15" x14ac:dyDescent="0.25">
      <c r="A2548" s="207" t="str">
        <f>VLOOKUP(RIGHT(E2548,3)+0,SchLocTable!$A$2:$B$47,2,FALSE)</f>
        <v>Tisdale</v>
      </c>
      <c r="B2548" s="207" t="str">
        <f>VLOOKUP(VALUE(D2548),$D$3:F$106,3,FALSE)</f>
        <v>Social Workers</v>
      </c>
      <c r="C2548" s="751" t="s">
        <v>246</v>
      </c>
      <c r="D2548" s="751" t="s">
        <v>812</v>
      </c>
      <c r="E2548" s="751" t="s">
        <v>2187</v>
      </c>
      <c r="F2548" s="751" t="s">
        <v>248</v>
      </c>
      <c r="G2548" s="752">
        <v>1</v>
      </c>
      <c r="H2548" s="753">
        <v>51000</v>
      </c>
      <c r="I2548" s="754">
        <v>54148.25</v>
      </c>
      <c r="J2548" s="754">
        <v>0</v>
      </c>
      <c r="K2548" s="754">
        <v>0</v>
      </c>
      <c r="L2548" s="754">
        <v>4688.16</v>
      </c>
      <c r="M2548" s="754">
        <f t="shared" si="103"/>
        <v>4688.16</v>
      </c>
      <c r="N2548" s="756">
        <v>54148.25</v>
      </c>
      <c r="O2548" s="720">
        <f t="shared" si="104"/>
        <v>0</v>
      </c>
    </row>
    <row r="2549" spans="1:15" x14ac:dyDescent="0.25">
      <c r="A2549" s="207" t="str">
        <f>VLOOKUP(RIGHT(E2549,3)+0,SchLocTable!$A$2:$B$47,2,FALSE)</f>
        <v>Tisdale</v>
      </c>
      <c r="B2549" s="207" t="str">
        <f>VLOOKUP(VALUE(D2549),$D$3:F$106,3,FALSE)</f>
        <v>Social Workers</v>
      </c>
      <c r="C2549" s="751" t="s">
        <v>246</v>
      </c>
      <c r="D2549" s="751" t="s">
        <v>812</v>
      </c>
      <c r="E2549" s="751" t="s">
        <v>2187</v>
      </c>
      <c r="F2549" s="751" t="s">
        <v>254</v>
      </c>
      <c r="G2549" s="752" t="s">
        <v>1681</v>
      </c>
      <c r="H2549" s="753">
        <v>52360</v>
      </c>
      <c r="I2549" s="754">
        <v>56.38</v>
      </c>
      <c r="J2549" s="754">
        <v>0</v>
      </c>
      <c r="K2549" s="754">
        <v>0</v>
      </c>
      <c r="L2549" s="754">
        <v>56.38</v>
      </c>
      <c r="M2549" s="754">
        <f t="shared" si="103"/>
        <v>56.38</v>
      </c>
      <c r="N2549" s="756">
        <v>56.38</v>
      </c>
      <c r="O2549" s="720">
        <f t="shared" si="104"/>
        <v>0</v>
      </c>
    </row>
    <row r="2550" spans="1:15" x14ac:dyDescent="0.25">
      <c r="A2550" s="207" t="str">
        <f>VLOOKUP(RIGHT(E2550,3)+0,SchLocTable!$A$2:$B$47,2,FALSE)</f>
        <v>Tisdale</v>
      </c>
      <c r="B2550" s="207" t="str">
        <f>VLOOKUP(VALUE(D2550),$D$3:F$106,3,FALSE)</f>
        <v>Social Workers</v>
      </c>
      <c r="C2550" s="751" t="s">
        <v>246</v>
      </c>
      <c r="D2550" s="751" t="s">
        <v>812</v>
      </c>
      <c r="E2550" s="751" t="s">
        <v>2187</v>
      </c>
      <c r="F2550" s="751" t="s">
        <v>259</v>
      </c>
      <c r="G2550" s="752" t="s">
        <v>1681</v>
      </c>
      <c r="H2550" s="753">
        <v>52917</v>
      </c>
      <c r="I2550" s="754">
        <v>2709.28</v>
      </c>
      <c r="J2550" s="754">
        <v>0</v>
      </c>
      <c r="K2550" s="754">
        <v>0</v>
      </c>
      <c r="L2550" s="754">
        <v>2709.28</v>
      </c>
      <c r="M2550" s="754">
        <f t="shared" si="103"/>
        <v>2709.28</v>
      </c>
      <c r="N2550" s="756">
        <v>2709.28</v>
      </c>
      <c r="O2550" s="720">
        <f t="shared" si="104"/>
        <v>0</v>
      </c>
    </row>
    <row r="2551" spans="1:15" x14ac:dyDescent="0.25">
      <c r="A2551" s="207" t="str">
        <f>VLOOKUP(RIGHT(E2551,3)+0,SchLocTable!$A$2:$B$47,2,FALSE)</f>
        <v>Read</v>
      </c>
      <c r="B2551" s="207" t="str">
        <f>VLOOKUP(VALUE(D2551),$D$3:F$106,3,FALSE)</f>
        <v>Social Workers</v>
      </c>
      <c r="C2551" s="751" t="s">
        <v>246</v>
      </c>
      <c r="D2551" s="751" t="s">
        <v>812</v>
      </c>
      <c r="E2551" s="751" t="s">
        <v>819</v>
      </c>
      <c r="F2551" s="751" t="s">
        <v>248</v>
      </c>
      <c r="G2551" s="752">
        <v>1</v>
      </c>
      <c r="H2551" s="753">
        <v>51000</v>
      </c>
      <c r="I2551" s="754">
        <v>103153.2</v>
      </c>
      <c r="J2551" s="754">
        <v>0</v>
      </c>
      <c r="K2551" s="754">
        <v>0</v>
      </c>
      <c r="L2551" s="754">
        <v>19761.150000000001</v>
      </c>
      <c r="M2551" s="754">
        <f t="shared" si="103"/>
        <v>19761.150000000001</v>
      </c>
      <c r="N2551" s="756">
        <v>103153.2</v>
      </c>
      <c r="O2551" s="720">
        <f t="shared" si="104"/>
        <v>0</v>
      </c>
    </row>
    <row r="2552" spans="1:15" x14ac:dyDescent="0.25">
      <c r="A2552" s="207" t="str">
        <f>VLOOKUP(RIGHT(E2552,3)+0,SchLocTable!$A$2:$B$47,2,FALSE)</f>
        <v>Read</v>
      </c>
      <c r="B2552" s="207" t="str">
        <f>VLOOKUP(VALUE(D2552),$D$3:F$106,3,FALSE)</f>
        <v>Social Workers</v>
      </c>
      <c r="C2552" s="751" t="s">
        <v>246</v>
      </c>
      <c r="D2552" s="751" t="s">
        <v>812</v>
      </c>
      <c r="E2552" s="751" t="s">
        <v>819</v>
      </c>
      <c r="F2552" s="751" t="s">
        <v>257</v>
      </c>
      <c r="G2552" s="752" t="s">
        <v>1681</v>
      </c>
      <c r="H2552" s="753">
        <v>51140</v>
      </c>
      <c r="I2552" s="754">
        <v>1200</v>
      </c>
      <c r="J2552" s="754">
        <v>0</v>
      </c>
      <c r="K2552" s="754">
        <v>0</v>
      </c>
      <c r="L2552" s="754">
        <v>0</v>
      </c>
      <c r="M2552" s="754">
        <f t="shared" si="103"/>
        <v>0</v>
      </c>
      <c r="N2552" s="756">
        <v>1200</v>
      </c>
      <c r="O2552" s="720">
        <f t="shared" si="104"/>
        <v>0</v>
      </c>
    </row>
    <row r="2553" spans="1:15" x14ac:dyDescent="0.25">
      <c r="A2553" s="207" t="str">
        <f>VLOOKUP(RIGHT(E2553,3)+0,SchLocTable!$A$2:$B$47,2,FALSE)</f>
        <v>Read</v>
      </c>
      <c r="B2553" s="207" t="str">
        <f>VLOOKUP(VALUE(D2553),$D$3:F$106,3,FALSE)</f>
        <v>Social Workers</v>
      </c>
      <c r="C2553" s="751" t="s">
        <v>246</v>
      </c>
      <c r="D2553" s="751" t="s">
        <v>812</v>
      </c>
      <c r="E2553" s="751" t="s">
        <v>819</v>
      </c>
      <c r="F2553" s="751" t="s">
        <v>254</v>
      </c>
      <c r="G2553" s="752" t="s">
        <v>1681</v>
      </c>
      <c r="H2553" s="753">
        <v>52360</v>
      </c>
      <c r="I2553" s="754">
        <v>1466.69</v>
      </c>
      <c r="J2553" s="754">
        <v>0</v>
      </c>
      <c r="K2553" s="754">
        <v>0</v>
      </c>
      <c r="L2553" s="754">
        <v>257.51</v>
      </c>
      <c r="M2553" s="754">
        <f t="shared" si="103"/>
        <v>257.51</v>
      </c>
      <c r="N2553" s="756">
        <v>1466.69</v>
      </c>
      <c r="O2553" s="720">
        <f t="shared" si="104"/>
        <v>0</v>
      </c>
    </row>
    <row r="2554" spans="1:15" x14ac:dyDescent="0.25">
      <c r="A2554" s="207" t="str">
        <f>VLOOKUP(RIGHT(E2554,3)+0,SchLocTable!$A$2:$B$47,2,FALSE)</f>
        <v>Read</v>
      </c>
      <c r="B2554" s="207" t="str">
        <f>VLOOKUP(VALUE(D2554),$D$3:F$106,3,FALSE)</f>
        <v>Social Workers</v>
      </c>
      <c r="C2554" s="755" t="s">
        <v>246</v>
      </c>
      <c r="D2554" s="751" t="s">
        <v>812</v>
      </c>
      <c r="E2554" s="751" t="s">
        <v>819</v>
      </c>
      <c r="F2554" s="751" t="s">
        <v>259</v>
      </c>
      <c r="G2554" s="752" t="s">
        <v>1681</v>
      </c>
      <c r="H2554" s="753">
        <v>52917</v>
      </c>
      <c r="I2554" s="754">
        <v>28478.1</v>
      </c>
      <c r="J2554" s="754">
        <v>0</v>
      </c>
      <c r="K2554" s="754">
        <v>0</v>
      </c>
      <c r="L2554" s="754">
        <v>6780.5</v>
      </c>
      <c r="M2554" s="754">
        <f t="shared" si="103"/>
        <v>6780.5</v>
      </c>
      <c r="N2554" s="756">
        <v>28478.1</v>
      </c>
      <c r="O2554" s="720">
        <f t="shared" si="104"/>
        <v>0</v>
      </c>
    </row>
    <row r="2555" spans="1:15" x14ac:dyDescent="0.25">
      <c r="A2555" s="207" t="str">
        <f>VLOOKUP(RIGHT(E2555,3)+0,SchLocTable!$A$2:$B$47,2,FALSE)</f>
        <v>Bridgeport Learning Center</v>
      </c>
      <c r="B2555" s="207" t="str">
        <f>VLOOKUP(VALUE(D2555),$D$3:F$106,3,FALSE)</f>
        <v>Social Workers</v>
      </c>
      <c r="C2555" s="751" t="s">
        <v>246</v>
      </c>
      <c r="D2555" s="751" t="s">
        <v>812</v>
      </c>
      <c r="E2555" s="751" t="s">
        <v>1501</v>
      </c>
      <c r="F2555" s="751" t="s">
        <v>248</v>
      </c>
      <c r="G2555" s="752" t="s">
        <v>1681</v>
      </c>
      <c r="H2555" s="753">
        <v>51000</v>
      </c>
      <c r="I2555" s="754">
        <v>0</v>
      </c>
      <c r="J2555" s="754">
        <v>0</v>
      </c>
      <c r="K2555" s="754">
        <v>0</v>
      </c>
      <c r="L2555" s="754">
        <v>0</v>
      </c>
      <c r="M2555" s="754">
        <f t="shared" si="103"/>
        <v>0</v>
      </c>
      <c r="N2555" s="756">
        <v>0</v>
      </c>
      <c r="O2555" s="720">
        <f t="shared" si="104"/>
        <v>0</v>
      </c>
    </row>
    <row r="2556" spans="1:15" x14ac:dyDescent="0.25">
      <c r="A2556" s="207" t="str">
        <f>VLOOKUP(RIGHT(E2556,3)+0,SchLocTable!$A$2:$B$47,2,FALSE)</f>
        <v>Bridgeport Learning Center</v>
      </c>
      <c r="B2556" s="207" t="str">
        <f>VLOOKUP(VALUE(D2556),$D$3:F$106,3,FALSE)</f>
        <v>Social Workers</v>
      </c>
      <c r="C2556" s="751" t="s">
        <v>246</v>
      </c>
      <c r="D2556" s="751" t="s">
        <v>812</v>
      </c>
      <c r="E2556" s="751" t="s">
        <v>1501</v>
      </c>
      <c r="F2556" s="751" t="s">
        <v>254</v>
      </c>
      <c r="G2556" s="752" t="s">
        <v>1681</v>
      </c>
      <c r="H2556" s="753">
        <v>52360</v>
      </c>
      <c r="I2556" s="754">
        <v>0</v>
      </c>
      <c r="J2556" s="754">
        <v>0</v>
      </c>
      <c r="K2556" s="754">
        <v>0</v>
      </c>
      <c r="L2556" s="754">
        <v>0</v>
      </c>
      <c r="M2556" s="754">
        <f t="shared" si="103"/>
        <v>0</v>
      </c>
      <c r="N2556" s="756">
        <v>0</v>
      </c>
      <c r="O2556" s="720">
        <f t="shared" si="104"/>
        <v>0</v>
      </c>
    </row>
    <row r="2557" spans="1:15" x14ac:dyDescent="0.25">
      <c r="A2557" s="207" t="str">
        <f>VLOOKUP(RIGHT(E2557,3)+0,SchLocTable!$A$2:$B$47,2,FALSE)</f>
        <v>Bridgeport Learning Center</v>
      </c>
      <c r="B2557" s="207" t="str">
        <f>VLOOKUP(VALUE(D2557),$D$3:F$106,3,FALSE)</f>
        <v>Social Workers</v>
      </c>
      <c r="C2557" s="751" t="s">
        <v>246</v>
      </c>
      <c r="D2557" s="751" t="s">
        <v>812</v>
      </c>
      <c r="E2557" s="751" t="s">
        <v>1501</v>
      </c>
      <c r="F2557" s="751" t="s">
        <v>259</v>
      </c>
      <c r="G2557" s="752" t="s">
        <v>1681</v>
      </c>
      <c r="H2557" s="753">
        <v>52917</v>
      </c>
      <c r="I2557" s="754">
        <v>0</v>
      </c>
      <c r="J2557" s="754">
        <v>0</v>
      </c>
      <c r="K2557" s="754">
        <v>0</v>
      </c>
      <c r="L2557" s="754">
        <v>0</v>
      </c>
      <c r="M2557" s="754">
        <f t="shared" si="103"/>
        <v>0</v>
      </c>
      <c r="N2557" s="756">
        <v>0</v>
      </c>
      <c r="O2557" s="720">
        <f t="shared" si="104"/>
        <v>0</v>
      </c>
    </row>
    <row r="2558" spans="1:15" x14ac:dyDescent="0.25">
      <c r="A2558" s="207" t="str">
        <f>VLOOKUP(RIGHT(E2558,3)+0,SchLocTable!$A$2:$B$47,2,FALSE)</f>
        <v>Waltersville</v>
      </c>
      <c r="B2558" s="207" t="str">
        <f>VLOOKUP(VALUE(D2558),$D$3:F$106,3,FALSE)</f>
        <v>Social Workers</v>
      </c>
      <c r="C2558" s="751" t="s">
        <v>246</v>
      </c>
      <c r="D2558" s="751" t="s">
        <v>812</v>
      </c>
      <c r="E2558" s="751" t="s">
        <v>820</v>
      </c>
      <c r="F2558" s="751" t="s">
        <v>248</v>
      </c>
      <c r="G2558" s="752">
        <v>1</v>
      </c>
      <c r="H2558" s="753">
        <v>51000</v>
      </c>
      <c r="I2558" s="754">
        <v>103153.2</v>
      </c>
      <c r="J2558" s="754">
        <v>0</v>
      </c>
      <c r="K2558" s="754">
        <v>0</v>
      </c>
      <c r="L2558" s="754">
        <v>19761.150000000001</v>
      </c>
      <c r="M2558" s="754">
        <f t="shared" si="103"/>
        <v>19761.150000000001</v>
      </c>
      <c r="N2558" s="756">
        <v>103153.2</v>
      </c>
      <c r="O2558" s="720">
        <f t="shared" si="104"/>
        <v>0</v>
      </c>
    </row>
    <row r="2559" spans="1:15" x14ac:dyDescent="0.25">
      <c r="A2559" s="207" t="str">
        <f>VLOOKUP(RIGHT(E2559,3)+0,SchLocTable!$A$2:$B$47,2,FALSE)</f>
        <v>Waltersville</v>
      </c>
      <c r="B2559" s="207" t="str">
        <f>VLOOKUP(VALUE(D2559),$D$3:F$106,3,FALSE)</f>
        <v>Social Workers</v>
      </c>
      <c r="C2559" s="751" t="s">
        <v>246</v>
      </c>
      <c r="D2559" s="751" t="s">
        <v>812</v>
      </c>
      <c r="E2559" s="751" t="s">
        <v>820</v>
      </c>
      <c r="F2559" s="751" t="s">
        <v>257</v>
      </c>
      <c r="G2559" s="752" t="s">
        <v>1681</v>
      </c>
      <c r="H2559" s="753">
        <v>51140</v>
      </c>
      <c r="I2559" s="754">
        <v>900</v>
      </c>
      <c r="J2559" s="754">
        <v>0</v>
      </c>
      <c r="K2559" s="754">
        <v>0</v>
      </c>
      <c r="L2559" s="754">
        <v>0</v>
      </c>
      <c r="M2559" s="754">
        <f t="shared" ref="M2559:M2622" si="105">SUM(J2559:L2559)</f>
        <v>0</v>
      </c>
      <c r="N2559" s="756">
        <v>900</v>
      </c>
      <c r="O2559" s="720">
        <f t="shared" ref="O2559:O2622" si="106">I2559-N2559</f>
        <v>0</v>
      </c>
    </row>
    <row r="2560" spans="1:15" x14ac:dyDescent="0.25">
      <c r="A2560" s="207" t="str">
        <f>VLOOKUP(RIGHT(E2560,3)+0,SchLocTable!$A$2:$B$47,2,FALSE)</f>
        <v>Waltersville</v>
      </c>
      <c r="B2560" s="207" t="str">
        <f>VLOOKUP(VALUE(D2560),$D$3:F$106,3,FALSE)</f>
        <v>Social Workers</v>
      </c>
      <c r="C2560" s="751" t="s">
        <v>246</v>
      </c>
      <c r="D2560" s="751" t="s">
        <v>812</v>
      </c>
      <c r="E2560" s="751" t="s">
        <v>820</v>
      </c>
      <c r="F2560" s="751" t="s">
        <v>254</v>
      </c>
      <c r="G2560" s="752" t="s">
        <v>1681</v>
      </c>
      <c r="H2560" s="753">
        <v>52360</v>
      </c>
      <c r="I2560" s="754">
        <v>1466.69</v>
      </c>
      <c r="J2560" s="754">
        <v>0</v>
      </c>
      <c r="K2560" s="754">
        <v>0</v>
      </c>
      <c r="L2560" s="754">
        <v>257.51</v>
      </c>
      <c r="M2560" s="754">
        <f t="shared" si="105"/>
        <v>257.51</v>
      </c>
      <c r="N2560" s="756">
        <v>1466.69</v>
      </c>
      <c r="O2560" s="720">
        <f t="shared" si="106"/>
        <v>0</v>
      </c>
    </row>
    <row r="2561" spans="1:15" x14ac:dyDescent="0.25">
      <c r="A2561" s="207" t="str">
        <f>VLOOKUP(RIGHT(E2561,3)+0,SchLocTable!$A$2:$B$47,2,FALSE)</f>
        <v>Waltersville</v>
      </c>
      <c r="B2561" s="207" t="str">
        <f>VLOOKUP(VALUE(D2561),$D$3:F$106,3,FALSE)</f>
        <v>Social Workers</v>
      </c>
      <c r="C2561" s="751" t="s">
        <v>246</v>
      </c>
      <c r="D2561" s="751" t="s">
        <v>812</v>
      </c>
      <c r="E2561" s="751" t="s">
        <v>820</v>
      </c>
      <c r="F2561" s="751" t="s">
        <v>259</v>
      </c>
      <c r="G2561" s="752" t="s">
        <v>1681</v>
      </c>
      <c r="H2561" s="753">
        <v>52917</v>
      </c>
      <c r="I2561" s="754">
        <v>28478.1</v>
      </c>
      <c r="J2561" s="754">
        <v>0</v>
      </c>
      <c r="K2561" s="754">
        <v>0</v>
      </c>
      <c r="L2561" s="754">
        <v>6780.5</v>
      </c>
      <c r="M2561" s="754">
        <f t="shared" si="105"/>
        <v>6780.5</v>
      </c>
      <c r="N2561" s="756">
        <v>28478.1</v>
      </c>
      <c r="O2561" s="720">
        <f t="shared" si="106"/>
        <v>0</v>
      </c>
    </row>
    <row r="2562" spans="1:15" x14ac:dyDescent="0.25">
      <c r="A2562" s="207" t="str">
        <f>VLOOKUP(RIGHT(E2562,3)+0,SchLocTable!$A$2:$B$47,2,FALSE)</f>
        <v>Johnson</v>
      </c>
      <c r="B2562" s="207" t="str">
        <f>VLOOKUP(VALUE(D2562),$D$3:F$106,3,FALSE)</f>
        <v>Social Workers</v>
      </c>
      <c r="C2562" s="751" t="s">
        <v>246</v>
      </c>
      <c r="D2562" s="751" t="s">
        <v>812</v>
      </c>
      <c r="E2562" s="751" t="s">
        <v>1682</v>
      </c>
      <c r="F2562" s="751" t="s">
        <v>248</v>
      </c>
      <c r="G2562" s="752" t="s">
        <v>1681</v>
      </c>
      <c r="H2562" s="753">
        <v>51000</v>
      </c>
      <c r="I2562" s="754">
        <v>0</v>
      </c>
      <c r="J2562" s="754">
        <v>0</v>
      </c>
      <c r="K2562" s="754">
        <v>0</v>
      </c>
      <c r="L2562" s="754">
        <v>0</v>
      </c>
      <c r="M2562" s="754">
        <f t="shared" si="105"/>
        <v>0</v>
      </c>
      <c r="N2562" s="756">
        <v>0</v>
      </c>
      <c r="O2562" s="720">
        <f t="shared" si="106"/>
        <v>0</v>
      </c>
    </row>
    <row r="2563" spans="1:15" x14ac:dyDescent="0.25">
      <c r="A2563" s="207" t="str">
        <f>VLOOKUP(RIGHT(E2563,3)+0,SchLocTable!$A$2:$B$47,2,FALSE)</f>
        <v>Johnson</v>
      </c>
      <c r="B2563" s="207" t="str">
        <f>VLOOKUP(VALUE(D2563),$D$3:F$106,3,FALSE)</f>
        <v>Social Workers</v>
      </c>
      <c r="C2563" s="751" t="s">
        <v>246</v>
      </c>
      <c r="D2563" s="751" t="s">
        <v>812</v>
      </c>
      <c r="E2563" s="751" t="s">
        <v>1682</v>
      </c>
      <c r="F2563" s="751" t="s">
        <v>254</v>
      </c>
      <c r="G2563" s="752" t="s">
        <v>1681</v>
      </c>
      <c r="H2563" s="753">
        <v>52360</v>
      </c>
      <c r="I2563" s="754">
        <v>0</v>
      </c>
      <c r="J2563" s="754">
        <v>0</v>
      </c>
      <c r="K2563" s="754">
        <v>0</v>
      </c>
      <c r="L2563" s="754">
        <v>0</v>
      </c>
      <c r="M2563" s="754">
        <f t="shared" si="105"/>
        <v>0</v>
      </c>
      <c r="N2563" s="756">
        <v>0</v>
      </c>
      <c r="O2563" s="720">
        <f t="shared" si="106"/>
        <v>0</v>
      </c>
    </row>
    <row r="2564" spans="1:15" x14ac:dyDescent="0.25">
      <c r="A2564" s="207" t="str">
        <f>VLOOKUP(RIGHT(E2564,3)+0,SchLocTable!$A$2:$B$47,2,FALSE)</f>
        <v>Johnson</v>
      </c>
      <c r="B2564" s="207" t="str">
        <f>VLOOKUP(VALUE(D2564),$D$3:F$106,3,FALSE)</f>
        <v>Social Workers</v>
      </c>
      <c r="C2564" s="751" t="s">
        <v>246</v>
      </c>
      <c r="D2564" s="751" t="s">
        <v>812</v>
      </c>
      <c r="E2564" s="751" t="s">
        <v>1682</v>
      </c>
      <c r="F2564" s="751" t="s">
        <v>259</v>
      </c>
      <c r="G2564" s="752" t="s">
        <v>1681</v>
      </c>
      <c r="H2564" s="753">
        <v>52917</v>
      </c>
      <c r="I2564" s="754">
        <v>0</v>
      </c>
      <c r="J2564" s="754">
        <v>0</v>
      </c>
      <c r="K2564" s="754">
        <v>0</v>
      </c>
      <c r="L2564" s="754">
        <v>0</v>
      </c>
      <c r="M2564" s="754">
        <f t="shared" si="105"/>
        <v>0</v>
      </c>
      <c r="N2564" s="756">
        <v>0</v>
      </c>
      <c r="O2564" s="720">
        <f t="shared" si="106"/>
        <v>0</v>
      </c>
    </row>
    <row r="2565" spans="1:15" x14ac:dyDescent="0.25">
      <c r="A2565" s="207" t="str">
        <f>VLOOKUP(RIGHT(E2565,3)+0,SchLocTable!$A$2:$B$47,2,FALSE)</f>
        <v>Winthrop</v>
      </c>
      <c r="B2565" s="207" t="str">
        <f>VLOOKUP(VALUE(D2565),$D$3:F$106,3,FALSE)</f>
        <v>Social Workers</v>
      </c>
      <c r="C2565" s="751" t="s">
        <v>246</v>
      </c>
      <c r="D2565" s="751" t="s">
        <v>812</v>
      </c>
      <c r="E2565" s="751" t="s">
        <v>1764</v>
      </c>
      <c r="F2565" s="751" t="s">
        <v>248</v>
      </c>
      <c r="G2565" s="752" t="s">
        <v>1681</v>
      </c>
      <c r="H2565" s="753">
        <v>51000</v>
      </c>
      <c r="I2565" s="754">
        <v>0</v>
      </c>
      <c r="J2565" s="754">
        <v>0</v>
      </c>
      <c r="K2565" s="754">
        <v>0</v>
      </c>
      <c r="L2565" s="754">
        <v>0</v>
      </c>
      <c r="M2565" s="754">
        <f t="shared" si="105"/>
        <v>0</v>
      </c>
      <c r="N2565" s="756">
        <v>0</v>
      </c>
      <c r="O2565" s="720">
        <f t="shared" si="106"/>
        <v>0</v>
      </c>
    </row>
    <row r="2566" spans="1:15" x14ac:dyDescent="0.25">
      <c r="A2566" s="207" t="str">
        <f>VLOOKUP(RIGHT(E2566,3)+0,SchLocTable!$A$2:$B$47,2,FALSE)</f>
        <v>Winthrop</v>
      </c>
      <c r="B2566" s="207" t="str">
        <f>VLOOKUP(VALUE(D2566),$D$3:F$106,3,FALSE)</f>
        <v>Social Workers</v>
      </c>
      <c r="C2566" s="751" t="s">
        <v>246</v>
      </c>
      <c r="D2566" s="751" t="s">
        <v>812</v>
      </c>
      <c r="E2566" s="751" t="s">
        <v>1764</v>
      </c>
      <c r="F2566" s="751" t="s">
        <v>257</v>
      </c>
      <c r="G2566" s="752" t="s">
        <v>1681</v>
      </c>
      <c r="H2566" s="753">
        <v>51140</v>
      </c>
      <c r="I2566" s="754">
        <v>1100</v>
      </c>
      <c r="J2566" s="754">
        <v>0</v>
      </c>
      <c r="K2566" s="754">
        <v>0</v>
      </c>
      <c r="L2566" s="754">
        <v>0</v>
      </c>
      <c r="M2566" s="754">
        <f t="shared" si="105"/>
        <v>0</v>
      </c>
      <c r="N2566" s="756">
        <v>1100</v>
      </c>
      <c r="O2566" s="720">
        <f t="shared" si="106"/>
        <v>0</v>
      </c>
    </row>
    <row r="2567" spans="1:15" x14ac:dyDescent="0.25">
      <c r="A2567" s="207" t="str">
        <f>VLOOKUP(RIGHT(E2567,3)+0,SchLocTable!$A$2:$B$47,2,FALSE)</f>
        <v>Winthrop</v>
      </c>
      <c r="B2567" s="207" t="str">
        <f>VLOOKUP(VALUE(D2567),$D$3:F$106,3,FALSE)</f>
        <v>Social Workers</v>
      </c>
      <c r="C2567" s="751" t="s">
        <v>246</v>
      </c>
      <c r="D2567" s="751" t="s">
        <v>812</v>
      </c>
      <c r="E2567" s="751" t="s">
        <v>1764</v>
      </c>
      <c r="F2567" s="751" t="s">
        <v>254</v>
      </c>
      <c r="G2567" s="752" t="s">
        <v>1681</v>
      </c>
      <c r="H2567" s="753">
        <v>52360</v>
      </c>
      <c r="I2567" s="754">
        <v>0</v>
      </c>
      <c r="J2567" s="754">
        <v>0</v>
      </c>
      <c r="K2567" s="754">
        <v>0</v>
      </c>
      <c r="L2567" s="754">
        <v>0</v>
      </c>
      <c r="M2567" s="754">
        <f t="shared" si="105"/>
        <v>0</v>
      </c>
      <c r="N2567" s="756">
        <v>0</v>
      </c>
      <c r="O2567" s="720">
        <f t="shared" si="106"/>
        <v>0</v>
      </c>
    </row>
    <row r="2568" spans="1:15" x14ac:dyDescent="0.25">
      <c r="A2568" s="207" t="str">
        <f>VLOOKUP(RIGHT(E2568,3)+0,SchLocTable!$A$2:$B$47,2,FALSE)</f>
        <v>Winthrop</v>
      </c>
      <c r="B2568" s="207" t="str">
        <f>VLOOKUP(VALUE(D2568),$D$3:F$106,3,FALSE)</f>
        <v>Social Workers</v>
      </c>
      <c r="C2568" s="751" t="s">
        <v>246</v>
      </c>
      <c r="D2568" s="751" t="s">
        <v>812</v>
      </c>
      <c r="E2568" s="751" t="s">
        <v>1764</v>
      </c>
      <c r="F2568" s="751" t="s">
        <v>259</v>
      </c>
      <c r="G2568" s="752" t="s">
        <v>1681</v>
      </c>
      <c r="H2568" s="753">
        <v>52917</v>
      </c>
      <c r="I2568" s="754">
        <v>0</v>
      </c>
      <c r="J2568" s="754">
        <v>0</v>
      </c>
      <c r="K2568" s="754">
        <v>0</v>
      </c>
      <c r="L2568" s="754">
        <v>0</v>
      </c>
      <c r="M2568" s="754">
        <f t="shared" si="105"/>
        <v>0</v>
      </c>
      <c r="N2568" s="756">
        <v>0</v>
      </c>
      <c r="O2568" s="720">
        <f t="shared" si="106"/>
        <v>0</v>
      </c>
    </row>
    <row r="2569" spans="1:15" x14ac:dyDescent="0.25">
      <c r="A2569" s="207" t="str">
        <f>VLOOKUP(RIGHT(E2569,3)+0,SchLocTable!$A$2:$B$47,2,FALSE)</f>
        <v>Cross</v>
      </c>
      <c r="B2569" s="207" t="str">
        <f>VLOOKUP(VALUE(D2569),$D$3:F$106,3,FALSE)</f>
        <v>Social Workers</v>
      </c>
      <c r="C2569" s="751" t="s">
        <v>246</v>
      </c>
      <c r="D2569" s="751" t="s">
        <v>812</v>
      </c>
      <c r="E2569" s="751" t="s">
        <v>821</v>
      </c>
      <c r="F2569" s="751" t="s">
        <v>248</v>
      </c>
      <c r="G2569" s="752">
        <v>1</v>
      </c>
      <c r="H2569" s="753">
        <v>51000</v>
      </c>
      <c r="I2569" s="754">
        <v>59278.32</v>
      </c>
      <c r="J2569" s="754">
        <v>0</v>
      </c>
      <c r="K2569" s="754">
        <v>0</v>
      </c>
      <c r="L2569" s="754">
        <v>6586.48</v>
      </c>
      <c r="M2569" s="754">
        <f t="shared" si="105"/>
        <v>6586.48</v>
      </c>
      <c r="N2569" s="756">
        <v>59278.32</v>
      </c>
      <c r="O2569" s="720">
        <f t="shared" si="106"/>
        <v>0</v>
      </c>
    </row>
    <row r="2570" spans="1:15" x14ac:dyDescent="0.25">
      <c r="A2570" s="207" t="str">
        <f>VLOOKUP(RIGHT(E2570,3)+0,SchLocTable!$A$2:$B$47,2,FALSE)</f>
        <v>Cross</v>
      </c>
      <c r="B2570" s="207" t="str">
        <f>VLOOKUP(VALUE(D2570),$D$3:F$106,3,FALSE)</f>
        <v>Social Workers</v>
      </c>
      <c r="C2570" s="751" t="s">
        <v>246</v>
      </c>
      <c r="D2570" s="751" t="s">
        <v>812</v>
      </c>
      <c r="E2570" s="751" t="s">
        <v>821</v>
      </c>
      <c r="F2570" s="751" t="s">
        <v>254</v>
      </c>
      <c r="G2570" s="752" t="s">
        <v>1681</v>
      </c>
      <c r="H2570" s="753">
        <v>52360</v>
      </c>
      <c r="I2570" s="754">
        <v>853.29</v>
      </c>
      <c r="J2570" s="754">
        <v>0</v>
      </c>
      <c r="K2570" s="754">
        <v>0</v>
      </c>
      <c r="L2570" s="754">
        <v>89.26</v>
      </c>
      <c r="M2570" s="754">
        <f t="shared" si="105"/>
        <v>89.26</v>
      </c>
      <c r="N2570" s="756">
        <v>853.29</v>
      </c>
      <c r="O2570" s="720">
        <f t="shared" si="106"/>
        <v>0</v>
      </c>
    </row>
    <row r="2571" spans="1:15" x14ac:dyDescent="0.25">
      <c r="A2571" s="207" t="str">
        <f>VLOOKUP(RIGHT(E2571,3)+0,SchLocTable!$A$2:$B$47,2,FALSE)</f>
        <v>Cross</v>
      </c>
      <c r="B2571" s="207" t="str">
        <f>VLOOKUP(VALUE(D2571),$D$3:F$106,3,FALSE)</f>
        <v>Social Workers</v>
      </c>
      <c r="C2571" s="751" t="s">
        <v>246</v>
      </c>
      <c r="D2571" s="751" t="s">
        <v>812</v>
      </c>
      <c r="E2571" s="751" t="s">
        <v>821</v>
      </c>
      <c r="F2571" s="751" t="s">
        <v>259</v>
      </c>
      <c r="G2571" s="752" t="s">
        <v>1681</v>
      </c>
      <c r="H2571" s="753">
        <v>52917</v>
      </c>
      <c r="I2571" s="754">
        <v>10069.200000000001</v>
      </c>
      <c r="J2571" s="754">
        <v>0</v>
      </c>
      <c r="K2571" s="754">
        <v>0</v>
      </c>
      <c r="L2571" s="754">
        <v>1118.8</v>
      </c>
      <c r="M2571" s="754">
        <f t="shared" si="105"/>
        <v>1118.8</v>
      </c>
      <c r="N2571" s="756">
        <v>10069.200000000001</v>
      </c>
      <c r="O2571" s="720">
        <f t="shared" si="106"/>
        <v>0</v>
      </c>
    </row>
    <row r="2572" spans="1:15" x14ac:dyDescent="0.25">
      <c r="A2572" s="207" t="str">
        <f>VLOOKUP(RIGHT(E2572,3)+0,SchLocTable!$A$2:$B$47,2,FALSE)</f>
        <v>Blackham</v>
      </c>
      <c r="B2572" s="207" t="str">
        <f>VLOOKUP(VALUE(D2572),$D$3:F$106,3,FALSE)</f>
        <v>Social Workers</v>
      </c>
      <c r="C2572" s="751" t="s">
        <v>246</v>
      </c>
      <c r="D2572" s="751" t="s">
        <v>812</v>
      </c>
      <c r="E2572" s="751" t="s">
        <v>822</v>
      </c>
      <c r="F2572" s="751" t="s">
        <v>248</v>
      </c>
      <c r="G2572" s="752">
        <v>3</v>
      </c>
      <c r="H2572" s="753">
        <v>51000</v>
      </c>
      <c r="I2572" s="754">
        <v>183581.74</v>
      </c>
      <c r="J2572" s="754">
        <v>0</v>
      </c>
      <c r="K2572" s="754">
        <v>0</v>
      </c>
      <c r="L2572" s="754">
        <v>37050.47</v>
      </c>
      <c r="M2572" s="754">
        <f t="shared" si="105"/>
        <v>37050.47</v>
      </c>
      <c r="N2572" s="756">
        <v>183581.74</v>
      </c>
      <c r="O2572" s="720">
        <f t="shared" si="106"/>
        <v>0</v>
      </c>
    </row>
    <row r="2573" spans="1:15" x14ac:dyDescent="0.25">
      <c r="A2573" s="207" t="str">
        <f>VLOOKUP(RIGHT(E2573,3)+0,SchLocTable!$A$2:$B$47,2,FALSE)</f>
        <v>Blackham</v>
      </c>
      <c r="B2573" s="207" t="str">
        <f>VLOOKUP(VALUE(D2573),$D$3:F$106,3,FALSE)</f>
        <v>Social Workers</v>
      </c>
      <c r="C2573" s="751" t="s">
        <v>246</v>
      </c>
      <c r="D2573" s="751" t="s">
        <v>812</v>
      </c>
      <c r="E2573" s="751" t="s">
        <v>822</v>
      </c>
      <c r="F2573" s="751" t="s">
        <v>257</v>
      </c>
      <c r="G2573" s="752" t="s">
        <v>1681</v>
      </c>
      <c r="H2573" s="753">
        <v>51140</v>
      </c>
      <c r="I2573" s="754">
        <v>1100</v>
      </c>
      <c r="J2573" s="754">
        <v>0</v>
      </c>
      <c r="K2573" s="754">
        <v>0</v>
      </c>
      <c r="L2573" s="754">
        <v>0</v>
      </c>
      <c r="M2573" s="754">
        <f t="shared" si="105"/>
        <v>0</v>
      </c>
      <c r="N2573" s="756">
        <v>1100</v>
      </c>
      <c r="O2573" s="720">
        <f t="shared" si="106"/>
        <v>0</v>
      </c>
    </row>
    <row r="2574" spans="1:15" x14ac:dyDescent="0.25">
      <c r="A2574" s="207" t="str">
        <f>VLOOKUP(RIGHT(E2574,3)+0,SchLocTable!$A$2:$B$47,2,FALSE)</f>
        <v>Blackham</v>
      </c>
      <c r="B2574" s="207" t="str">
        <f>VLOOKUP(VALUE(D2574),$D$3:F$106,3,FALSE)</f>
        <v>Social Workers</v>
      </c>
      <c r="C2574" s="751" t="s">
        <v>246</v>
      </c>
      <c r="D2574" s="751" t="s">
        <v>812</v>
      </c>
      <c r="E2574" s="751" t="s">
        <v>822</v>
      </c>
      <c r="F2574" s="751" t="s">
        <v>254</v>
      </c>
      <c r="G2574" s="752" t="s">
        <v>1681</v>
      </c>
      <c r="H2574" s="753">
        <v>52360</v>
      </c>
      <c r="I2574" s="754">
        <v>2623.6</v>
      </c>
      <c r="J2574" s="754">
        <v>0</v>
      </c>
      <c r="K2574" s="754">
        <v>0</v>
      </c>
      <c r="L2574" s="754">
        <v>498.9</v>
      </c>
      <c r="M2574" s="754">
        <f t="shared" si="105"/>
        <v>498.9</v>
      </c>
      <c r="N2574" s="756">
        <v>2623.6</v>
      </c>
      <c r="O2574" s="720">
        <f t="shared" si="106"/>
        <v>0</v>
      </c>
    </row>
    <row r="2575" spans="1:15" x14ac:dyDescent="0.25">
      <c r="A2575" s="207" t="str">
        <f>VLOOKUP(RIGHT(E2575,3)+0,SchLocTable!$A$2:$B$47,2,FALSE)</f>
        <v>Blackham</v>
      </c>
      <c r="B2575" s="207" t="str">
        <f>VLOOKUP(VALUE(D2575),$D$3:F$106,3,FALSE)</f>
        <v>Social Workers</v>
      </c>
      <c r="C2575" s="751" t="s">
        <v>246</v>
      </c>
      <c r="D2575" s="751" t="s">
        <v>812</v>
      </c>
      <c r="E2575" s="751" t="s">
        <v>822</v>
      </c>
      <c r="F2575" s="751" t="s">
        <v>259</v>
      </c>
      <c r="G2575" s="752" t="s">
        <v>1681</v>
      </c>
      <c r="H2575" s="753">
        <v>52917</v>
      </c>
      <c r="I2575" s="754">
        <v>36079.199999999997</v>
      </c>
      <c r="J2575" s="754">
        <v>0</v>
      </c>
      <c r="K2575" s="754">
        <v>0</v>
      </c>
      <c r="L2575" s="754">
        <v>9020</v>
      </c>
      <c r="M2575" s="754">
        <f t="shared" si="105"/>
        <v>9020</v>
      </c>
      <c r="N2575" s="756">
        <v>36079.199999999997</v>
      </c>
      <c r="O2575" s="720">
        <f t="shared" si="106"/>
        <v>0</v>
      </c>
    </row>
    <row r="2576" spans="1:15" x14ac:dyDescent="0.25">
      <c r="A2576" s="207" t="str">
        <f>VLOOKUP(RIGHT(E2576,3)+0,SchLocTable!$A$2:$B$47,2,FALSE)</f>
        <v>Dunbar</v>
      </c>
      <c r="B2576" s="207" t="str">
        <f>VLOOKUP(VALUE(D2576),$D$3:F$106,3,FALSE)</f>
        <v>Social Workers</v>
      </c>
      <c r="C2576" s="751" t="s">
        <v>246</v>
      </c>
      <c r="D2576" s="751" t="s">
        <v>812</v>
      </c>
      <c r="E2576" s="751" t="s">
        <v>2127</v>
      </c>
      <c r="F2576" s="751" t="s">
        <v>257</v>
      </c>
      <c r="G2576" s="752" t="s">
        <v>1681</v>
      </c>
      <c r="H2576" s="753">
        <v>51140</v>
      </c>
      <c r="I2576" s="754">
        <v>900</v>
      </c>
      <c r="J2576" s="754">
        <v>0</v>
      </c>
      <c r="K2576" s="754">
        <v>0</v>
      </c>
      <c r="L2576" s="754">
        <v>0</v>
      </c>
      <c r="M2576" s="754">
        <f t="shared" si="105"/>
        <v>0</v>
      </c>
      <c r="N2576" s="756">
        <v>900</v>
      </c>
      <c r="O2576" s="720">
        <f t="shared" si="106"/>
        <v>0</v>
      </c>
    </row>
    <row r="2577" spans="1:15" x14ac:dyDescent="0.25">
      <c r="A2577" s="207" t="str">
        <f>VLOOKUP(RIGHT(E2577,3)+0,SchLocTable!$A$2:$B$47,2,FALSE)</f>
        <v>Dunbar</v>
      </c>
      <c r="B2577" s="207" t="str">
        <f>VLOOKUP(VALUE(D2577),$D$3:F$106,3,FALSE)</f>
        <v>Social Workers</v>
      </c>
      <c r="C2577" s="751" t="s">
        <v>246</v>
      </c>
      <c r="D2577" s="751" t="s">
        <v>812</v>
      </c>
      <c r="E2577" s="751" t="s">
        <v>2127</v>
      </c>
      <c r="F2577" s="751" t="s">
        <v>254</v>
      </c>
      <c r="G2577" s="752" t="s">
        <v>1681</v>
      </c>
      <c r="H2577" s="753">
        <v>52360</v>
      </c>
      <c r="I2577" s="754">
        <v>0</v>
      </c>
      <c r="J2577" s="754">
        <v>0</v>
      </c>
      <c r="K2577" s="754">
        <v>0</v>
      </c>
      <c r="L2577" s="754">
        <v>0</v>
      </c>
      <c r="M2577" s="754">
        <f t="shared" si="105"/>
        <v>0</v>
      </c>
      <c r="N2577" s="756">
        <v>0</v>
      </c>
      <c r="O2577" s="720">
        <f t="shared" si="106"/>
        <v>0</v>
      </c>
    </row>
    <row r="2578" spans="1:15" x14ac:dyDescent="0.25">
      <c r="A2578" s="207" t="str">
        <f>VLOOKUP(RIGHT(E2578,3)+0,SchLocTable!$A$2:$B$47,2,FALSE)</f>
        <v>Curiale</v>
      </c>
      <c r="B2578" s="207" t="str">
        <f>VLOOKUP(VALUE(D2578),$D$3:F$106,3,FALSE)</f>
        <v>Social Workers</v>
      </c>
      <c r="C2578" s="755" t="s">
        <v>246</v>
      </c>
      <c r="D2578" s="751" t="s">
        <v>812</v>
      </c>
      <c r="E2578" s="751" t="s">
        <v>1649</v>
      </c>
      <c r="F2578" s="751" t="s">
        <v>248</v>
      </c>
      <c r="G2578" s="752">
        <v>1</v>
      </c>
      <c r="H2578" s="753">
        <v>51000</v>
      </c>
      <c r="I2578" s="754">
        <v>63972.09</v>
      </c>
      <c r="J2578" s="754">
        <v>0</v>
      </c>
      <c r="K2578" s="754">
        <v>0</v>
      </c>
      <c r="L2578" s="754">
        <v>15231.45</v>
      </c>
      <c r="M2578" s="754">
        <f t="shared" si="105"/>
        <v>15231.45</v>
      </c>
      <c r="N2578" s="756">
        <v>63972.09</v>
      </c>
      <c r="O2578" s="720">
        <f t="shared" si="106"/>
        <v>0</v>
      </c>
    </row>
    <row r="2579" spans="1:15" x14ac:dyDescent="0.25">
      <c r="A2579" s="207" t="str">
        <f>VLOOKUP(RIGHT(E2579,3)+0,SchLocTable!$A$2:$B$47,2,FALSE)</f>
        <v>Curiale</v>
      </c>
      <c r="B2579" s="207" t="str">
        <f>VLOOKUP(VALUE(D2579),$D$3:F$106,3,FALSE)</f>
        <v>Social Workers</v>
      </c>
      <c r="C2579" s="751" t="s">
        <v>246</v>
      </c>
      <c r="D2579" s="751" t="s">
        <v>812</v>
      </c>
      <c r="E2579" s="751" t="s">
        <v>1649</v>
      </c>
      <c r="F2579" s="751" t="s">
        <v>254</v>
      </c>
      <c r="G2579" s="752" t="s">
        <v>1681</v>
      </c>
      <c r="H2579" s="753">
        <v>52360</v>
      </c>
      <c r="I2579" s="754">
        <v>927.59</v>
      </c>
      <c r="J2579" s="754">
        <v>0</v>
      </c>
      <c r="K2579" s="754">
        <v>0</v>
      </c>
      <c r="L2579" s="754">
        <v>220.85</v>
      </c>
      <c r="M2579" s="754">
        <f t="shared" si="105"/>
        <v>220.85</v>
      </c>
      <c r="N2579" s="756">
        <v>927.59</v>
      </c>
      <c r="O2579" s="720">
        <f t="shared" si="106"/>
        <v>0</v>
      </c>
    </row>
    <row r="2580" spans="1:15" x14ac:dyDescent="0.25">
      <c r="A2580" s="207" t="str">
        <f>VLOOKUP(RIGHT(E2580,3)+0,SchLocTable!$A$2:$B$47,2,FALSE)</f>
        <v>Skane</v>
      </c>
      <c r="B2580" s="207" t="str">
        <f>VLOOKUP(VALUE(D2580),$D$3:F$106,3,FALSE)</f>
        <v>Social Workers</v>
      </c>
      <c r="C2580" s="751" t="s">
        <v>246</v>
      </c>
      <c r="D2580" s="751" t="s">
        <v>812</v>
      </c>
      <c r="E2580" s="751" t="s">
        <v>823</v>
      </c>
      <c r="F2580" s="751" t="s">
        <v>248</v>
      </c>
      <c r="G2580" s="752">
        <v>2</v>
      </c>
      <c r="H2580" s="753">
        <v>51000</v>
      </c>
      <c r="I2580" s="754">
        <v>206306.41</v>
      </c>
      <c r="J2580" s="754">
        <v>0</v>
      </c>
      <c r="K2580" s="754">
        <v>0</v>
      </c>
      <c r="L2580" s="754">
        <v>39522.300000000003</v>
      </c>
      <c r="M2580" s="754">
        <f t="shared" si="105"/>
        <v>39522.300000000003</v>
      </c>
      <c r="N2580" s="756">
        <v>206306.41</v>
      </c>
      <c r="O2580" s="720">
        <f t="shared" si="106"/>
        <v>0</v>
      </c>
    </row>
    <row r="2581" spans="1:15" x14ac:dyDescent="0.25">
      <c r="A2581" s="207" t="str">
        <f>VLOOKUP(RIGHT(E2581,3)+0,SchLocTable!$A$2:$B$47,2,FALSE)</f>
        <v>Skane</v>
      </c>
      <c r="B2581" s="207" t="str">
        <f>VLOOKUP(VALUE(D2581),$D$3:F$106,3,FALSE)</f>
        <v>Social Workers</v>
      </c>
      <c r="C2581" s="751" t="s">
        <v>246</v>
      </c>
      <c r="D2581" s="751" t="s">
        <v>812</v>
      </c>
      <c r="E2581" s="751" t="s">
        <v>823</v>
      </c>
      <c r="F2581" s="751" t="s">
        <v>257</v>
      </c>
      <c r="G2581" s="752" t="s">
        <v>1681</v>
      </c>
      <c r="H2581" s="753">
        <v>51140</v>
      </c>
      <c r="I2581" s="754">
        <v>2100</v>
      </c>
      <c r="J2581" s="754">
        <v>0</v>
      </c>
      <c r="K2581" s="754">
        <v>0</v>
      </c>
      <c r="L2581" s="754">
        <v>0</v>
      </c>
      <c r="M2581" s="754">
        <f t="shared" si="105"/>
        <v>0</v>
      </c>
      <c r="N2581" s="756">
        <v>2100</v>
      </c>
      <c r="O2581" s="720">
        <f t="shared" si="106"/>
        <v>0</v>
      </c>
    </row>
    <row r="2582" spans="1:15" x14ac:dyDescent="0.25">
      <c r="A2582" s="207" t="str">
        <f>VLOOKUP(RIGHT(E2582,3)+0,SchLocTable!$A$2:$B$47,2,FALSE)</f>
        <v>Skane</v>
      </c>
      <c r="B2582" s="207" t="str">
        <f>VLOOKUP(VALUE(D2582),$D$3:F$106,3,FALSE)</f>
        <v>Social Workers</v>
      </c>
      <c r="C2582" s="751" t="s">
        <v>246</v>
      </c>
      <c r="D2582" s="751" t="s">
        <v>812</v>
      </c>
      <c r="E2582" s="751" t="s">
        <v>823</v>
      </c>
      <c r="F2582" s="751" t="s">
        <v>254</v>
      </c>
      <c r="G2582" s="752" t="s">
        <v>1681</v>
      </c>
      <c r="H2582" s="753">
        <v>52360</v>
      </c>
      <c r="I2582" s="754">
        <v>2925.32</v>
      </c>
      <c r="J2582" s="754">
        <v>0</v>
      </c>
      <c r="K2582" s="754">
        <v>0</v>
      </c>
      <c r="L2582" s="754">
        <v>506.95</v>
      </c>
      <c r="M2582" s="754">
        <f t="shared" si="105"/>
        <v>506.95</v>
      </c>
      <c r="N2582" s="756">
        <v>2925.32</v>
      </c>
      <c r="O2582" s="720">
        <f t="shared" si="106"/>
        <v>0</v>
      </c>
    </row>
    <row r="2583" spans="1:15" x14ac:dyDescent="0.25">
      <c r="A2583" s="207" t="str">
        <f>VLOOKUP(RIGHT(E2583,3)+0,SchLocTable!$A$2:$B$47,2,FALSE)</f>
        <v>Skane</v>
      </c>
      <c r="B2583" s="207" t="str">
        <f>VLOOKUP(VALUE(D2583),$D$3:F$106,3,FALSE)</f>
        <v>Social Workers</v>
      </c>
      <c r="C2583" s="751" t="s">
        <v>246</v>
      </c>
      <c r="D2583" s="751" t="s">
        <v>812</v>
      </c>
      <c r="E2583" s="751" t="s">
        <v>823</v>
      </c>
      <c r="F2583" s="751" t="s">
        <v>259</v>
      </c>
      <c r="G2583" s="752" t="s">
        <v>1681</v>
      </c>
      <c r="H2583" s="753">
        <v>52917</v>
      </c>
      <c r="I2583" s="754">
        <v>63553.98</v>
      </c>
      <c r="J2583" s="754">
        <v>0</v>
      </c>
      <c r="K2583" s="754">
        <v>0</v>
      </c>
      <c r="L2583" s="754">
        <v>15131.9</v>
      </c>
      <c r="M2583" s="754">
        <f t="shared" si="105"/>
        <v>15131.9</v>
      </c>
      <c r="N2583" s="756">
        <v>63553.98</v>
      </c>
      <c r="O2583" s="720">
        <f t="shared" si="106"/>
        <v>0</v>
      </c>
    </row>
    <row r="2584" spans="1:15" x14ac:dyDescent="0.25">
      <c r="A2584" s="207" t="str">
        <f>VLOOKUP(RIGHT(E2584,3)+0,SchLocTable!$A$2:$B$47,2,FALSE)</f>
        <v>Bassick HS</v>
      </c>
      <c r="B2584" s="207" t="str">
        <f>VLOOKUP(VALUE(D2584),$D$3:F$106,3,FALSE)</f>
        <v>Social Workers</v>
      </c>
      <c r="C2584" s="751" t="s">
        <v>246</v>
      </c>
      <c r="D2584" s="751" t="s">
        <v>812</v>
      </c>
      <c r="E2584" s="751" t="s">
        <v>824</v>
      </c>
      <c r="F2584" s="751" t="s">
        <v>248</v>
      </c>
      <c r="G2584" s="752">
        <v>3</v>
      </c>
      <c r="H2584" s="753">
        <v>51000</v>
      </c>
      <c r="I2584" s="754">
        <v>309459.61</v>
      </c>
      <c r="J2584" s="754">
        <v>0</v>
      </c>
      <c r="K2584" s="754">
        <v>0</v>
      </c>
      <c r="L2584" s="754">
        <v>59283.45</v>
      </c>
      <c r="M2584" s="754">
        <f t="shared" si="105"/>
        <v>59283.45</v>
      </c>
      <c r="N2584" s="756">
        <v>309459.61</v>
      </c>
      <c r="O2584" s="720">
        <f t="shared" si="106"/>
        <v>0</v>
      </c>
    </row>
    <row r="2585" spans="1:15" x14ac:dyDescent="0.25">
      <c r="A2585" s="207" t="str">
        <f>VLOOKUP(RIGHT(E2585,3)+0,SchLocTable!$A$2:$B$47,2,FALSE)</f>
        <v>Bassick HS</v>
      </c>
      <c r="B2585" s="207" t="str">
        <f>VLOOKUP(VALUE(D2585),$D$3:F$106,3,FALSE)</f>
        <v>Social Workers</v>
      </c>
      <c r="C2585" s="751" t="s">
        <v>246</v>
      </c>
      <c r="D2585" s="751" t="s">
        <v>812</v>
      </c>
      <c r="E2585" s="751" t="s">
        <v>824</v>
      </c>
      <c r="F2585" s="751" t="s">
        <v>257</v>
      </c>
      <c r="G2585" s="752" t="s">
        <v>1681</v>
      </c>
      <c r="H2585" s="753">
        <v>51140</v>
      </c>
      <c r="I2585" s="754">
        <v>3500</v>
      </c>
      <c r="J2585" s="754">
        <v>0</v>
      </c>
      <c r="K2585" s="754">
        <v>0</v>
      </c>
      <c r="L2585" s="754">
        <v>0</v>
      </c>
      <c r="M2585" s="754">
        <f t="shared" si="105"/>
        <v>0</v>
      </c>
      <c r="N2585" s="756">
        <v>3500</v>
      </c>
      <c r="O2585" s="720">
        <f t="shared" si="106"/>
        <v>0</v>
      </c>
    </row>
    <row r="2586" spans="1:15" x14ac:dyDescent="0.25">
      <c r="A2586" s="207" t="str">
        <f>VLOOKUP(RIGHT(E2586,3)+0,SchLocTable!$A$2:$B$47,2,FALSE)</f>
        <v>Bassick HS</v>
      </c>
      <c r="B2586" s="207" t="str">
        <f>VLOOKUP(VALUE(D2586),$D$3:F$106,3,FALSE)</f>
        <v>Social Workers</v>
      </c>
      <c r="C2586" s="751" t="s">
        <v>246</v>
      </c>
      <c r="D2586" s="751" t="s">
        <v>812</v>
      </c>
      <c r="E2586" s="751" t="s">
        <v>824</v>
      </c>
      <c r="F2586" s="751" t="s">
        <v>254</v>
      </c>
      <c r="G2586" s="752" t="s">
        <v>1681</v>
      </c>
      <c r="H2586" s="753">
        <v>52360</v>
      </c>
      <c r="I2586" s="754">
        <v>4421.17</v>
      </c>
      <c r="J2586" s="754">
        <v>0</v>
      </c>
      <c r="K2586" s="754">
        <v>0</v>
      </c>
      <c r="L2586" s="754">
        <v>793.62</v>
      </c>
      <c r="M2586" s="754">
        <f t="shared" si="105"/>
        <v>793.62</v>
      </c>
      <c r="N2586" s="756">
        <v>4421.17</v>
      </c>
      <c r="O2586" s="720">
        <f t="shared" si="106"/>
        <v>0</v>
      </c>
    </row>
    <row r="2587" spans="1:15" x14ac:dyDescent="0.25">
      <c r="A2587" s="207" t="str">
        <f>VLOOKUP(RIGHT(E2587,3)+0,SchLocTable!$A$2:$B$47,2,FALSE)</f>
        <v>Bassick HS</v>
      </c>
      <c r="B2587" s="207" t="str">
        <f>VLOOKUP(VALUE(D2587),$D$3:F$106,3,FALSE)</f>
        <v>Social Workers</v>
      </c>
      <c r="C2587" s="751" t="s">
        <v>246</v>
      </c>
      <c r="D2587" s="751" t="s">
        <v>812</v>
      </c>
      <c r="E2587" s="751" t="s">
        <v>824</v>
      </c>
      <c r="F2587" s="751" t="s">
        <v>259</v>
      </c>
      <c r="G2587" s="752" t="s">
        <v>1681</v>
      </c>
      <c r="H2587" s="753">
        <v>52917</v>
      </c>
      <c r="I2587" s="754">
        <v>63868.160000000003</v>
      </c>
      <c r="J2587" s="754">
        <v>0</v>
      </c>
      <c r="K2587" s="754">
        <v>0</v>
      </c>
      <c r="L2587" s="754">
        <v>15446.08</v>
      </c>
      <c r="M2587" s="754">
        <f t="shared" si="105"/>
        <v>15446.08</v>
      </c>
      <c r="N2587" s="756">
        <v>63868.160000000003</v>
      </c>
      <c r="O2587" s="720">
        <f t="shared" si="106"/>
        <v>0</v>
      </c>
    </row>
    <row r="2588" spans="1:15" x14ac:dyDescent="0.25">
      <c r="A2588" s="207" t="str">
        <f>VLOOKUP(RIGHT(E2588,3)+0,SchLocTable!$A$2:$B$47,2,FALSE)</f>
        <v>Central HS</v>
      </c>
      <c r="B2588" s="207" t="str">
        <f>VLOOKUP(VALUE(D2588),$D$3:F$106,3,FALSE)</f>
        <v>Social Workers</v>
      </c>
      <c r="C2588" s="751" t="s">
        <v>246</v>
      </c>
      <c r="D2588" s="751" t="s">
        <v>812</v>
      </c>
      <c r="E2588" s="751" t="s">
        <v>825</v>
      </c>
      <c r="F2588" s="751" t="s">
        <v>248</v>
      </c>
      <c r="G2588" s="752">
        <v>3</v>
      </c>
      <c r="H2588" s="753">
        <v>51000</v>
      </c>
      <c r="I2588" s="754">
        <v>309459.61</v>
      </c>
      <c r="J2588" s="754">
        <v>0</v>
      </c>
      <c r="K2588" s="754">
        <v>0</v>
      </c>
      <c r="L2588" s="754">
        <v>59283.45</v>
      </c>
      <c r="M2588" s="754">
        <f t="shared" si="105"/>
        <v>59283.45</v>
      </c>
      <c r="N2588" s="756">
        <v>309459.61</v>
      </c>
      <c r="O2588" s="720">
        <f t="shared" si="106"/>
        <v>0</v>
      </c>
    </row>
    <row r="2589" spans="1:15" x14ac:dyDescent="0.25">
      <c r="A2589" s="207" t="str">
        <f>VLOOKUP(RIGHT(E2589,3)+0,SchLocTable!$A$2:$B$47,2,FALSE)</f>
        <v>Central HS</v>
      </c>
      <c r="B2589" s="207" t="str">
        <f>VLOOKUP(VALUE(D2589),$D$3:F$106,3,FALSE)</f>
        <v>Social Workers</v>
      </c>
      <c r="C2589" s="755" t="s">
        <v>246</v>
      </c>
      <c r="D2589" s="751" t="s">
        <v>812</v>
      </c>
      <c r="E2589" s="751" t="s">
        <v>825</v>
      </c>
      <c r="F2589" s="751" t="s">
        <v>257</v>
      </c>
      <c r="G2589" s="752" t="s">
        <v>1681</v>
      </c>
      <c r="H2589" s="753">
        <v>51140</v>
      </c>
      <c r="I2589" s="754">
        <v>3400</v>
      </c>
      <c r="J2589" s="754">
        <v>0</v>
      </c>
      <c r="K2589" s="754">
        <v>0</v>
      </c>
      <c r="L2589" s="754">
        <v>0</v>
      </c>
      <c r="M2589" s="754">
        <f t="shared" si="105"/>
        <v>0</v>
      </c>
      <c r="N2589" s="756">
        <v>3400</v>
      </c>
      <c r="O2589" s="720">
        <f t="shared" si="106"/>
        <v>0</v>
      </c>
    </row>
    <row r="2590" spans="1:15" x14ac:dyDescent="0.25">
      <c r="A2590" s="207" t="str">
        <f>VLOOKUP(RIGHT(E2590,3)+0,SchLocTable!$A$2:$B$47,2,FALSE)</f>
        <v>Central HS</v>
      </c>
      <c r="B2590" s="207" t="str">
        <f>VLOOKUP(VALUE(D2590),$D$3:F$106,3,FALSE)</f>
        <v>Social Workers</v>
      </c>
      <c r="C2590" s="751" t="s">
        <v>246</v>
      </c>
      <c r="D2590" s="751" t="s">
        <v>812</v>
      </c>
      <c r="E2590" s="751" t="s">
        <v>825</v>
      </c>
      <c r="F2590" s="751" t="s">
        <v>254</v>
      </c>
      <c r="G2590" s="752" t="s">
        <v>1681</v>
      </c>
      <c r="H2590" s="753">
        <v>52360</v>
      </c>
      <c r="I2590" s="754">
        <v>4463.08</v>
      </c>
      <c r="J2590" s="754">
        <v>0</v>
      </c>
      <c r="K2590" s="754">
        <v>0</v>
      </c>
      <c r="L2590" s="754">
        <v>835.53</v>
      </c>
      <c r="M2590" s="754">
        <f t="shared" si="105"/>
        <v>835.53</v>
      </c>
      <c r="N2590" s="756">
        <v>4463.08</v>
      </c>
      <c r="O2590" s="720">
        <f t="shared" si="106"/>
        <v>0</v>
      </c>
    </row>
    <row r="2591" spans="1:15" x14ac:dyDescent="0.25">
      <c r="A2591" s="207" t="str">
        <f>VLOOKUP(RIGHT(E2591,3)+0,SchLocTable!$A$2:$B$47,2,FALSE)</f>
        <v>Central HS</v>
      </c>
      <c r="B2591" s="207" t="str">
        <f>VLOOKUP(VALUE(D2591),$D$3:F$106,3,FALSE)</f>
        <v>Social Workers</v>
      </c>
      <c r="C2591" s="751" t="s">
        <v>246</v>
      </c>
      <c r="D2591" s="751" t="s">
        <v>812</v>
      </c>
      <c r="E2591" s="751" t="s">
        <v>825</v>
      </c>
      <c r="F2591" s="751" t="s">
        <v>259</v>
      </c>
      <c r="G2591" s="752" t="s">
        <v>1681</v>
      </c>
      <c r="H2591" s="753">
        <v>52917</v>
      </c>
      <c r="I2591" s="754">
        <v>23688</v>
      </c>
      <c r="J2591" s="754">
        <v>0</v>
      </c>
      <c r="K2591" s="754">
        <v>0</v>
      </c>
      <c r="L2591" s="754">
        <v>5640</v>
      </c>
      <c r="M2591" s="754">
        <f t="shared" si="105"/>
        <v>5640</v>
      </c>
      <c r="N2591" s="756">
        <v>23688</v>
      </c>
      <c r="O2591" s="720">
        <f t="shared" si="106"/>
        <v>0</v>
      </c>
    </row>
    <row r="2592" spans="1:15" x14ac:dyDescent="0.25">
      <c r="A2592" s="207" t="str">
        <f>VLOOKUP(RIGHT(E2592,3)+0,SchLocTable!$A$2:$B$47,2,FALSE)</f>
        <v>Harding HS</v>
      </c>
      <c r="B2592" s="207" t="str">
        <f>VLOOKUP(VALUE(D2592),$D$3:F$106,3,FALSE)</f>
        <v>Social Workers</v>
      </c>
      <c r="C2592" s="751" t="s">
        <v>246</v>
      </c>
      <c r="D2592" s="751" t="s">
        <v>812</v>
      </c>
      <c r="E2592" s="751" t="s">
        <v>826</v>
      </c>
      <c r="F2592" s="751" t="s">
        <v>248</v>
      </c>
      <c r="G2592" s="752">
        <v>1</v>
      </c>
      <c r="H2592" s="753">
        <v>51000</v>
      </c>
      <c r="I2592" s="754">
        <v>103153.2</v>
      </c>
      <c r="J2592" s="754">
        <v>0</v>
      </c>
      <c r="K2592" s="754">
        <v>0</v>
      </c>
      <c r="L2592" s="754">
        <v>19761.150000000001</v>
      </c>
      <c r="M2592" s="754">
        <f t="shared" si="105"/>
        <v>19761.150000000001</v>
      </c>
      <c r="N2592" s="756">
        <v>103153.2</v>
      </c>
      <c r="O2592" s="720">
        <f t="shared" si="106"/>
        <v>0</v>
      </c>
    </row>
    <row r="2593" spans="1:15" x14ac:dyDescent="0.25">
      <c r="A2593" s="207" t="str">
        <f>VLOOKUP(RIGHT(E2593,3)+0,SchLocTable!$A$2:$B$47,2,FALSE)</f>
        <v>Harding HS</v>
      </c>
      <c r="B2593" s="207" t="str">
        <f>VLOOKUP(VALUE(D2593),$D$3:F$106,3,FALSE)</f>
        <v>Social Workers</v>
      </c>
      <c r="C2593" s="751" t="s">
        <v>246</v>
      </c>
      <c r="D2593" s="751" t="s">
        <v>812</v>
      </c>
      <c r="E2593" s="751" t="s">
        <v>826</v>
      </c>
      <c r="F2593" s="751" t="s">
        <v>257</v>
      </c>
      <c r="G2593" s="752" t="s">
        <v>1681</v>
      </c>
      <c r="H2593" s="753">
        <v>51140</v>
      </c>
      <c r="I2593" s="754">
        <v>1200</v>
      </c>
      <c r="J2593" s="754">
        <v>0</v>
      </c>
      <c r="K2593" s="754">
        <v>0</v>
      </c>
      <c r="L2593" s="754">
        <v>0</v>
      </c>
      <c r="M2593" s="754">
        <f t="shared" si="105"/>
        <v>0</v>
      </c>
      <c r="N2593" s="756">
        <v>1200</v>
      </c>
      <c r="O2593" s="720">
        <f t="shared" si="106"/>
        <v>0</v>
      </c>
    </row>
    <row r="2594" spans="1:15" x14ac:dyDescent="0.25">
      <c r="A2594" s="207" t="str">
        <f>VLOOKUP(RIGHT(E2594,3)+0,SchLocTable!$A$2:$B$47,2,FALSE)</f>
        <v>Harding HS</v>
      </c>
      <c r="B2594" s="207" t="str">
        <f>VLOOKUP(VALUE(D2594),$D$3:F$106,3,FALSE)</f>
        <v>Social Workers</v>
      </c>
      <c r="C2594" s="751" t="s">
        <v>246</v>
      </c>
      <c r="D2594" s="751" t="s">
        <v>812</v>
      </c>
      <c r="E2594" s="751" t="s">
        <v>826</v>
      </c>
      <c r="F2594" s="751" t="s">
        <v>254</v>
      </c>
      <c r="G2594" s="752" t="s">
        <v>1681</v>
      </c>
      <c r="H2594" s="753">
        <v>52360</v>
      </c>
      <c r="I2594" s="754">
        <v>1460.07</v>
      </c>
      <c r="J2594" s="754">
        <v>0</v>
      </c>
      <c r="K2594" s="754">
        <v>0</v>
      </c>
      <c r="L2594" s="754">
        <v>250.89</v>
      </c>
      <c r="M2594" s="754">
        <f t="shared" si="105"/>
        <v>250.89</v>
      </c>
      <c r="N2594" s="756">
        <v>1460.07</v>
      </c>
      <c r="O2594" s="720">
        <f t="shared" si="106"/>
        <v>0</v>
      </c>
    </row>
    <row r="2595" spans="1:15" x14ac:dyDescent="0.25">
      <c r="A2595" s="207" t="str">
        <f>VLOOKUP(RIGHT(E2595,3)+0,SchLocTable!$A$2:$B$47,2,FALSE)</f>
        <v>Harding HS</v>
      </c>
      <c r="B2595" s="207" t="str">
        <f>VLOOKUP(VALUE(D2595),$D$3:F$106,3,FALSE)</f>
        <v>Social Workers</v>
      </c>
      <c r="C2595" s="751" t="s">
        <v>246</v>
      </c>
      <c r="D2595" s="751" t="s">
        <v>812</v>
      </c>
      <c r="E2595" s="751" t="s">
        <v>826</v>
      </c>
      <c r="F2595" s="751" t="s">
        <v>259</v>
      </c>
      <c r="G2595" s="752" t="s">
        <v>1681</v>
      </c>
      <c r="H2595" s="753">
        <v>52917</v>
      </c>
      <c r="I2595" s="754">
        <v>35075.879999999997</v>
      </c>
      <c r="J2595" s="754">
        <v>0</v>
      </c>
      <c r="K2595" s="754">
        <v>0</v>
      </c>
      <c r="L2595" s="754">
        <v>8351.4</v>
      </c>
      <c r="M2595" s="754">
        <f t="shared" si="105"/>
        <v>8351.4</v>
      </c>
      <c r="N2595" s="756">
        <v>35075.879999999997</v>
      </c>
      <c r="O2595" s="720">
        <f t="shared" si="106"/>
        <v>0</v>
      </c>
    </row>
    <row r="2596" spans="1:15" x14ac:dyDescent="0.25">
      <c r="A2596" s="207" t="e">
        <f>VLOOKUP(RIGHT(E2596,3)+0,SchLocTable!$A$2:$B$47,2,FALSE)</f>
        <v>#N/A</v>
      </c>
      <c r="B2596" s="207" t="str">
        <f>VLOOKUP(VALUE(D2596),$D$3:F$106,3,FALSE)</f>
        <v>Psychologists</v>
      </c>
      <c r="C2596" s="751" t="s">
        <v>246</v>
      </c>
      <c r="D2596" s="751" t="s">
        <v>827</v>
      </c>
      <c r="E2596" s="751" t="s">
        <v>828</v>
      </c>
      <c r="F2596" s="751" t="s">
        <v>248</v>
      </c>
      <c r="G2596" s="752">
        <v>14.399999999999999</v>
      </c>
      <c r="H2596" s="753">
        <v>51000</v>
      </c>
      <c r="I2596" s="754">
        <v>1136311.8899999999</v>
      </c>
      <c r="J2596" s="754">
        <v>0</v>
      </c>
      <c r="K2596" s="754">
        <v>0</v>
      </c>
      <c r="L2596" s="754">
        <v>217661.62</v>
      </c>
      <c r="M2596" s="754">
        <f t="shared" si="105"/>
        <v>217661.62</v>
      </c>
      <c r="N2596" s="756">
        <v>1136311.8899999999</v>
      </c>
      <c r="O2596" s="720">
        <f t="shared" si="106"/>
        <v>0</v>
      </c>
    </row>
    <row r="2597" spans="1:15" x14ac:dyDescent="0.25">
      <c r="A2597" s="207" t="e">
        <f>VLOOKUP(RIGHT(E2597,3)+0,SchLocTable!$A$2:$B$47,2,FALSE)</f>
        <v>#N/A</v>
      </c>
      <c r="B2597" s="207" t="str">
        <f>VLOOKUP(VALUE(D2597),$D$3:F$106,3,FALSE)</f>
        <v>Psychologists</v>
      </c>
      <c r="C2597" s="751" t="s">
        <v>246</v>
      </c>
      <c r="D2597" s="751" t="s">
        <v>827</v>
      </c>
      <c r="E2597" s="751" t="s">
        <v>828</v>
      </c>
      <c r="F2597" s="751" t="s">
        <v>257</v>
      </c>
      <c r="G2597" s="752" t="s">
        <v>1681</v>
      </c>
      <c r="H2597" s="753">
        <v>51140</v>
      </c>
      <c r="I2597" s="754">
        <v>4420</v>
      </c>
      <c r="J2597" s="754">
        <v>0</v>
      </c>
      <c r="K2597" s="754">
        <v>0</v>
      </c>
      <c r="L2597" s="754">
        <v>0</v>
      </c>
      <c r="M2597" s="754">
        <f t="shared" si="105"/>
        <v>0</v>
      </c>
      <c r="N2597" s="756">
        <v>4420</v>
      </c>
      <c r="O2597" s="720">
        <f t="shared" si="106"/>
        <v>0</v>
      </c>
    </row>
    <row r="2598" spans="1:15" x14ac:dyDescent="0.25">
      <c r="A2598" s="207" t="e">
        <f>VLOOKUP(RIGHT(E2598,3)+0,SchLocTable!$A$2:$B$47,2,FALSE)</f>
        <v>#N/A</v>
      </c>
      <c r="B2598" s="207" t="str">
        <f>VLOOKUP(VALUE(D2598),$D$3:F$106,3,FALSE)</f>
        <v>Psychologists</v>
      </c>
      <c r="C2598" s="751" t="s">
        <v>246</v>
      </c>
      <c r="D2598" s="751" t="s">
        <v>827</v>
      </c>
      <c r="E2598" s="751" t="s">
        <v>828</v>
      </c>
      <c r="F2598" s="751" t="s">
        <v>402</v>
      </c>
      <c r="G2598" s="752" t="s">
        <v>1681</v>
      </c>
      <c r="H2598" s="753">
        <v>51400</v>
      </c>
      <c r="I2598" s="754">
        <v>38215.72</v>
      </c>
      <c r="J2598" s="754">
        <v>0</v>
      </c>
      <c r="K2598" s="754">
        <v>0</v>
      </c>
      <c r="L2598" s="754">
        <v>1651.39</v>
      </c>
      <c r="M2598" s="754">
        <f t="shared" si="105"/>
        <v>1651.39</v>
      </c>
      <c r="N2598" s="756">
        <v>38215.72</v>
      </c>
      <c r="O2598" s="720">
        <f t="shared" si="106"/>
        <v>0</v>
      </c>
    </row>
    <row r="2599" spans="1:15" x14ac:dyDescent="0.25">
      <c r="A2599" s="207" t="e">
        <f>VLOOKUP(RIGHT(E2599,3)+0,SchLocTable!$A$2:$B$47,2,FALSE)</f>
        <v>#N/A</v>
      </c>
      <c r="B2599" s="207" t="str">
        <f>VLOOKUP(VALUE(D2599),$D$3:F$106,3,FALSE)</f>
        <v>Psychologists</v>
      </c>
      <c r="C2599" s="751" t="s">
        <v>246</v>
      </c>
      <c r="D2599" s="751" t="s">
        <v>827</v>
      </c>
      <c r="E2599" s="751" t="s">
        <v>828</v>
      </c>
      <c r="F2599" s="751" t="s">
        <v>454</v>
      </c>
      <c r="G2599" s="752" t="s">
        <v>1681</v>
      </c>
      <c r="H2599" s="753">
        <v>51404</v>
      </c>
      <c r="I2599" s="754">
        <v>0</v>
      </c>
      <c r="J2599" s="754">
        <v>0</v>
      </c>
      <c r="K2599" s="754">
        <v>0</v>
      </c>
      <c r="L2599" s="754">
        <v>0</v>
      </c>
      <c r="M2599" s="754">
        <f t="shared" si="105"/>
        <v>0</v>
      </c>
      <c r="N2599" s="756">
        <v>0</v>
      </c>
      <c r="O2599" s="720">
        <f t="shared" si="106"/>
        <v>0</v>
      </c>
    </row>
    <row r="2600" spans="1:15" x14ac:dyDescent="0.25">
      <c r="A2600" s="207" t="e">
        <f>VLOOKUP(RIGHT(E2600,3)+0,SchLocTable!$A$2:$B$47,2,FALSE)</f>
        <v>#N/A</v>
      </c>
      <c r="B2600" s="207" t="str">
        <f>VLOOKUP(VALUE(D2600),$D$3:F$106,3,FALSE)</f>
        <v>Psychologists</v>
      </c>
      <c r="C2600" s="751" t="s">
        <v>246</v>
      </c>
      <c r="D2600" s="751" t="s">
        <v>827</v>
      </c>
      <c r="E2600" s="751" t="s">
        <v>828</v>
      </c>
      <c r="F2600" s="751" t="s">
        <v>254</v>
      </c>
      <c r="G2600" s="752" t="s">
        <v>1681</v>
      </c>
      <c r="H2600" s="753">
        <v>52360</v>
      </c>
      <c r="I2600" s="754">
        <v>16820.259999999998</v>
      </c>
      <c r="J2600" s="754">
        <v>0</v>
      </c>
      <c r="K2600" s="754">
        <v>0</v>
      </c>
      <c r="L2600" s="754">
        <v>2994.59</v>
      </c>
      <c r="M2600" s="754">
        <f t="shared" si="105"/>
        <v>2994.59</v>
      </c>
      <c r="N2600" s="756">
        <v>16820.259999999998</v>
      </c>
      <c r="O2600" s="720">
        <f t="shared" si="106"/>
        <v>0</v>
      </c>
    </row>
    <row r="2601" spans="1:15" x14ac:dyDescent="0.25">
      <c r="A2601" s="207" t="e">
        <f>VLOOKUP(RIGHT(E2601,3)+0,SchLocTable!$A$2:$B$47,2,FALSE)</f>
        <v>#N/A</v>
      </c>
      <c r="B2601" s="207" t="str">
        <f>VLOOKUP(VALUE(D2601),$D$3:F$106,3,FALSE)</f>
        <v>Psychologists</v>
      </c>
      <c r="C2601" s="755" t="s">
        <v>246</v>
      </c>
      <c r="D2601" s="751" t="s">
        <v>827</v>
      </c>
      <c r="E2601" s="751" t="s">
        <v>828</v>
      </c>
      <c r="F2601" s="751" t="s">
        <v>259</v>
      </c>
      <c r="G2601" s="752" t="s">
        <v>1681</v>
      </c>
      <c r="H2601" s="753">
        <v>52917</v>
      </c>
      <c r="I2601" s="754">
        <v>180615.98</v>
      </c>
      <c r="J2601" s="754">
        <v>0</v>
      </c>
      <c r="K2601" s="754">
        <v>0</v>
      </c>
      <c r="L2601" s="754">
        <v>43417.58</v>
      </c>
      <c r="M2601" s="754">
        <f t="shared" si="105"/>
        <v>43417.58</v>
      </c>
      <c r="N2601" s="756">
        <v>180615.98</v>
      </c>
      <c r="O2601" s="720">
        <f t="shared" si="106"/>
        <v>0</v>
      </c>
    </row>
    <row r="2602" spans="1:15" x14ac:dyDescent="0.25">
      <c r="A2602" s="207" t="e">
        <f>VLOOKUP(RIGHT(E2602,3)+0,SchLocTable!$A$2:$B$47,2,FALSE)</f>
        <v>#N/A</v>
      </c>
      <c r="B2602" s="207" t="str">
        <f>VLOOKUP(VALUE(D2602),$D$3:F$106,3,FALSE)</f>
        <v>Psychologists</v>
      </c>
      <c r="C2602" s="751" t="s">
        <v>246</v>
      </c>
      <c r="D2602" s="751" t="s">
        <v>827</v>
      </c>
      <c r="E2602" s="751" t="s">
        <v>828</v>
      </c>
      <c r="F2602" s="751" t="s">
        <v>829</v>
      </c>
      <c r="G2602" s="752" t="s">
        <v>1681</v>
      </c>
      <c r="H2602" s="753">
        <v>56075</v>
      </c>
      <c r="I2602" s="754">
        <v>62632.83</v>
      </c>
      <c r="J2602" s="754">
        <v>0</v>
      </c>
      <c r="K2602" s="754">
        <v>0</v>
      </c>
      <c r="L2602" s="754">
        <v>0</v>
      </c>
      <c r="M2602" s="754">
        <f t="shared" si="105"/>
        <v>0</v>
      </c>
      <c r="N2602" s="756">
        <v>62632.83</v>
      </c>
      <c r="O2602" s="720">
        <f t="shared" si="106"/>
        <v>0</v>
      </c>
    </row>
    <row r="2603" spans="1:15" x14ac:dyDescent="0.25">
      <c r="A2603" s="207" t="str">
        <f>VLOOKUP(RIGHT(E2603,3)+0,SchLocTable!$A$2:$B$47,2,FALSE)</f>
        <v>Barnum</v>
      </c>
      <c r="B2603" s="207" t="str">
        <f>VLOOKUP(VALUE(D2603),$D$3:F$106,3,FALSE)</f>
        <v>Psychologists</v>
      </c>
      <c r="C2603" s="751" t="s">
        <v>246</v>
      </c>
      <c r="D2603" s="751" t="s">
        <v>827</v>
      </c>
      <c r="E2603" s="751" t="s">
        <v>1502</v>
      </c>
      <c r="F2603" s="751" t="s">
        <v>248</v>
      </c>
      <c r="G2603" s="752">
        <v>1</v>
      </c>
      <c r="H2603" s="753">
        <v>51000</v>
      </c>
      <c r="I2603" s="754">
        <v>102758.04</v>
      </c>
      <c r="J2603" s="754">
        <v>0</v>
      </c>
      <c r="K2603" s="754">
        <v>0</v>
      </c>
      <c r="L2603" s="754">
        <v>24466.2</v>
      </c>
      <c r="M2603" s="754">
        <f t="shared" si="105"/>
        <v>24466.2</v>
      </c>
      <c r="N2603" s="756">
        <v>102758.04</v>
      </c>
      <c r="O2603" s="720">
        <f t="shared" si="106"/>
        <v>0</v>
      </c>
    </row>
    <row r="2604" spans="1:15" x14ac:dyDescent="0.25">
      <c r="A2604" s="207" t="str">
        <f>VLOOKUP(RIGHT(E2604,3)+0,SchLocTable!$A$2:$B$47,2,FALSE)</f>
        <v>Barnum</v>
      </c>
      <c r="B2604" s="207" t="str">
        <f>VLOOKUP(VALUE(D2604),$D$3:F$106,3,FALSE)</f>
        <v>Psychologists</v>
      </c>
      <c r="C2604" s="751" t="s">
        <v>246</v>
      </c>
      <c r="D2604" s="751" t="s">
        <v>827</v>
      </c>
      <c r="E2604" s="751" t="s">
        <v>1502</v>
      </c>
      <c r="F2604" s="751" t="s">
        <v>257</v>
      </c>
      <c r="G2604" s="752" t="s">
        <v>1681</v>
      </c>
      <c r="H2604" s="753">
        <v>51140</v>
      </c>
      <c r="I2604" s="754">
        <v>1300</v>
      </c>
      <c r="J2604" s="754">
        <v>0</v>
      </c>
      <c r="K2604" s="754">
        <v>0</v>
      </c>
      <c r="L2604" s="754">
        <v>0</v>
      </c>
      <c r="M2604" s="754">
        <f t="shared" si="105"/>
        <v>0</v>
      </c>
      <c r="N2604" s="756">
        <v>1300</v>
      </c>
      <c r="O2604" s="720">
        <f t="shared" si="106"/>
        <v>0</v>
      </c>
    </row>
    <row r="2605" spans="1:15" x14ac:dyDescent="0.25">
      <c r="A2605" s="207" t="str">
        <f>VLOOKUP(RIGHT(E2605,3)+0,SchLocTable!$A$2:$B$47,2,FALSE)</f>
        <v>Barnum</v>
      </c>
      <c r="B2605" s="207" t="str">
        <f>VLOOKUP(VALUE(D2605),$D$3:F$106,3,FALSE)</f>
        <v>Psychologists</v>
      </c>
      <c r="C2605" s="755" t="s">
        <v>246</v>
      </c>
      <c r="D2605" s="751" t="s">
        <v>827</v>
      </c>
      <c r="E2605" s="751" t="s">
        <v>1502</v>
      </c>
      <c r="F2605" s="751" t="s">
        <v>402</v>
      </c>
      <c r="G2605" s="752" t="s">
        <v>1681</v>
      </c>
      <c r="H2605" s="753">
        <v>51400</v>
      </c>
      <c r="I2605" s="754">
        <v>6349.95</v>
      </c>
      <c r="J2605" s="754">
        <v>0</v>
      </c>
      <c r="K2605" s="754">
        <v>0</v>
      </c>
      <c r="L2605" s="754">
        <v>0</v>
      </c>
      <c r="M2605" s="754">
        <f t="shared" si="105"/>
        <v>0</v>
      </c>
      <c r="N2605" s="756">
        <v>6349.95</v>
      </c>
      <c r="O2605" s="720">
        <f t="shared" si="106"/>
        <v>0</v>
      </c>
    </row>
    <row r="2606" spans="1:15" x14ac:dyDescent="0.25">
      <c r="A2606" s="207" t="str">
        <f>VLOOKUP(RIGHT(E2606,3)+0,SchLocTable!$A$2:$B$47,2,FALSE)</f>
        <v>Barnum</v>
      </c>
      <c r="B2606" s="207" t="str">
        <f>VLOOKUP(VALUE(D2606),$D$3:F$106,3,FALSE)</f>
        <v>Psychologists</v>
      </c>
      <c r="C2606" s="751" t="s">
        <v>246</v>
      </c>
      <c r="D2606" s="751" t="s">
        <v>827</v>
      </c>
      <c r="E2606" s="751" t="s">
        <v>1502</v>
      </c>
      <c r="F2606" s="751" t="s">
        <v>454</v>
      </c>
      <c r="G2606" s="752" t="s">
        <v>1681</v>
      </c>
      <c r="H2606" s="753">
        <v>51404</v>
      </c>
      <c r="I2606" s="754">
        <v>0</v>
      </c>
      <c r="J2606" s="754">
        <v>0</v>
      </c>
      <c r="K2606" s="754">
        <v>0</v>
      </c>
      <c r="L2606" s="754">
        <v>0</v>
      </c>
      <c r="M2606" s="754">
        <f t="shared" si="105"/>
        <v>0</v>
      </c>
      <c r="N2606" s="756">
        <v>0</v>
      </c>
      <c r="O2606" s="720">
        <f t="shared" si="106"/>
        <v>0</v>
      </c>
    </row>
    <row r="2607" spans="1:15" x14ac:dyDescent="0.25">
      <c r="A2607" s="207" t="str">
        <f>VLOOKUP(RIGHT(E2607,3)+0,SchLocTable!$A$2:$B$47,2,FALSE)</f>
        <v>Barnum</v>
      </c>
      <c r="B2607" s="207" t="str">
        <f>VLOOKUP(VALUE(D2607),$D$3:F$106,3,FALSE)</f>
        <v>Psychologists</v>
      </c>
      <c r="C2607" s="751" t="s">
        <v>246</v>
      </c>
      <c r="D2607" s="751" t="s">
        <v>827</v>
      </c>
      <c r="E2607" s="751" t="s">
        <v>1502</v>
      </c>
      <c r="F2607" s="751" t="s">
        <v>259</v>
      </c>
      <c r="G2607" s="752" t="s">
        <v>1681</v>
      </c>
      <c r="H2607" s="753">
        <v>52917</v>
      </c>
      <c r="I2607" s="754">
        <v>11844</v>
      </c>
      <c r="J2607" s="754">
        <v>0</v>
      </c>
      <c r="K2607" s="754">
        <v>0</v>
      </c>
      <c r="L2607" s="754">
        <v>2820</v>
      </c>
      <c r="M2607" s="754">
        <f t="shared" si="105"/>
        <v>2820</v>
      </c>
      <c r="N2607" s="756">
        <v>11844</v>
      </c>
      <c r="O2607" s="720">
        <f t="shared" si="106"/>
        <v>0</v>
      </c>
    </row>
    <row r="2608" spans="1:15" x14ac:dyDescent="0.25">
      <c r="A2608" s="207" t="str">
        <f>VLOOKUP(RIGHT(E2608,3)+0,SchLocTable!$A$2:$B$47,2,FALSE)</f>
        <v>Marin</v>
      </c>
      <c r="B2608" s="207" t="str">
        <f>VLOOKUP(VALUE(D2608),$D$3:F$106,3,FALSE)</f>
        <v>Psychologists</v>
      </c>
      <c r="C2608" s="755" t="s">
        <v>246</v>
      </c>
      <c r="D2608" s="751" t="s">
        <v>827</v>
      </c>
      <c r="E2608" s="751" t="s">
        <v>2008</v>
      </c>
      <c r="F2608" s="751" t="s">
        <v>248</v>
      </c>
      <c r="G2608" s="752">
        <v>1</v>
      </c>
      <c r="H2608" s="753">
        <v>51000</v>
      </c>
      <c r="I2608" s="754">
        <v>94517.23</v>
      </c>
      <c r="J2608" s="754">
        <v>0</v>
      </c>
      <c r="K2608" s="754">
        <v>0</v>
      </c>
      <c r="L2608" s="754">
        <v>18106.75</v>
      </c>
      <c r="M2608" s="754">
        <f t="shared" si="105"/>
        <v>18106.75</v>
      </c>
      <c r="N2608" s="756">
        <v>94517.23</v>
      </c>
      <c r="O2608" s="720">
        <f t="shared" si="106"/>
        <v>0</v>
      </c>
    </row>
    <row r="2609" spans="1:15" x14ac:dyDescent="0.25">
      <c r="A2609" s="207" t="str">
        <f>VLOOKUP(RIGHT(E2609,3)+0,SchLocTable!$A$2:$B$47,2,FALSE)</f>
        <v>Marin</v>
      </c>
      <c r="B2609" s="207" t="str">
        <f>VLOOKUP(VALUE(D2609),$D$3:F$106,3,FALSE)</f>
        <v>Psychologists</v>
      </c>
      <c r="C2609" s="751" t="s">
        <v>246</v>
      </c>
      <c r="D2609" s="751" t="s">
        <v>827</v>
      </c>
      <c r="E2609" s="751" t="s">
        <v>2008</v>
      </c>
      <c r="F2609" s="751" t="s">
        <v>402</v>
      </c>
      <c r="G2609" s="752" t="s">
        <v>1681</v>
      </c>
      <c r="H2609" s="753">
        <v>51400</v>
      </c>
      <c r="I2609" s="754">
        <v>2581.13</v>
      </c>
      <c r="J2609" s="754">
        <v>0</v>
      </c>
      <c r="K2609" s="754">
        <v>0</v>
      </c>
      <c r="L2609" s="754">
        <v>0</v>
      </c>
      <c r="M2609" s="754">
        <f t="shared" si="105"/>
        <v>0</v>
      </c>
      <c r="N2609" s="756">
        <v>2581.13</v>
      </c>
      <c r="O2609" s="720">
        <f t="shared" si="106"/>
        <v>0</v>
      </c>
    </row>
    <row r="2610" spans="1:15" x14ac:dyDescent="0.25">
      <c r="A2610" s="207" t="str">
        <f>VLOOKUP(RIGHT(E2610,3)+0,SchLocTable!$A$2:$B$47,2,FALSE)</f>
        <v>Marin</v>
      </c>
      <c r="B2610" s="207" t="str">
        <f>VLOOKUP(VALUE(D2610),$D$3:F$106,3,FALSE)</f>
        <v>Psychologists</v>
      </c>
      <c r="C2610" s="751" t="s">
        <v>246</v>
      </c>
      <c r="D2610" s="751" t="s">
        <v>827</v>
      </c>
      <c r="E2610" s="751" t="s">
        <v>2008</v>
      </c>
      <c r="F2610" s="751" t="s">
        <v>254</v>
      </c>
      <c r="G2610" s="752" t="s">
        <v>1681</v>
      </c>
      <c r="H2610" s="753">
        <v>52360</v>
      </c>
      <c r="I2610" s="754">
        <v>1358.46</v>
      </c>
      <c r="J2610" s="754">
        <v>0</v>
      </c>
      <c r="K2610" s="754">
        <v>0</v>
      </c>
      <c r="L2610" s="754">
        <v>250.51</v>
      </c>
      <c r="M2610" s="754">
        <f t="shared" si="105"/>
        <v>250.51</v>
      </c>
      <c r="N2610" s="756">
        <v>1358.46</v>
      </c>
      <c r="O2610" s="720">
        <f t="shared" si="106"/>
        <v>0</v>
      </c>
    </row>
    <row r="2611" spans="1:15" x14ac:dyDescent="0.25">
      <c r="A2611" s="207" t="str">
        <f>VLOOKUP(RIGHT(E2611,3)+0,SchLocTable!$A$2:$B$47,2,FALSE)</f>
        <v>Marin</v>
      </c>
      <c r="B2611" s="207" t="str">
        <f>VLOOKUP(VALUE(D2611),$D$3:F$106,3,FALSE)</f>
        <v>Psychologists</v>
      </c>
      <c r="C2611" s="751" t="s">
        <v>246</v>
      </c>
      <c r="D2611" s="751" t="s">
        <v>827</v>
      </c>
      <c r="E2611" s="751" t="s">
        <v>2008</v>
      </c>
      <c r="F2611" s="751" t="s">
        <v>259</v>
      </c>
      <c r="G2611" s="752" t="s">
        <v>1681</v>
      </c>
      <c r="H2611" s="753">
        <v>52917</v>
      </c>
      <c r="I2611" s="754">
        <v>11844</v>
      </c>
      <c r="J2611" s="754">
        <v>0</v>
      </c>
      <c r="K2611" s="754">
        <v>0</v>
      </c>
      <c r="L2611" s="754">
        <v>2820</v>
      </c>
      <c r="M2611" s="754">
        <f t="shared" si="105"/>
        <v>2820</v>
      </c>
      <c r="N2611" s="756">
        <v>11844</v>
      </c>
      <c r="O2611" s="720">
        <f t="shared" si="106"/>
        <v>0</v>
      </c>
    </row>
    <row r="2612" spans="1:15" x14ac:dyDescent="0.25">
      <c r="A2612" s="207" t="str">
        <f>VLOOKUP(RIGHT(E2612,3)+0,SchLocTable!$A$2:$B$47,2,FALSE)</f>
        <v>Madison</v>
      </c>
      <c r="B2612" s="207" t="str">
        <f>VLOOKUP(VALUE(D2612),$D$3:F$106,3,FALSE)</f>
        <v>Psychologists</v>
      </c>
      <c r="C2612" s="751" t="s">
        <v>246</v>
      </c>
      <c r="D2612" s="751" t="s">
        <v>827</v>
      </c>
      <c r="E2612" s="751" t="s">
        <v>1683</v>
      </c>
      <c r="F2612" s="751" t="s">
        <v>248</v>
      </c>
      <c r="G2612" s="752" t="s">
        <v>1681</v>
      </c>
      <c r="H2612" s="753">
        <v>51000</v>
      </c>
      <c r="I2612" s="754">
        <v>0</v>
      </c>
      <c r="J2612" s="754">
        <v>0</v>
      </c>
      <c r="K2612" s="754">
        <v>0</v>
      </c>
      <c r="L2612" s="754">
        <v>0</v>
      </c>
      <c r="M2612" s="754">
        <f t="shared" si="105"/>
        <v>0</v>
      </c>
      <c r="N2612" s="756">
        <v>0</v>
      </c>
      <c r="O2612" s="720">
        <f t="shared" si="106"/>
        <v>0</v>
      </c>
    </row>
    <row r="2613" spans="1:15" x14ac:dyDescent="0.25">
      <c r="A2613" s="207" t="str">
        <f>VLOOKUP(RIGHT(E2613,3)+0,SchLocTable!$A$2:$B$47,2,FALSE)</f>
        <v>Madison</v>
      </c>
      <c r="B2613" s="207" t="str">
        <f>VLOOKUP(VALUE(D2613),$D$3:F$106,3,FALSE)</f>
        <v>Psychologists</v>
      </c>
      <c r="C2613" s="751" t="s">
        <v>246</v>
      </c>
      <c r="D2613" s="751" t="s">
        <v>827</v>
      </c>
      <c r="E2613" s="751" t="s">
        <v>1683</v>
      </c>
      <c r="F2613" s="751" t="s">
        <v>402</v>
      </c>
      <c r="G2613" s="752" t="s">
        <v>1681</v>
      </c>
      <c r="H2613" s="753">
        <v>51400</v>
      </c>
      <c r="I2613" s="754">
        <v>0</v>
      </c>
      <c r="J2613" s="754">
        <v>0</v>
      </c>
      <c r="K2613" s="754">
        <v>0</v>
      </c>
      <c r="L2613" s="754">
        <v>0</v>
      </c>
      <c r="M2613" s="754">
        <f t="shared" si="105"/>
        <v>0</v>
      </c>
      <c r="N2613" s="756">
        <v>0</v>
      </c>
      <c r="O2613" s="720">
        <f t="shared" si="106"/>
        <v>0</v>
      </c>
    </row>
    <row r="2614" spans="1:15" x14ac:dyDescent="0.25">
      <c r="A2614" s="207" t="str">
        <f>VLOOKUP(RIGHT(E2614,3)+0,SchLocTable!$A$2:$B$47,2,FALSE)</f>
        <v>Madison</v>
      </c>
      <c r="B2614" s="207" t="str">
        <f>VLOOKUP(VALUE(D2614),$D$3:F$106,3,FALSE)</f>
        <v>Psychologists</v>
      </c>
      <c r="C2614" s="755" t="s">
        <v>246</v>
      </c>
      <c r="D2614" s="751" t="s">
        <v>827</v>
      </c>
      <c r="E2614" s="751" t="s">
        <v>1683</v>
      </c>
      <c r="F2614" s="751" t="s">
        <v>254</v>
      </c>
      <c r="G2614" s="752" t="s">
        <v>1681</v>
      </c>
      <c r="H2614" s="753">
        <v>52360</v>
      </c>
      <c r="I2614" s="754">
        <v>0</v>
      </c>
      <c r="J2614" s="754">
        <v>0</v>
      </c>
      <c r="K2614" s="754">
        <v>0</v>
      </c>
      <c r="L2614" s="754">
        <v>0</v>
      </c>
      <c r="M2614" s="754">
        <f t="shared" si="105"/>
        <v>0</v>
      </c>
      <c r="N2614" s="756">
        <v>0</v>
      </c>
      <c r="O2614" s="720">
        <f t="shared" si="106"/>
        <v>0</v>
      </c>
    </row>
    <row r="2615" spans="1:15" x14ac:dyDescent="0.25">
      <c r="A2615" s="207" t="str">
        <f>VLOOKUP(RIGHT(E2615,3)+0,SchLocTable!$A$2:$B$47,2,FALSE)</f>
        <v>Madison</v>
      </c>
      <c r="B2615" s="207" t="str">
        <f>VLOOKUP(VALUE(D2615),$D$3:F$106,3,FALSE)</f>
        <v>Psychologists</v>
      </c>
      <c r="C2615" s="751" t="s">
        <v>246</v>
      </c>
      <c r="D2615" s="751" t="s">
        <v>827</v>
      </c>
      <c r="E2615" s="751" t="s">
        <v>1683</v>
      </c>
      <c r="F2615" s="751" t="s">
        <v>259</v>
      </c>
      <c r="G2615" s="752" t="s">
        <v>1681</v>
      </c>
      <c r="H2615" s="753">
        <v>52917</v>
      </c>
      <c r="I2615" s="754">
        <v>0</v>
      </c>
      <c r="J2615" s="754">
        <v>0</v>
      </c>
      <c r="K2615" s="754">
        <v>0</v>
      </c>
      <c r="L2615" s="754">
        <v>0</v>
      </c>
      <c r="M2615" s="754">
        <f t="shared" si="105"/>
        <v>0</v>
      </c>
      <c r="N2615" s="756">
        <v>0</v>
      </c>
      <c r="O2615" s="720">
        <f t="shared" si="106"/>
        <v>0</v>
      </c>
    </row>
    <row r="2616" spans="1:15" x14ac:dyDescent="0.25">
      <c r="A2616" s="207" t="str">
        <f>VLOOKUP(RIGHT(E2616,3)+0,SchLocTable!$A$2:$B$47,2,FALSE)</f>
        <v>Tisdale</v>
      </c>
      <c r="B2616" s="207" t="str">
        <f>VLOOKUP(VALUE(D2616),$D$3:F$106,3,FALSE)</f>
        <v>Psychologists</v>
      </c>
      <c r="C2616" s="755" t="s">
        <v>246</v>
      </c>
      <c r="D2616" s="751" t="s">
        <v>827</v>
      </c>
      <c r="E2616" s="751" t="s">
        <v>830</v>
      </c>
      <c r="F2616" s="751" t="s">
        <v>248</v>
      </c>
      <c r="G2616" s="752">
        <v>1</v>
      </c>
      <c r="H2616" s="753">
        <v>51000</v>
      </c>
      <c r="I2616" s="754">
        <v>102758.04</v>
      </c>
      <c r="J2616" s="754">
        <v>0</v>
      </c>
      <c r="K2616" s="754">
        <v>0</v>
      </c>
      <c r="L2616" s="754">
        <v>24466.2</v>
      </c>
      <c r="M2616" s="754">
        <f t="shared" si="105"/>
        <v>24466.2</v>
      </c>
      <c r="N2616" s="756">
        <v>102758.04</v>
      </c>
      <c r="O2616" s="720">
        <f t="shared" si="106"/>
        <v>0</v>
      </c>
    </row>
    <row r="2617" spans="1:15" x14ac:dyDescent="0.25">
      <c r="A2617" s="207" t="str">
        <f>VLOOKUP(RIGHT(E2617,3)+0,SchLocTable!$A$2:$B$47,2,FALSE)</f>
        <v>Tisdale</v>
      </c>
      <c r="B2617" s="207" t="str">
        <f>VLOOKUP(VALUE(D2617),$D$3:F$106,3,FALSE)</f>
        <v>Psychologists</v>
      </c>
      <c r="C2617" s="751" t="s">
        <v>246</v>
      </c>
      <c r="D2617" s="751" t="s">
        <v>827</v>
      </c>
      <c r="E2617" s="751" t="s">
        <v>830</v>
      </c>
      <c r="F2617" s="751" t="s">
        <v>257</v>
      </c>
      <c r="G2617" s="752" t="s">
        <v>1681</v>
      </c>
      <c r="H2617" s="753">
        <v>51140</v>
      </c>
      <c r="I2617" s="754">
        <v>1100</v>
      </c>
      <c r="J2617" s="754">
        <v>0</v>
      </c>
      <c r="K2617" s="754">
        <v>0</v>
      </c>
      <c r="L2617" s="754">
        <v>0</v>
      </c>
      <c r="M2617" s="754">
        <f t="shared" si="105"/>
        <v>0</v>
      </c>
      <c r="N2617" s="756">
        <v>1100</v>
      </c>
      <c r="O2617" s="720">
        <f t="shared" si="106"/>
        <v>0</v>
      </c>
    </row>
    <row r="2618" spans="1:15" x14ac:dyDescent="0.25">
      <c r="A2618" s="207" t="str">
        <f>VLOOKUP(RIGHT(E2618,3)+0,SchLocTable!$A$2:$B$47,2,FALSE)</f>
        <v>Tisdale</v>
      </c>
      <c r="B2618" s="207" t="str">
        <f>VLOOKUP(VALUE(D2618),$D$3:F$106,3,FALSE)</f>
        <v>Psychologists</v>
      </c>
      <c r="C2618" s="751" t="s">
        <v>246</v>
      </c>
      <c r="D2618" s="751" t="s">
        <v>827</v>
      </c>
      <c r="E2618" s="751" t="s">
        <v>830</v>
      </c>
      <c r="F2618" s="751" t="s">
        <v>402</v>
      </c>
      <c r="G2618" s="752" t="s">
        <v>1681</v>
      </c>
      <c r="H2618" s="753">
        <v>51400</v>
      </c>
      <c r="I2618" s="754">
        <v>13775.36</v>
      </c>
      <c r="J2618" s="754">
        <v>0</v>
      </c>
      <c r="K2618" s="754">
        <v>0</v>
      </c>
      <c r="L2618" s="754">
        <v>0</v>
      </c>
      <c r="M2618" s="754">
        <f t="shared" si="105"/>
        <v>0</v>
      </c>
      <c r="N2618" s="756">
        <v>13775.36</v>
      </c>
      <c r="O2618" s="720">
        <f t="shared" si="106"/>
        <v>0</v>
      </c>
    </row>
    <row r="2619" spans="1:15" x14ac:dyDescent="0.25">
      <c r="A2619" s="207" t="str">
        <f>VLOOKUP(RIGHT(E2619,3)+0,SchLocTable!$A$2:$B$47,2,FALSE)</f>
        <v>Tisdale</v>
      </c>
      <c r="B2619" s="207" t="str">
        <f>VLOOKUP(VALUE(D2619),$D$3:F$106,3,FALSE)</f>
        <v>Psychologists</v>
      </c>
      <c r="C2619" s="751" t="s">
        <v>246</v>
      </c>
      <c r="D2619" s="751" t="s">
        <v>827</v>
      </c>
      <c r="E2619" s="751" t="s">
        <v>830</v>
      </c>
      <c r="F2619" s="751" t="s">
        <v>454</v>
      </c>
      <c r="G2619" s="752" t="s">
        <v>1681</v>
      </c>
      <c r="H2619" s="753">
        <v>51404</v>
      </c>
      <c r="I2619" s="754">
        <v>0</v>
      </c>
      <c r="J2619" s="754">
        <v>0</v>
      </c>
      <c r="K2619" s="754">
        <v>0</v>
      </c>
      <c r="L2619" s="754">
        <v>0</v>
      </c>
      <c r="M2619" s="754">
        <f t="shared" si="105"/>
        <v>0</v>
      </c>
      <c r="N2619" s="756">
        <v>0</v>
      </c>
      <c r="O2619" s="720">
        <f t="shared" si="106"/>
        <v>0</v>
      </c>
    </row>
    <row r="2620" spans="1:15" x14ac:dyDescent="0.25">
      <c r="A2620" s="207" t="str">
        <f>VLOOKUP(RIGHT(E2620,3)+0,SchLocTable!$A$2:$B$47,2,FALSE)</f>
        <v>Tisdale</v>
      </c>
      <c r="B2620" s="207" t="str">
        <f>VLOOKUP(VALUE(D2620),$D$3:F$106,3,FALSE)</f>
        <v>Psychologists</v>
      </c>
      <c r="C2620" s="751" t="s">
        <v>246</v>
      </c>
      <c r="D2620" s="751" t="s">
        <v>827</v>
      </c>
      <c r="E2620" s="751" t="s">
        <v>830</v>
      </c>
      <c r="F2620" s="751" t="s">
        <v>254</v>
      </c>
      <c r="G2620" s="752" t="s">
        <v>1681</v>
      </c>
      <c r="H2620" s="753">
        <v>52360</v>
      </c>
      <c r="I2620" s="754">
        <v>1477.95</v>
      </c>
      <c r="J2620" s="754">
        <v>0</v>
      </c>
      <c r="K2620" s="754">
        <v>0</v>
      </c>
      <c r="L2620" s="754">
        <v>342.72</v>
      </c>
      <c r="M2620" s="754">
        <f t="shared" si="105"/>
        <v>342.72</v>
      </c>
      <c r="N2620" s="756">
        <v>1477.95</v>
      </c>
      <c r="O2620" s="720">
        <f t="shared" si="106"/>
        <v>0</v>
      </c>
    </row>
    <row r="2621" spans="1:15" x14ac:dyDescent="0.25">
      <c r="A2621" s="207" t="str">
        <f>VLOOKUP(RIGHT(E2621,3)+0,SchLocTable!$A$2:$B$47,2,FALSE)</f>
        <v>Tisdale</v>
      </c>
      <c r="B2621" s="207" t="str">
        <f>VLOOKUP(VALUE(D2621),$D$3:F$106,3,FALSE)</f>
        <v>Psychologists</v>
      </c>
      <c r="C2621" s="751" t="s">
        <v>246</v>
      </c>
      <c r="D2621" s="751" t="s">
        <v>827</v>
      </c>
      <c r="E2621" s="751" t="s">
        <v>830</v>
      </c>
      <c r="F2621" s="751" t="s">
        <v>259</v>
      </c>
      <c r="G2621" s="752" t="s">
        <v>1681</v>
      </c>
      <c r="H2621" s="753">
        <v>52917</v>
      </c>
      <c r="I2621" s="754">
        <v>11844</v>
      </c>
      <c r="J2621" s="754">
        <v>0</v>
      </c>
      <c r="K2621" s="754">
        <v>0</v>
      </c>
      <c r="L2621" s="754">
        <v>2820</v>
      </c>
      <c r="M2621" s="754">
        <f t="shared" si="105"/>
        <v>2820</v>
      </c>
      <c r="N2621" s="756">
        <v>11844</v>
      </c>
      <c r="O2621" s="720">
        <f t="shared" si="106"/>
        <v>0</v>
      </c>
    </row>
    <row r="2622" spans="1:15" x14ac:dyDescent="0.25">
      <c r="A2622" s="207" t="str">
        <f>VLOOKUP(RIGHT(E2622,3)+0,SchLocTable!$A$2:$B$47,2,FALSE)</f>
        <v>Read</v>
      </c>
      <c r="B2622" s="207" t="str">
        <f>VLOOKUP(VALUE(D2622),$D$3:F$106,3,FALSE)</f>
        <v>Psychologists</v>
      </c>
      <c r="C2622" s="751" t="s">
        <v>246</v>
      </c>
      <c r="D2622" s="751" t="s">
        <v>827</v>
      </c>
      <c r="E2622" s="751" t="s">
        <v>831</v>
      </c>
      <c r="F2622" s="751" t="s">
        <v>248</v>
      </c>
      <c r="G2622" s="752">
        <v>1</v>
      </c>
      <c r="H2622" s="753">
        <v>51000</v>
      </c>
      <c r="I2622" s="754">
        <v>90131.39</v>
      </c>
      <c r="J2622" s="754">
        <v>0</v>
      </c>
      <c r="K2622" s="754">
        <v>0</v>
      </c>
      <c r="L2622" s="754">
        <v>17266.55</v>
      </c>
      <c r="M2622" s="754">
        <f t="shared" si="105"/>
        <v>17266.55</v>
      </c>
      <c r="N2622" s="756">
        <v>90131.39</v>
      </c>
      <c r="O2622" s="720">
        <f t="shared" si="106"/>
        <v>0</v>
      </c>
    </row>
    <row r="2623" spans="1:15" x14ac:dyDescent="0.25">
      <c r="A2623" s="207" t="str">
        <f>VLOOKUP(RIGHT(E2623,3)+0,SchLocTable!$A$2:$B$47,2,FALSE)</f>
        <v>Read</v>
      </c>
      <c r="B2623" s="207" t="str">
        <f>VLOOKUP(VALUE(D2623),$D$3:F$106,3,FALSE)</f>
        <v>Psychologists</v>
      </c>
      <c r="C2623" s="751" t="s">
        <v>246</v>
      </c>
      <c r="D2623" s="751" t="s">
        <v>827</v>
      </c>
      <c r="E2623" s="751" t="s">
        <v>831</v>
      </c>
      <c r="F2623" s="751" t="s">
        <v>402</v>
      </c>
      <c r="G2623" s="752" t="s">
        <v>1681</v>
      </c>
      <c r="H2623" s="753">
        <v>51400</v>
      </c>
      <c r="I2623" s="754">
        <v>5135.99</v>
      </c>
      <c r="J2623" s="754">
        <v>0</v>
      </c>
      <c r="K2623" s="754">
        <v>0</v>
      </c>
      <c r="L2623" s="754">
        <v>1077.43</v>
      </c>
      <c r="M2623" s="754">
        <f t="shared" ref="M2623:M2686" si="107">SUM(J2623:L2623)</f>
        <v>1077.43</v>
      </c>
      <c r="N2623" s="756">
        <v>5135.99</v>
      </c>
      <c r="O2623" s="720">
        <f t="shared" ref="O2623:O2686" si="108">I2623-N2623</f>
        <v>0</v>
      </c>
    </row>
    <row r="2624" spans="1:15" x14ac:dyDescent="0.25">
      <c r="A2624" s="207" t="str">
        <f>VLOOKUP(RIGHT(E2624,3)+0,SchLocTable!$A$2:$B$47,2,FALSE)</f>
        <v>Read</v>
      </c>
      <c r="B2624" s="207" t="str">
        <f>VLOOKUP(VALUE(D2624),$D$3:F$106,3,FALSE)</f>
        <v>Psychologists</v>
      </c>
      <c r="C2624" s="751" t="s">
        <v>246</v>
      </c>
      <c r="D2624" s="751" t="s">
        <v>827</v>
      </c>
      <c r="E2624" s="751" t="s">
        <v>831</v>
      </c>
      <c r="F2624" s="751" t="s">
        <v>254</v>
      </c>
      <c r="G2624" s="752" t="s">
        <v>1681</v>
      </c>
      <c r="H2624" s="753">
        <v>52360</v>
      </c>
      <c r="I2624" s="754">
        <v>1616.52</v>
      </c>
      <c r="J2624" s="754">
        <v>0</v>
      </c>
      <c r="K2624" s="754">
        <v>0</v>
      </c>
      <c r="L2624" s="754">
        <v>230.34</v>
      </c>
      <c r="M2624" s="754">
        <f t="shared" si="107"/>
        <v>230.34</v>
      </c>
      <c r="N2624" s="756">
        <v>1616.52</v>
      </c>
      <c r="O2624" s="720">
        <f t="shared" si="108"/>
        <v>0</v>
      </c>
    </row>
    <row r="2625" spans="1:15" x14ac:dyDescent="0.25">
      <c r="A2625" s="207" t="str">
        <f>VLOOKUP(RIGHT(E2625,3)+0,SchLocTable!$A$2:$B$47,2,FALSE)</f>
        <v>Read</v>
      </c>
      <c r="B2625" s="207" t="str">
        <f>VLOOKUP(VALUE(D2625),$D$3:F$106,3,FALSE)</f>
        <v>Psychologists</v>
      </c>
      <c r="C2625" s="755" t="s">
        <v>246</v>
      </c>
      <c r="D2625" s="751" t="s">
        <v>827</v>
      </c>
      <c r="E2625" s="751" t="s">
        <v>831</v>
      </c>
      <c r="F2625" s="751" t="s">
        <v>259</v>
      </c>
      <c r="G2625" s="752" t="s">
        <v>1681</v>
      </c>
      <c r="H2625" s="753">
        <v>52917</v>
      </c>
      <c r="I2625" s="754">
        <v>35075.879999999997</v>
      </c>
      <c r="J2625" s="754">
        <v>0</v>
      </c>
      <c r="K2625" s="754">
        <v>0</v>
      </c>
      <c r="L2625" s="754">
        <v>8351.4</v>
      </c>
      <c r="M2625" s="754">
        <f t="shared" si="107"/>
        <v>8351.4</v>
      </c>
      <c r="N2625" s="756">
        <v>35075.879999999997</v>
      </c>
      <c r="O2625" s="720">
        <f t="shared" si="108"/>
        <v>0</v>
      </c>
    </row>
    <row r="2626" spans="1:15" x14ac:dyDescent="0.25">
      <c r="A2626" s="207" t="str">
        <f>VLOOKUP(RIGHT(E2626,3)+0,SchLocTable!$A$2:$B$47,2,FALSE)</f>
        <v>Roosevelt</v>
      </c>
      <c r="B2626" s="207" t="str">
        <f>VLOOKUP(VALUE(D2626),$D$3:F$106,3,FALSE)</f>
        <v>Psychologists</v>
      </c>
      <c r="C2626" s="751" t="s">
        <v>246</v>
      </c>
      <c r="D2626" s="751" t="s">
        <v>827</v>
      </c>
      <c r="E2626" s="751" t="s">
        <v>2009</v>
      </c>
      <c r="F2626" s="751" t="s">
        <v>402</v>
      </c>
      <c r="G2626" s="752" t="s">
        <v>1681</v>
      </c>
      <c r="H2626" s="753">
        <v>51400</v>
      </c>
      <c r="I2626" s="754">
        <v>0</v>
      </c>
      <c r="J2626" s="754">
        <v>0</v>
      </c>
      <c r="K2626" s="754">
        <v>0</v>
      </c>
      <c r="L2626" s="754">
        <v>0</v>
      </c>
      <c r="M2626" s="754">
        <f t="shared" si="107"/>
        <v>0</v>
      </c>
      <c r="N2626" s="756">
        <v>0</v>
      </c>
      <c r="O2626" s="720">
        <f t="shared" si="108"/>
        <v>0</v>
      </c>
    </row>
    <row r="2627" spans="1:15" x14ac:dyDescent="0.25">
      <c r="A2627" s="207" t="str">
        <f>VLOOKUP(RIGHT(E2627,3)+0,SchLocTable!$A$2:$B$47,2,FALSE)</f>
        <v>Bridgeport Learning Center</v>
      </c>
      <c r="B2627" s="207" t="str">
        <f>VLOOKUP(VALUE(D2627),$D$3:F$106,3,FALSE)</f>
        <v>Psychologists</v>
      </c>
      <c r="C2627" s="751" t="s">
        <v>246</v>
      </c>
      <c r="D2627" s="751" t="s">
        <v>827</v>
      </c>
      <c r="E2627" s="751" t="s">
        <v>832</v>
      </c>
      <c r="F2627" s="751" t="s">
        <v>248</v>
      </c>
      <c r="G2627" s="752">
        <v>1</v>
      </c>
      <c r="H2627" s="753">
        <v>51000</v>
      </c>
      <c r="I2627" s="754">
        <v>103153.2</v>
      </c>
      <c r="J2627" s="754">
        <v>0</v>
      </c>
      <c r="K2627" s="754">
        <v>0</v>
      </c>
      <c r="L2627" s="754">
        <v>19761.150000000001</v>
      </c>
      <c r="M2627" s="754">
        <f t="shared" si="107"/>
        <v>19761.150000000001</v>
      </c>
      <c r="N2627" s="756">
        <v>103153.2</v>
      </c>
      <c r="O2627" s="720">
        <f t="shared" si="108"/>
        <v>0</v>
      </c>
    </row>
    <row r="2628" spans="1:15" x14ac:dyDescent="0.25">
      <c r="A2628" s="207" t="str">
        <f>VLOOKUP(RIGHT(E2628,3)+0,SchLocTable!$A$2:$B$47,2,FALSE)</f>
        <v>Bridgeport Learning Center</v>
      </c>
      <c r="B2628" s="207" t="str">
        <f>VLOOKUP(VALUE(D2628),$D$3:F$106,3,FALSE)</f>
        <v>Psychologists</v>
      </c>
      <c r="C2628" s="751" t="s">
        <v>246</v>
      </c>
      <c r="D2628" s="751" t="s">
        <v>827</v>
      </c>
      <c r="E2628" s="751" t="s">
        <v>832</v>
      </c>
      <c r="F2628" s="751" t="s">
        <v>257</v>
      </c>
      <c r="G2628" s="752" t="s">
        <v>1681</v>
      </c>
      <c r="H2628" s="753">
        <v>51140</v>
      </c>
      <c r="I2628" s="754">
        <v>900</v>
      </c>
      <c r="J2628" s="754">
        <v>0</v>
      </c>
      <c r="K2628" s="754">
        <v>0</v>
      </c>
      <c r="L2628" s="754">
        <v>0</v>
      </c>
      <c r="M2628" s="754">
        <f t="shared" si="107"/>
        <v>0</v>
      </c>
      <c r="N2628" s="756">
        <v>900</v>
      </c>
      <c r="O2628" s="720">
        <f t="shared" si="108"/>
        <v>0</v>
      </c>
    </row>
    <row r="2629" spans="1:15" x14ac:dyDescent="0.25">
      <c r="A2629" s="207" t="str">
        <f>VLOOKUP(RIGHT(E2629,3)+0,SchLocTable!$A$2:$B$47,2,FALSE)</f>
        <v>Bridgeport Learning Center</v>
      </c>
      <c r="B2629" s="207" t="str">
        <f>VLOOKUP(VALUE(D2629),$D$3:F$106,3,FALSE)</f>
        <v>Psychologists</v>
      </c>
      <c r="C2629" s="751" t="s">
        <v>246</v>
      </c>
      <c r="D2629" s="751" t="s">
        <v>827</v>
      </c>
      <c r="E2629" s="751" t="s">
        <v>832</v>
      </c>
      <c r="F2629" s="751" t="s">
        <v>402</v>
      </c>
      <c r="G2629" s="752" t="s">
        <v>1681</v>
      </c>
      <c r="H2629" s="753">
        <v>51400</v>
      </c>
      <c r="I2629" s="754">
        <v>6210.69</v>
      </c>
      <c r="J2629" s="754">
        <v>0</v>
      </c>
      <c r="K2629" s="754">
        <v>0</v>
      </c>
      <c r="L2629" s="754">
        <v>0</v>
      </c>
      <c r="M2629" s="754">
        <f t="shared" si="107"/>
        <v>0</v>
      </c>
      <c r="N2629" s="756">
        <v>6210.69</v>
      </c>
      <c r="O2629" s="720">
        <f t="shared" si="108"/>
        <v>0</v>
      </c>
    </row>
    <row r="2630" spans="1:15" x14ac:dyDescent="0.25">
      <c r="A2630" s="207" t="str">
        <f>VLOOKUP(RIGHT(E2630,3)+0,SchLocTable!$A$2:$B$47,2,FALSE)</f>
        <v>Bridgeport Learning Center</v>
      </c>
      <c r="B2630" s="207" t="str">
        <f>VLOOKUP(VALUE(D2630),$D$3:F$106,3,FALSE)</f>
        <v>Psychologists</v>
      </c>
      <c r="C2630" s="751" t="s">
        <v>246</v>
      </c>
      <c r="D2630" s="751" t="s">
        <v>827</v>
      </c>
      <c r="E2630" s="751" t="s">
        <v>832</v>
      </c>
      <c r="F2630" s="751" t="s">
        <v>254</v>
      </c>
      <c r="G2630" s="752" t="s">
        <v>1681</v>
      </c>
      <c r="H2630" s="753">
        <v>52360</v>
      </c>
      <c r="I2630" s="754">
        <v>1460.07</v>
      </c>
      <c r="J2630" s="754">
        <v>0</v>
      </c>
      <c r="K2630" s="754">
        <v>0</v>
      </c>
      <c r="L2630" s="754">
        <v>250.89</v>
      </c>
      <c r="M2630" s="754">
        <f t="shared" si="107"/>
        <v>250.89</v>
      </c>
      <c r="N2630" s="756">
        <v>1460.07</v>
      </c>
      <c r="O2630" s="720">
        <f t="shared" si="108"/>
        <v>0</v>
      </c>
    </row>
    <row r="2631" spans="1:15" x14ac:dyDescent="0.25">
      <c r="A2631" s="207" t="str">
        <f>VLOOKUP(RIGHT(E2631,3)+0,SchLocTable!$A$2:$B$47,2,FALSE)</f>
        <v>Bridgeport Learning Center</v>
      </c>
      <c r="B2631" s="207" t="str">
        <f>VLOOKUP(VALUE(D2631),$D$3:F$106,3,FALSE)</f>
        <v>Psychologists</v>
      </c>
      <c r="C2631" s="755" t="s">
        <v>246</v>
      </c>
      <c r="D2631" s="751" t="s">
        <v>827</v>
      </c>
      <c r="E2631" s="751" t="s">
        <v>832</v>
      </c>
      <c r="F2631" s="751" t="s">
        <v>259</v>
      </c>
      <c r="G2631" s="752" t="s">
        <v>1681</v>
      </c>
      <c r="H2631" s="753">
        <v>52917</v>
      </c>
      <c r="I2631" s="754">
        <v>35075.879999999997</v>
      </c>
      <c r="J2631" s="754">
        <v>0</v>
      </c>
      <c r="K2631" s="754">
        <v>0</v>
      </c>
      <c r="L2631" s="754">
        <v>8351.4</v>
      </c>
      <c r="M2631" s="754">
        <f t="shared" si="107"/>
        <v>8351.4</v>
      </c>
      <c r="N2631" s="756">
        <v>35075.879999999997</v>
      </c>
      <c r="O2631" s="720">
        <f t="shared" si="108"/>
        <v>0</v>
      </c>
    </row>
    <row r="2632" spans="1:15" x14ac:dyDescent="0.25">
      <c r="A2632" s="207" t="str">
        <f>VLOOKUP(RIGHT(E2632,3)+0,SchLocTable!$A$2:$B$47,2,FALSE)</f>
        <v>Waltersville</v>
      </c>
      <c r="B2632" s="207" t="str">
        <f>VLOOKUP(VALUE(D2632),$D$3:F$106,3,FALSE)</f>
        <v>Psychologists</v>
      </c>
      <c r="C2632" s="751" t="s">
        <v>246</v>
      </c>
      <c r="D2632" s="751" t="s">
        <v>827</v>
      </c>
      <c r="E2632" s="751" t="s">
        <v>833</v>
      </c>
      <c r="F2632" s="751" t="s">
        <v>248</v>
      </c>
      <c r="G2632" s="752">
        <v>1</v>
      </c>
      <c r="H2632" s="753">
        <v>51000</v>
      </c>
      <c r="I2632" s="754">
        <v>102758.04</v>
      </c>
      <c r="J2632" s="754">
        <v>0</v>
      </c>
      <c r="K2632" s="754">
        <v>0</v>
      </c>
      <c r="L2632" s="754">
        <v>24466.2</v>
      </c>
      <c r="M2632" s="754">
        <f t="shared" si="107"/>
        <v>24466.2</v>
      </c>
      <c r="N2632" s="756">
        <v>102758.04</v>
      </c>
      <c r="O2632" s="720">
        <f t="shared" si="108"/>
        <v>0</v>
      </c>
    </row>
    <row r="2633" spans="1:15" x14ac:dyDescent="0.25">
      <c r="A2633" s="207" t="str">
        <f>VLOOKUP(RIGHT(E2633,3)+0,SchLocTable!$A$2:$B$47,2,FALSE)</f>
        <v>Waltersville</v>
      </c>
      <c r="B2633" s="207" t="str">
        <f>VLOOKUP(VALUE(D2633),$D$3:F$106,3,FALSE)</f>
        <v>Psychologists</v>
      </c>
      <c r="C2633" s="755" t="s">
        <v>246</v>
      </c>
      <c r="D2633" s="751" t="s">
        <v>827</v>
      </c>
      <c r="E2633" s="751" t="s">
        <v>833</v>
      </c>
      <c r="F2633" s="751" t="s">
        <v>257</v>
      </c>
      <c r="G2633" s="752" t="s">
        <v>1681</v>
      </c>
      <c r="H2633" s="753">
        <v>51140</v>
      </c>
      <c r="I2633" s="754">
        <v>1100</v>
      </c>
      <c r="J2633" s="754">
        <v>0</v>
      </c>
      <c r="K2633" s="754">
        <v>0</v>
      </c>
      <c r="L2633" s="754">
        <v>0</v>
      </c>
      <c r="M2633" s="754">
        <f t="shared" si="107"/>
        <v>0</v>
      </c>
      <c r="N2633" s="756">
        <v>1100</v>
      </c>
      <c r="O2633" s="720">
        <f t="shared" si="108"/>
        <v>0</v>
      </c>
    </row>
    <row r="2634" spans="1:15" x14ac:dyDescent="0.25">
      <c r="A2634" s="207" t="str">
        <f>VLOOKUP(RIGHT(E2634,3)+0,SchLocTable!$A$2:$B$47,2,FALSE)</f>
        <v>Waltersville</v>
      </c>
      <c r="B2634" s="207" t="str">
        <f>VLOOKUP(VALUE(D2634),$D$3:F$106,3,FALSE)</f>
        <v>Psychologists</v>
      </c>
      <c r="C2634" s="751" t="s">
        <v>246</v>
      </c>
      <c r="D2634" s="751" t="s">
        <v>827</v>
      </c>
      <c r="E2634" s="751" t="s">
        <v>833</v>
      </c>
      <c r="F2634" s="751" t="s">
        <v>402</v>
      </c>
      <c r="G2634" s="752" t="s">
        <v>1681</v>
      </c>
      <c r="H2634" s="753">
        <v>51400</v>
      </c>
      <c r="I2634" s="754">
        <v>6210.38</v>
      </c>
      <c r="J2634" s="754">
        <v>0</v>
      </c>
      <c r="K2634" s="754">
        <v>0</v>
      </c>
      <c r="L2634" s="754">
        <v>1233.0899999999999</v>
      </c>
      <c r="M2634" s="754">
        <f t="shared" si="107"/>
        <v>1233.0899999999999</v>
      </c>
      <c r="N2634" s="756">
        <v>6210.38</v>
      </c>
      <c r="O2634" s="720">
        <f t="shared" si="108"/>
        <v>0</v>
      </c>
    </row>
    <row r="2635" spans="1:15" x14ac:dyDescent="0.25">
      <c r="A2635" s="207" t="str">
        <f>VLOOKUP(RIGHT(E2635,3)+0,SchLocTable!$A$2:$B$47,2,FALSE)</f>
        <v>Waltersville</v>
      </c>
      <c r="B2635" s="207" t="str">
        <f>VLOOKUP(VALUE(D2635),$D$3:F$106,3,FALSE)</f>
        <v>Psychologists</v>
      </c>
      <c r="C2635" s="751" t="s">
        <v>246</v>
      </c>
      <c r="D2635" s="751" t="s">
        <v>827</v>
      </c>
      <c r="E2635" s="751" t="s">
        <v>833</v>
      </c>
      <c r="F2635" s="751" t="s">
        <v>454</v>
      </c>
      <c r="G2635" s="752" t="s">
        <v>1681</v>
      </c>
      <c r="H2635" s="753">
        <v>51404</v>
      </c>
      <c r="I2635" s="754">
        <v>0</v>
      </c>
      <c r="J2635" s="754">
        <v>0</v>
      </c>
      <c r="K2635" s="754">
        <v>0</v>
      </c>
      <c r="L2635" s="754">
        <v>0</v>
      </c>
      <c r="M2635" s="754">
        <f t="shared" si="107"/>
        <v>0</v>
      </c>
      <c r="N2635" s="756">
        <v>0</v>
      </c>
      <c r="O2635" s="720">
        <f t="shared" si="108"/>
        <v>0</v>
      </c>
    </row>
    <row r="2636" spans="1:15" x14ac:dyDescent="0.25">
      <c r="A2636" s="207" t="str">
        <f>VLOOKUP(RIGHT(E2636,3)+0,SchLocTable!$A$2:$B$47,2,FALSE)</f>
        <v>Waltersville</v>
      </c>
      <c r="B2636" s="207" t="str">
        <f>VLOOKUP(VALUE(D2636),$D$3:F$106,3,FALSE)</f>
        <v>Psychologists</v>
      </c>
      <c r="C2636" s="751" t="s">
        <v>246</v>
      </c>
      <c r="D2636" s="751" t="s">
        <v>827</v>
      </c>
      <c r="E2636" s="751" t="s">
        <v>833</v>
      </c>
      <c r="F2636" s="751" t="s">
        <v>254</v>
      </c>
      <c r="G2636" s="752" t="s">
        <v>1681</v>
      </c>
      <c r="H2636" s="753">
        <v>52360</v>
      </c>
      <c r="I2636" s="754">
        <v>1472.22</v>
      </c>
      <c r="J2636" s="754">
        <v>0</v>
      </c>
      <c r="K2636" s="754">
        <v>0</v>
      </c>
      <c r="L2636" s="754">
        <v>336.99</v>
      </c>
      <c r="M2636" s="754">
        <f t="shared" si="107"/>
        <v>336.99</v>
      </c>
      <c r="N2636" s="756">
        <v>1472.22</v>
      </c>
      <c r="O2636" s="720">
        <f t="shared" si="108"/>
        <v>0</v>
      </c>
    </row>
    <row r="2637" spans="1:15" x14ac:dyDescent="0.25">
      <c r="A2637" s="207" t="str">
        <f>VLOOKUP(RIGHT(E2637,3)+0,SchLocTable!$A$2:$B$47,2,FALSE)</f>
        <v>Waltersville</v>
      </c>
      <c r="B2637" s="207" t="str">
        <f>VLOOKUP(VALUE(D2637),$D$3:F$106,3,FALSE)</f>
        <v>Psychologists</v>
      </c>
      <c r="C2637" s="751" t="s">
        <v>246</v>
      </c>
      <c r="D2637" s="751" t="s">
        <v>827</v>
      </c>
      <c r="E2637" s="751" t="s">
        <v>833</v>
      </c>
      <c r="F2637" s="751" t="s">
        <v>259</v>
      </c>
      <c r="G2637" s="752" t="s">
        <v>1681</v>
      </c>
      <c r="H2637" s="753">
        <v>52917</v>
      </c>
      <c r="I2637" s="754">
        <v>35075.879999999997</v>
      </c>
      <c r="J2637" s="754">
        <v>0</v>
      </c>
      <c r="K2637" s="754">
        <v>0</v>
      </c>
      <c r="L2637" s="754">
        <v>8351.4</v>
      </c>
      <c r="M2637" s="754">
        <f t="shared" si="107"/>
        <v>8351.4</v>
      </c>
      <c r="N2637" s="756">
        <v>35075.879999999997</v>
      </c>
      <c r="O2637" s="720">
        <f t="shared" si="108"/>
        <v>0</v>
      </c>
    </row>
    <row r="2638" spans="1:15" x14ac:dyDescent="0.25">
      <c r="A2638" s="207" t="str">
        <f>VLOOKUP(RIGHT(E2638,3)+0,SchLocTable!$A$2:$B$47,2,FALSE)</f>
        <v>Johnson</v>
      </c>
      <c r="B2638" s="207" t="str">
        <f>VLOOKUP(VALUE(D2638),$D$3:F$106,3,FALSE)</f>
        <v>Psychologists</v>
      </c>
      <c r="C2638" s="755" t="s">
        <v>246</v>
      </c>
      <c r="D2638" s="751" t="s">
        <v>827</v>
      </c>
      <c r="E2638" s="751" t="s">
        <v>834</v>
      </c>
      <c r="F2638" s="751" t="s">
        <v>248</v>
      </c>
      <c r="G2638" s="752" t="s">
        <v>1681</v>
      </c>
      <c r="H2638" s="753">
        <v>51000</v>
      </c>
      <c r="I2638" s="754">
        <v>0</v>
      </c>
      <c r="J2638" s="754">
        <v>0</v>
      </c>
      <c r="K2638" s="754">
        <v>0</v>
      </c>
      <c r="L2638" s="754">
        <v>0</v>
      </c>
      <c r="M2638" s="754">
        <f t="shared" si="107"/>
        <v>0</v>
      </c>
      <c r="N2638" s="756">
        <v>0</v>
      </c>
      <c r="O2638" s="720">
        <f t="shared" si="108"/>
        <v>0</v>
      </c>
    </row>
    <row r="2639" spans="1:15" x14ac:dyDescent="0.25">
      <c r="A2639" s="207" t="str">
        <f>VLOOKUP(RIGHT(E2639,3)+0,SchLocTable!$A$2:$B$47,2,FALSE)</f>
        <v>Johnson</v>
      </c>
      <c r="B2639" s="207" t="str">
        <f>VLOOKUP(VALUE(D2639),$D$3:F$106,3,FALSE)</f>
        <v>Psychologists</v>
      </c>
      <c r="C2639" s="751" t="s">
        <v>246</v>
      </c>
      <c r="D2639" s="751" t="s">
        <v>827</v>
      </c>
      <c r="E2639" s="751" t="s">
        <v>834</v>
      </c>
      <c r="F2639" s="751" t="s">
        <v>402</v>
      </c>
      <c r="G2639" s="752" t="s">
        <v>1681</v>
      </c>
      <c r="H2639" s="753">
        <v>51400</v>
      </c>
      <c r="I2639" s="754">
        <v>3480.13</v>
      </c>
      <c r="J2639" s="754">
        <v>0</v>
      </c>
      <c r="K2639" s="754">
        <v>0</v>
      </c>
      <c r="L2639" s="754">
        <v>0</v>
      </c>
      <c r="M2639" s="754">
        <f t="shared" si="107"/>
        <v>0</v>
      </c>
      <c r="N2639" s="756">
        <v>3480.13</v>
      </c>
      <c r="O2639" s="720">
        <f t="shared" si="108"/>
        <v>0</v>
      </c>
    </row>
    <row r="2640" spans="1:15" x14ac:dyDescent="0.25">
      <c r="A2640" s="207" t="str">
        <f>VLOOKUP(RIGHT(E2640,3)+0,SchLocTable!$A$2:$B$47,2,FALSE)</f>
        <v>Johnson</v>
      </c>
      <c r="B2640" s="207" t="str">
        <f>VLOOKUP(VALUE(D2640),$D$3:F$106,3,FALSE)</f>
        <v>Psychologists</v>
      </c>
      <c r="C2640" s="751" t="s">
        <v>246</v>
      </c>
      <c r="D2640" s="751" t="s">
        <v>827</v>
      </c>
      <c r="E2640" s="751" t="s">
        <v>834</v>
      </c>
      <c r="F2640" s="751" t="s">
        <v>254</v>
      </c>
      <c r="G2640" s="752" t="s">
        <v>1681</v>
      </c>
      <c r="H2640" s="753">
        <v>52360</v>
      </c>
      <c r="I2640" s="754">
        <v>0</v>
      </c>
      <c r="J2640" s="754">
        <v>0</v>
      </c>
      <c r="K2640" s="754">
        <v>0</v>
      </c>
      <c r="L2640" s="754">
        <v>0</v>
      </c>
      <c r="M2640" s="754">
        <f t="shared" si="107"/>
        <v>0</v>
      </c>
      <c r="N2640" s="756">
        <v>0</v>
      </c>
      <c r="O2640" s="720">
        <f t="shared" si="108"/>
        <v>0</v>
      </c>
    </row>
    <row r="2641" spans="1:15" x14ac:dyDescent="0.25">
      <c r="A2641" s="207" t="str">
        <f>VLOOKUP(RIGHT(E2641,3)+0,SchLocTable!$A$2:$B$47,2,FALSE)</f>
        <v>Johnson</v>
      </c>
      <c r="B2641" s="207" t="str">
        <f>VLOOKUP(VALUE(D2641),$D$3:F$106,3,FALSE)</f>
        <v>Psychologists</v>
      </c>
      <c r="C2641" s="751" t="s">
        <v>246</v>
      </c>
      <c r="D2641" s="751" t="s">
        <v>827</v>
      </c>
      <c r="E2641" s="751" t="s">
        <v>834</v>
      </c>
      <c r="F2641" s="751" t="s">
        <v>259</v>
      </c>
      <c r="G2641" s="752" t="s">
        <v>1681</v>
      </c>
      <c r="H2641" s="753">
        <v>52917</v>
      </c>
      <c r="I2641" s="754">
        <v>0</v>
      </c>
      <c r="J2641" s="754">
        <v>0</v>
      </c>
      <c r="K2641" s="754">
        <v>0</v>
      </c>
      <c r="L2641" s="754">
        <v>0</v>
      </c>
      <c r="M2641" s="754">
        <f t="shared" si="107"/>
        <v>0</v>
      </c>
      <c r="N2641" s="756">
        <v>0</v>
      </c>
      <c r="O2641" s="720">
        <f t="shared" si="108"/>
        <v>0</v>
      </c>
    </row>
    <row r="2642" spans="1:15" x14ac:dyDescent="0.25">
      <c r="A2642" s="207" t="str">
        <f>VLOOKUP(RIGHT(E2642,3)+0,SchLocTable!$A$2:$B$47,2,FALSE)</f>
        <v>Winthrop</v>
      </c>
      <c r="B2642" s="207" t="str">
        <f>VLOOKUP(VALUE(D2642),$D$3:F$106,3,FALSE)</f>
        <v>Psychologists</v>
      </c>
      <c r="C2642" s="755" t="s">
        <v>246</v>
      </c>
      <c r="D2642" s="751" t="s">
        <v>827</v>
      </c>
      <c r="E2642" s="751" t="s">
        <v>1503</v>
      </c>
      <c r="F2642" s="751" t="s">
        <v>248</v>
      </c>
      <c r="G2642" s="752">
        <v>0.6</v>
      </c>
      <c r="H2642" s="753">
        <v>51000</v>
      </c>
      <c r="I2642" s="754">
        <v>53871.51</v>
      </c>
      <c r="J2642" s="754">
        <v>0</v>
      </c>
      <c r="K2642" s="754">
        <v>0</v>
      </c>
      <c r="L2642" s="754">
        <v>12826.55</v>
      </c>
      <c r="M2642" s="754">
        <f t="shared" si="107"/>
        <v>12826.55</v>
      </c>
      <c r="N2642" s="756">
        <v>53871.51</v>
      </c>
      <c r="O2642" s="720">
        <f t="shared" si="108"/>
        <v>0</v>
      </c>
    </row>
    <row r="2643" spans="1:15" x14ac:dyDescent="0.25">
      <c r="A2643" s="207" t="str">
        <f>VLOOKUP(RIGHT(E2643,3)+0,SchLocTable!$A$2:$B$47,2,FALSE)</f>
        <v>Winthrop</v>
      </c>
      <c r="B2643" s="207" t="str">
        <f>VLOOKUP(VALUE(D2643),$D$3:F$106,3,FALSE)</f>
        <v>Psychologists</v>
      </c>
      <c r="C2643" s="751" t="s">
        <v>246</v>
      </c>
      <c r="D2643" s="751" t="s">
        <v>827</v>
      </c>
      <c r="E2643" s="751" t="s">
        <v>1503</v>
      </c>
      <c r="F2643" s="751" t="s">
        <v>254</v>
      </c>
      <c r="G2643" s="752" t="s">
        <v>1681</v>
      </c>
      <c r="H2643" s="753">
        <v>52360</v>
      </c>
      <c r="I2643" s="754">
        <v>780.58</v>
      </c>
      <c r="J2643" s="754">
        <v>0</v>
      </c>
      <c r="K2643" s="754">
        <v>0</v>
      </c>
      <c r="L2643" s="754">
        <v>185.43</v>
      </c>
      <c r="M2643" s="754">
        <f t="shared" si="107"/>
        <v>185.43</v>
      </c>
      <c r="N2643" s="756">
        <v>780.58</v>
      </c>
      <c r="O2643" s="720">
        <f t="shared" si="108"/>
        <v>0</v>
      </c>
    </row>
    <row r="2644" spans="1:15" x14ac:dyDescent="0.25">
      <c r="A2644" s="207" t="str">
        <f>VLOOKUP(RIGHT(E2644,3)+0,SchLocTable!$A$2:$B$47,2,FALSE)</f>
        <v>Winthrop</v>
      </c>
      <c r="B2644" s="207" t="str">
        <f>VLOOKUP(VALUE(D2644),$D$3:F$106,3,FALSE)</f>
        <v>Psychologists</v>
      </c>
      <c r="C2644" s="751" t="s">
        <v>246</v>
      </c>
      <c r="D2644" s="751" t="s">
        <v>827</v>
      </c>
      <c r="E2644" s="751" t="s">
        <v>1503</v>
      </c>
      <c r="F2644" s="751" t="s">
        <v>259</v>
      </c>
      <c r="G2644" s="752" t="s">
        <v>1681</v>
      </c>
      <c r="H2644" s="753">
        <v>52917</v>
      </c>
      <c r="I2644" s="754">
        <v>878.64</v>
      </c>
      <c r="J2644" s="754">
        <v>0</v>
      </c>
      <c r="K2644" s="754">
        <v>0</v>
      </c>
      <c r="L2644" s="754">
        <v>209.2</v>
      </c>
      <c r="M2644" s="754">
        <f t="shared" si="107"/>
        <v>209.2</v>
      </c>
      <c r="N2644" s="756">
        <v>878.64</v>
      </c>
      <c r="O2644" s="720">
        <f t="shared" si="108"/>
        <v>0</v>
      </c>
    </row>
    <row r="2645" spans="1:15" x14ac:dyDescent="0.25">
      <c r="A2645" s="207" t="str">
        <f>VLOOKUP(RIGHT(E2645,3)+0,SchLocTable!$A$2:$B$47,2,FALSE)</f>
        <v>Blackham</v>
      </c>
      <c r="B2645" s="207" t="str">
        <f>VLOOKUP(VALUE(D2645),$D$3:F$106,3,FALSE)</f>
        <v>Psychologists</v>
      </c>
      <c r="C2645" s="751" t="s">
        <v>246</v>
      </c>
      <c r="D2645" s="751" t="s">
        <v>827</v>
      </c>
      <c r="E2645" s="751" t="s">
        <v>835</v>
      </c>
      <c r="F2645" s="751" t="s">
        <v>248</v>
      </c>
      <c r="G2645" s="752">
        <v>1</v>
      </c>
      <c r="H2645" s="753">
        <v>51000</v>
      </c>
      <c r="I2645" s="754">
        <v>103153.2</v>
      </c>
      <c r="J2645" s="754">
        <v>0</v>
      </c>
      <c r="K2645" s="754">
        <v>0</v>
      </c>
      <c r="L2645" s="754">
        <v>19761.150000000001</v>
      </c>
      <c r="M2645" s="754">
        <f t="shared" si="107"/>
        <v>19761.150000000001</v>
      </c>
      <c r="N2645" s="756">
        <v>103153.2</v>
      </c>
      <c r="O2645" s="720">
        <f t="shared" si="108"/>
        <v>0</v>
      </c>
    </row>
    <row r="2646" spans="1:15" x14ac:dyDescent="0.25">
      <c r="A2646" s="207" t="str">
        <f>VLOOKUP(RIGHT(E2646,3)+0,SchLocTable!$A$2:$B$47,2,FALSE)</f>
        <v>Blackham</v>
      </c>
      <c r="B2646" s="207" t="str">
        <f>VLOOKUP(VALUE(D2646),$D$3:F$106,3,FALSE)</f>
        <v>Psychologists</v>
      </c>
      <c r="C2646" s="751" t="s">
        <v>246</v>
      </c>
      <c r="D2646" s="751" t="s">
        <v>827</v>
      </c>
      <c r="E2646" s="751" t="s">
        <v>835</v>
      </c>
      <c r="F2646" s="751" t="s">
        <v>257</v>
      </c>
      <c r="G2646" s="752" t="s">
        <v>1681</v>
      </c>
      <c r="H2646" s="753">
        <v>51140</v>
      </c>
      <c r="I2646" s="754">
        <v>900</v>
      </c>
      <c r="J2646" s="754">
        <v>0</v>
      </c>
      <c r="K2646" s="754">
        <v>0</v>
      </c>
      <c r="L2646" s="754">
        <v>0</v>
      </c>
      <c r="M2646" s="754">
        <f t="shared" si="107"/>
        <v>0</v>
      </c>
      <c r="N2646" s="756">
        <v>900</v>
      </c>
      <c r="O2646" s="720">
        <f t="shared" si="108"/>
        <v>0</v>
      </c>
    </row>
    <row r="2647" spans="1:15" x14ac:dyDescent="0.25">
      <c r="A2647" s="207" t="str">
        <f>VLOOKUP(RIGHT(E2647,3)+0,SchLocTable!$A$2:$B$47,2,FALSE)</f>
        <v>Blackham</v>
      </c>
      <c r="B2647" s="207" t="str">
        <f>VLOOKUP(VALUE(D2647),$D$3:F$106,3,FALSE)</f>
        <v>Psychologists</v>
      </c>
      <c r="C2647" s="751" t="s">
        <v>246</v>
      </c>
      <c r="D2647" s="751" t="s">
        <v>827</v>
      </c>
      <c r="E2647" s="751" t="s">
        <v>835</v>
      </c>
      <c r="F2647" s="751" t="s">
        <v>402</v>
      </c>
      <c r="G2647" s="752" t="s">
        <v>1681</v>
      </c>
      <c r="H2647" s="753">
        <v>51400</v>
      </c>
      <c r="I2647" s="754">
        <v>7536.7</v>
      </c>
      <c r="J2647" s="754">
        <v>0</v>
      </c>
      <c r="K2647" s="754">
        <v>0</v>
      </c>
      <c r="L2647" s="754">
        <v>1233.0999999999999</v>
      </c>
      <c r="M2647" s="754">
        <f t="shared" si="107"/>
        <v>1233.0999999999999</v>
      </c>
      <c r="N2647" s="756">
        <v>7536.7</v>
      </c>
      <c r="O2647" s="720">
        <f t="shared" si="108"/>
        <v>0</v>
      </c>
    </row>
    <row r="2648" spans="1:15" x14ac:dyDescent="0.25">
      <c r="A2648" s="207" t="str">
        <f>VLOOKUP(RIGHT(E2648,3)+0,SchLocTable!$A$2:$B$47,2,FALSE)</f>
        <v>Blackham</v>
      </c>
      <c r="B2648" s="207" t="str">
        <f>VLOOKUP(VALUE(D2648),$D$3:F$106,3,FALSE)</f>
        <v>Psychologists</v>
      </c>
      <c r="C2648" s="751" t="s">
        <v>246</v>
      </c>
      <c r="D2648" s="751" t="s">
        <v>827</v>
      </c>
      <c r="E2648" s="751" t="s">
        <v>835</v>
      </c>
      <c r="F2648" s="751" t="s">
        <v>254</v>
      </c>
      <c r="G2648" s="752" t="s">
        <v>1681</v>
      </c>
      <c r="H2648" s="753">
        <v>52360</v>
      </c>
      <c r="I2648" s="754">
        <v>1855.21</v>
      </c>
      <c r="J2648" s="754">
        <v>0</v>
      </c>
      <c r="K2648" s="754">
        <v>0</v>
      </c>
      <c r="L2648" s="754">
        <v>268.76</v>
      </c>
      <c r="M2648" s="754">
        <f t="shared" si="107"/>
        <v>268.76</v>
      </c>
      <c r="N2648" s="756">
        <v>1855.21</v>
      </c>
      <c r="O2648" s="720">
        <f t="shared" si="108"/>
        <v>0</v>
      </c>
    </row>
    <row r="2649" spans="1:15" x14ac:dyDescent="0.25">
      <c r="A2649" s="207" t="str">
        <f>VLOOKUP(RIGHT(E2649,3)+0,SchLocTable!$A$2:$B$47,2,FALSE)</f>
        <v>Blackham</v>
      </c>
      <c r="B2649" s="207" t="str">
        <f>VLOOKUP(VALUE(D2649),$D$3:F$106,3,FALSE)</f>
        <v>Psychologists</v>
      </c>
      <c r="C2649" s="751" t="s">
        <v>246</v>
      </c>
      <c r="D2649" s="751" t="s">
        <v>827</v>
      </c>
      <c r="E2649" s="751" t="s">
        <v>835</v>
      </c>
      <c r="F2649" s="751" t="s">
        <v>259</v>
      </c>
      <c r="G2649" s="752" t="s">
        <v>1681</v>
      </c>
      <c r="H2649" s="753">
        <v>52917</v>
      </c>
      <c r="I2649" s="754">
        <v>35075.879999999997</v>
      </c>
      <c r="J2649" s="754">
        <v>0</v>
      </c>
      <c r="K2649" s="754">
        <v>0</v>
      </c>
      <c r="L2649" s="754">
        <v>8351.4</v>
      </c>
      <c r="M2649" s="754">
        <f t="shared" si="107"/>
        <v>8351.4</v>
      </c>
      <c r="N2649" s="756">
        <v>35075.879999999997</v>
      </c>
      <c r="O2649" s="720">
        <f t="shared" si="108"/>
        <v>0</v>
      </c>
    </row>
    <row r="2650" spans="1:15" x14ac:dyDescent="0.25">
      <c r="A2650" s="207" t="str">
        <f>VLOOKUP(RIGHT(E2650,3)+0,SchLocTable!$A$2:$B$47,2,FALSE)</f>
        <v>Skane</v>
      </c>
      <c r="B2650" s="207" t="str">
        <f>VLOOKUP(VALUE(D2650),$D$3:F$106,3,FALSE)</f>
        <v>Psychologists</v>
      </c>
      <c r="C2650" s="751" t="s">
        <v>246</v>
      </c>
      <c r="D2650" s="751" t="s">
        <v>827</v>
      </c>
      <c r="E2650" s="751" t="s">
        <v>836</v>
      </c>
      <c r="F2650" s="751" t="s">
        <v>248</v>
      </c>
      <c r="G2650" s="752">
        <v>1</v>
      </c>
      <c r="H2650" s="753">
        <v>51000</v>
      </c>
      <c r="I2650" s="754">
        <v>103153.2</v>
      </c>
      <c r="J2650" s="754">
        <v>0</v>
      </c>
      <c r="K2650" s="754">
        <v>0</v>
      </c>
      <c r="L2650" s="754">
        <v>19761.150000000001</v>
      </c>
      <c r="M2650" s="754">
        <f t="shared" si="107"/>
        <v>19761.150000000001</v>
      </c>
      <c r="N2650" s="756">
        <v>103153.2</v>
      </c>
      <c r="O2650" s="720">
        <f t="shared" si="108"/>
        <v>0</v>
      </c>
    </row>
    <row r="2651" spans="1:15" x14ac:dyDescent="0.25">
      <c r="A2651" s="207" t="str">
        <f>VLOOKUP(RIGHT(E2651,3)+0,SchLocTable!$A$2:$B$47,2,FALSE)</f>
        <v>Skane</v>
      </c>
      <c r="B2651" s="207" t="str">
        <f>VLOOKUP(VALUE(D2651),$D$3:F$106,3,FALSE)</f>
        <v>Psychologists</v>
      </c>
      <c r="C2651" s="751" t="s">
        <v>246</v>
      </c>
      <c r="D2651" s="751" t="s">
        <v>827</v>
      </c>
      <c r="E2651" s="751" t="s">
        <v>836</v>
      </c>
      <c r="F2651" s="751" t="s">
        <v>257</v>
      </c>
      <c r="G2651" s="752" t="s">
        <v>1681</v>
      </c>
      <c r="H2651" s="753">
        <v>51140</v>
      </c>
      <c r="I2651" s="754">
        <v>900</v>
      </c>
      <c r="J2651" s="754">
        <v>0</v>
      </c>
      <c r="K2651" s="754">
        <v>0</v>
      </c>
      <c r="L2651" s="754">
        <v>0</v>
      </c>
      <c r="M2651" s="754">
        <f t="shared" si="107"/>
        <v>0</v>
      </c>
      <c r="N2651" s="756">
        <v>900</v>
      </c>
      <c r="O2651" s="720">
        <f t="shared" si="108"/>
        <v>0</v>
      </c>
    </row>
    <row r="2652" spans="1:15" x14ac:dyDescent="0.25">
      <c r="A2652" s="207" t="str">
        <f>VLOOKUP(RIGHT(E2652,3)+0,SchLocTable!$A$2:$B$47,2,FALSE)</f>
        <v>Skane</v>
      </c>
      <c r="B2652" s="207" t="str">
        <f>VLOOKUP(VALUE(D2652),$D$3:F$106,3,FALSE)</f>
        <v>Psychologists</v>
      </c>
      <c r="C2652" s="751" t="s">
        <v>246</v>
      </c>
      <c r="D2652" s="751" t="s">
        <v>827</v>
      </c>
      <c r="E2652" s="751" t="s">
        <v>836</v>
      </c>
      <c r="F2652" s="751" t="s">
        <v>402</v>
      </c>
      <c r="G2652" s="752" t="s">
        <v>1681</v>
      </c>
      <c r="H2652" s="753">
        <v>51400</v>
      </c>
      <c r="I2652" s="754">
        <v>8009.18</v>
      </c>
      <c r="J2652" s="754">
        <v>0</v>
      </c>
      <c r="K2652" s="754">
        <v>0</v>
      </c>
      <c r="L2652" s="754">
        <v>0</v>
      </c>
      <c r="M2652" s="754">
        <f t="shared" si="107"/>
        <v>0</v>
      </c>
      <c r="N2652" s="756">
        <v>8009.18</v>
      </c>
      <c r="O2652" s="720">
        <f t="shared" si="108"/>
        <v>0</v>
      </c>
    </row>
    <row r="2653" spans="1:15" x14ac:dyDescent="0.25">
      <c r="A2653" s="207" t="str">
        <f>VLOOKUP(RIGHT(E2653,3)+0,SchLocTable!$A$2:$B$47,2,FALSE)</f>
        <v>Skane</v>
      </c>
      <c r="B2653" s="207" t="str">
        <f>VLOOKUP(VALUE(D2653),$D$3:F$106,3,FALSE)</f>
        <v>Psychologists</v>
      </c>
      <c r="C2653" s="751" t="s">
        <v>246</v>
      </c>
      <c r="D2653" s="751" t="s">
        <v>827</v>
      </c>
      <c r="E2653" s="751" t="s">
        <v>836</v>
      </c>
      <c r="F2653" s="751" t="s">
        <v>254</v>
      </c>
      <c r="G2653" s="752" t="s">
        <v>1681</v>
      </c>
      <c r="H2653" s="753">
        <v>52360</v>
      </c>
      <c r="I2653" s="754">
        <v>1460.07</v>
      </c>
      <c r="J2653" s="754">
        <v>0</v>
      </c>
      <c r="K2653" s="754">
        <v>0</v>
      </c>
      <c r="L2653" s="754">
        <v>250.89</v>
      </c>
      <c r="M2653" s="754">
        <f t="shared" si="107"/>
        <v>250.89</v>
      </c>
      <c r="N2653" s="756">
        <v>1460.07</v>
      </c>
      <c r="O2653" s="720">
        <f t="shared" si="108"/>
        <v>0</v>
      </c>
    </row>
    <row r="2654" spans="1:15" x14ac:dyDescent="0.25">
      <c r="A2654" s="207" t="str">
        <f>VLOOKUP(RIGHT(E2654,3)+0,SchLocTable!$A$2:$B$47,2,FALSE)</f>
        <v>Skane</v>
      </c>
      <c r="B2654" s="207" t="str">
        <f>VLOOKUP(VALUE(D2654),$D$3:F$106,3,FALSE)</f>
        <v>Psychologists</v>
      </c>
      <c r="C2654" s="751" t="s">
        <v>246</v>
      </c>
      <c r="D2654" s="751" t="s">
        <v>827</v>
      </c>
      <c r="E2654" s="751" t="s">
        <v>836</v>
      </c>
      <c r="F2654" s="751" t="s">
        <v>259</v>
      </c>
      <c r="G2654" s="752" t="s">
        <v>1681</v>
      </c>
      <c r="H2654" s="753">
        <v>52917</v>
      </c>
      <c r="I2654" s="754">
        <v>35075.879999999997</v>
      </c>
      <c r="J2654" s="754">
        <v>0</v>
      </c>
      <c r="K2654" s="754">
        <v>0</v>
      </c>
      <c r="L2654" s="754">
        <v>8351.4</v>
      </c>
      <c r="M2654" s="754">
        <f t="shared" si="107"/>
        <v>8351.4</v>
      </c>
      <c r="N2654" s="756">
        <v>35075.879999999997</v>
      </c>
      <c r="O2654" s="720">
        <f t="shared" si="108"/>
        <v>0</v>
      </c>
    </row>
    <row r="2655" spans="1:15" x14ac:dyDescent="0.25">
      <c r="A2655" s="207" t="str">
        <f>VLOOKUP(RIGHT(E2655,3)+0,SchLocTable!$A$2:$B$47,2,FALSE)</f>
        <v>Bassick HS</v>
      </c>
      <c r="B2655" s="207" t="str">
        <f>VLOOKUP(VALUE(D2655),$D$3:F$106,3,FALSE)</f>
        <v>Psychologists</v>
      </c>
      <c r="C2655" s="751" t="s">
        <v>246</v>
      </c>
      <c r="D2655" s="751" t="s">
        <v>827</v>
      </c>
      <c r="E2655" s="751" t="s">
        <v>1404</v>
      </c>
      <c r="F2655" s="751" t="s">
        <v>248</v>
      </c>
      <c r="G2655" s="752">
        <v>1</v>
      </c>
      <c r="H2655" s="753">
        <v>51000</v>
      </c>
      <c r="I2655" s="754">
        <v>65085.31</v>
      </c>
      <c r="J2655" s="754">
        <v>0</v>
      </c>
      <c r="K2655" s="754">
        <v>0</v>
      </c>
      <c r="L2655" s="754">
        <v>12468.45</v>
      </c>
      <c r="M2655" s="754">
        <f t="shared" si="107"/>
        <v>12468.45</v>
      </c>
      <c r="N2655" s="756">
        <v>65085.31</v>
      </c>
      <c r="O2655" s="720">
        <f t="shared" si="108"/>
        <v>0</v>
      </c>
    </row>
    <row r="2656" spans="1:15" x14ac:dyDescent="0.25">
      <c r="A2656" s="207" t="str">
        <f>VLOOKUP(RIGHT(E2656,3)+0,SchLocTable!$A$2:$B$47,2,FALSE)</f>
        <v>Bassick HS</v>
      </c>
      <c r="B2656" s="207" t="str">
        <f>VLOOKUP(VALUE(D2656),$D$3:F$106,3,FALSE)</f>
        <v>Psychologists</v>
      </c>
      <c r="C2656" s="751" t="s">
        <v>246</v>
      </c>
      <c r="D2656" s="751" t="s">
        <v>827</v>
      </c>
      <c r="E2656" s="751" t="s">
        <v>1404</v>
      </c>
      <c r="F2656" s="751" t="s">
        <v>402</v>
      </c>
      <c r="G2656" s="752" t="s">
        <v>1681</v>
      </c>
      <c r="H2656" s="753">
        <v>51400</v>
      </c>
      <c r="I2656" s="754">
        <v>1045.77</v>
      </c>
      <c r="J2656" s="754">
        <v>0</v>
      </c>
      <c r="K2656" s="754">
        <v>0</v>
      </c>
      <c r="L2656" s="754">
        <v>1045.77</v>
      </c>
      <c r="M2656" s="754">
        <f t="shared" si="107"/>
        <v>1045.77</v>
      </c>
      <c r="N2656" s="756">
        <v>1045.77</v>
      </c>
      <c r="O2656" s="720">
        <f t="shared" si="108"/>
        <v>0</v>
      </c>
    </row>
    <row r="2657" spans="1:15" x14ac:dyDescent="0.25">
      <c r="A2657" s="207" t="str">
        <f>VLOOKUP(RIGHT(E2657,3)+0,SchLocTable!$A$2:$B$47,2,FALSE)</f>
        <v>Bassick HS</v>
      </c>
      <c r="B2657" s="207" t="str">
        <f>VLOOKUP(VALUE(D2657),$D$3:F$106,3,FALSE)</f>
        <v>Psychologists</v>
      </c>
      <c r="C2657" s="751" t="s">
        <v>246</v>
      </c>
      <c r="D2657" s="751" t="s">
        <v>827</v>
      </c>
      <c r="E2657" s="751" t="s">
        <v>1404</v>
      </c>
      <c r="F2657" s="751" t="s">
        <v>254</v>
      </c>
      <c r="G2657" s="752" t="s">
        <v>1681</v>
      </c>
      <c r="H2657" s="753">
        <v>52360</v>
      </c>
      <c r="I2657" s="754">
        <v>946.85</v>
      </c>
      <c r="J2657" s="754">
        <v>0</v>
      </c>
      <c r="K2657" s="754">
        <v>0</v>
      </c>
      <c r="L2657" s="754">
        <v>183.91</v>
      </c>
      <c r="M2657" s="754">
        <f t="shared" si="107"/>
        <v>183.91</v>
      </c>
      <c r="N2657" s="756">
        <v>946.85</v>
      </c>
      <c r="O2657" s="720">
        <f t="shared" si="108"/>
        <v>0</v>
      </c>
    </row>
    <row r="2658" spans="1:15" x14ac:dyDescent="0.25">
      <c r="A2658" s="207" t="str">
        <f>VLOOKUP(RIGHT(E2658,3)+0,SchLocTable!$A$2:$B$47,2,FALSE)</f>
        <v>Bassick HS</v>
      </c>
      <c r="B2658" s="207" t="str">
        <f>VLOOKUP(VALUE(D2658),$D$3:F$106,3,FALSE)</f>
        <v>Psychologists</v>
      </c>
      <c r="C2658" s="755" t="s">
        <v>246</v>
      </c>
      <c r="D2658" s="751" t="s">
        <v>827</v>
      </c>
      <c r="E2658" s="751" t="s">
        <v>1404</v>
      </c>
      <c r="F2658" s="751" t="s">
        <v>259</v>
      </c>
      <c r="G2658" s="752" t="s">
        <v>1681</v>
      </c>
      <c r="H2658" s="753">
        <v>52917</v>
      </c>
      <c r="I2658" s="754">
        <v>11844</v>
      </c>
      <c r="J2658" s="754">
        <v>0</v>
      </c>
      <c r="K2658" s="754">
        <v>0</v>
      </c>
      <c r="L2658" s="754">
        <v>2820</v>
      </c>
      <c r="M2658" s="754">
        <f t="shared" si="107"/>
        <v>2820</v>
      </c>
      <c r="N2658" s="756">
        <v>11844</v>
      </c>
      <c r="O2658" s="720">
        <f t="shared" si="108"/>
        <v>0</v>
      </c>
    </row>
    <row r="2659" spans="1:15" x14ac:dyDescent="0.25">
      <c r="A2659" s="207" t="str">
        <f>VLOOKUP(RIGHT(E2659,3)+0,SchLocTable!$A$2:$B$47,2,FALSE)</f>
        <v>Central HS</v>
      </c>
      <c r="B2659" s="207" t="str">
        <f>VLOOKUP(VALUE(D2659),$D$3:F$106,3,FALSE)</f>
        <v>Psychologists</v>
      </c>
      <c r="C2659" s="751" t="s">
        <v>246</v>
      </c>
      <c r="D2659" s="751" t="s">
        <v>827</v>
      </c>
      <c r="E2659" s="751" t="s">
        <v>837</v>
      </c>
      <c r="F2659" s="751" t="s">
        <v>248</v>
      </c>
      <c r="G2659" s="752">
        <v>1</v>
      </c>
      <c r="H2659" s="753">
        <v>51000</v>
      </c>
      <c r="I2659" s="754">
        <v>102758.04</v>
      </c>
      <c r="J2659" s="754">
        <v>0</v>
      </c>
      <c r="K2659" s="754">
        <v>0</v>
      </c>
      <c r="L2659" s="754">
        <v>24466.2</v>
      </c>
      <c r="M2659" s="754">
        <f t="shared" si="107"/>
        <v>24466.2</v>
      </c>
      <c r="N2659" s="756">
        <v>102758.04</v>
      </c>
      <c r="O2659" s="720">
        <f t="shared" si="108"/>
        <v>0</v>
      </c>
    </row>
    <row r="2660" spans="1:15" x14ac:dyDescent="0.25">
      <c r="A2660" s="207" t="str">
        <f>VLOOKUP(RIGHT(E2660,3)+0,SchLocTable!$A$2:$B$47,2,FALSE)</f>
        <v>Central HS</v>
      </c>
      <c r="B2660" s="207" t="str">
        <f>VLOOKUP(VALUE(D2660),$D$3:F$106,3,FALSE)</f>
        <v>Psychologists</v>
      </c>
      <c r="C2660" s="751" t="s">
        <v>246</v>
      </c>
      <c r="D2660" s="751" t="s">
        <v>827</v>
      </c>
      <c r="E2660" s="751" t="s">
        <v>837</v>
      </c>
      <c r="F2660" s="751" t="s">
        <v>402</v>
      </c>
      <c r="G2660" s="752" t="s">
        <v>1681</v>
      </c>
      <c r="H2660" s="753">
        <v>51400</v>
      </c>
      <c r="I2660" s="754">
        <v>1242.1400000000001</v>
      </c>
      <c r="J2660" s="754">
        <v>0</v>
      </c>
      <c r="K2660" s="754">
        <v>0</v>
      </c>
      <c r="L2660" s="754">
        <v>0</v>
      </c>
      <c r="M2660" s="754">
        <f t="shared" si="107"/>
        <v>0</v>
      </c>
      <c r="N2660" s="756">
        <v>1242.1400000000001</v>
      </c>
      <c r="O2660" s="720">
        <f t="shared" si="108"/>
        <v>0</v>
      </c>
    </row>
    <row r="2661" spans="1:15" x14ac:dyDescent="0.25">
      <c r="A2661" s="207" t="str">
        <f>VLOOKUP(RIGHT(E2661,3)+0,SchLocTable!$A$2:$B$47,2,FALSE)</f>
        <v>Central HS</v>
      </c>
      <c r="B2661" s="207" t="str">
        <f>VLOOKUP(VALUE(D2661),$D$3:F$106,3,FALSE)</f>
        <v>Psychologists</v>
      </c>
      <c r="C2661" s="751" t="s">
        <v>246</v>
      </c>
      <c r="D2661" s="751" t="s">
        <v>827</v>
      </c>
      <c r="E2661" s="751" t="s">
        <v>837</v>
      </c>
      <c r="F2661" s="751" t="s">
        <v>454</v>
      </c>
      <c r="G2661" s="752" t="s">
        <v>1681</v>
      </c>
      <c r="H2661" s="753">
        <v>51404</v>
      </c>
      <c r="I2661" s="754">
        <v>0</v>
      </c>
      <c r="J2661" s="754">
        <v>0</v>
      </c>
      <c r="K2661" s="754">
        <v>0</v>
      </c>
      <c r="L2661" s="754">
        <v>0</v>
      </c>
      <c r="M2661" s="754">
        <f t="shared" si="107"/>
        <v>0</v>
      </c>
      <c r="N2661" s="756">
        <v>0</v>
      </c>
      <c r="O2661" s="720">
        <f t="shared" si="108"/>
        <v>0</v>
      </c>
    </row>
    <row r="2662" spans="1:15" x14ac:dyDescent="0.25">
      <c r="A2662" s="207" t="str">
        <f>VLOOKUP(RIGHT(E2662,3)+0,SchLocTable!$A$2:$B$47,2,FALSE)</f>
        <v>Central HS</v>
      </c>
      <c r="B2662" s="207" t="str">
        <f>VLOOKUP(VALUE(D2662),$D$3:F$106,3,FALSE)</f>
        <v>Psychologists</v>
      </c>
      <c r="C2662" s="751" t="s">
        <v>246</v>
      </c>
      <c r="D2662" s="751" t="s">
        <v>827</v>
      </c>
      <c r="E2662" s="751" t="s">
        <v>837</v>
      </c>
      <c r="F2662" s="751" t="s">
        <v>254</v>
      </c>
      <c r="G2662" s="752" t="s">
        <v>1681</v>
      </c>
      <c r="H2662" s="753">
        <v>52360</v>
      </c>
      <c r="I2662" s="754">
        <v>1489.99</v>
      </c>
      <c r="J2662" s="754">
        <v>0</v>
      </c>
      <c r="K2662" s="754">
        <v>0</v>
      </c>
      <c r="L2662" s="754">
        <v>354.76</v>
      </c>
      <c r="M2662" s="754">
        <f t="shared" si="107"/>
        <v>354.76</v>
      </c>
      <c r="N2662" s="756">
        <v>1489.99</v>
      </c>
      <c r="O2662" s="720">
        <f t="shared" si="108"/>
        <v>0</v>
      </c>
    </row>
    <row r="2663" spans="1:15" x14ac:dyDescent="0.25">
      <c r="A2663" s="207" t="str">
        <f>VLOOKUP(RIGHT(E2663,3)+0,SchLocTable!$A$2:$B$47,2,FALSE)</f>
        <v>Central HS</v>
      </c>
      <c r="B2663" s="207" t="str">
        <f>VLOOKUP(VALUE(D2663),$D$3:F$106,3,FALSE)</f>
        <v>Psychologists</v>
      </c>
      <c r="C2663" s="751" t="s">
        <v>246</v>
      </c>
      <c r="D2663" s="751" t="s">
        <v>827</v>
      </c>
      <c r="E2663" s="751" t="s">
        <v>837</v>
      </c>
      <c r="F2663" s="751" t="s">
        <v>259</v>
      </c>
      <c r="G2663" s="752" t="s">
        <v>1681</v>
      </c>
      <c r="H2663" s="753">
        <v>52917</v>
      </c>
      <c r="I2663" s="754">
        <v>0</v>
      </c>
      <c r="J2663" s="754">
        <v>0</v>
      </c>
      <c r="K2663" s="754">
        <v>0</v>
      </c>
      <c r="L2663" s="754">
        <v>0</v>
      </c>
      <c r="M2663" s="754">
        <f t="shared" si="107"/>
        <v>0</v>
      </c>
      <c r="N2663" s="756">
        <v>0</v>
      </c>
      <c r="O2663" s="720">
        <f t="shared" si="108"/>
        <v>0</v>
      </c>
    </row>
    <row r="2664" spans="1:15" x14ac:dyDescent="0.25">
      <c r="A2664" s="207" t="str">
        <f>VLOOKUP(RIGHT(E2664,3)+0,SchLocTable!$A$2:$B$47,2,FALSE)</f>
        <v>FCW campus</v>
      </c>
      <c r="B2664" s="207" t="str">
        <f>VLOOKUP(VALUE(D2664),$D$3:F$106,3,FALSE)</f>
        <v>Psychologists</v>
      </c>
      <c r="C2664" s="751" t="s">
        <v>246</v>
      </c>
      <c r="D2664" s="751" t="s">
        <v>827</v>
      </c>
      <c r="E2664" s="751" t="s">
        <v>1504</v>
      </c>
      <c r="F2664" s="751" t="s">
        <v>248</v>
      </c>
      <c r="G2664" s="752">
        <v>1</v>
      </c>
      <c r="H2664" s="753">
        <v>51000</v>
      </c>
      <c r="I2664" s="754">
        <v>103153.2</v>
      </c>
      <c r="J2664" s="754">
        <v>0</v>
      </c>
      <c r="K2664" s="754">
        <v>0</v>
      </c>
      <c r="L2664" s="754">
        <v>19761.150000000001</v>
      </c>
      <c r="M2664" s="754">
        <f t="shared" si="107"/>
        <v>19761.150000000001</v>
      </c>
      <c r="N2664" s="756">
        <v>103153.2</v>
      </c>
      <c r="O2664" s="720">
        <f t="shared" si="108"/>
        <v>0</v>
      </c>
    </row>
    <row r="2665" spans="1:15" x14ac:dyDescent="0.25">
      <c r="A2665" s="207" t="str">
        <f>VLOOKUP(RIGHT(E2665,3)+0,SchLocTable!$A$2:$B$47,2,FALSE)</f>
        <v>FCW campus</v>
      </c>
      <c r="B2665" s="207" t="str">
        <f>VLOOKUP(VALUE(D2665),$D$3:F$106,3,FALSE)</f>
        <v>Psychologists</v>
      </c>
      <c r="C2665" s="755" t="s">
        <v>246</v>
      </c>
      <c r="D2665" s="751" t="s">
        <v>827</v>
      </c>
      <c r="E2665" s="751" t="s">
        <v>1504</v>
      </c>
      <c r="F2665" s="751" t="s">
        <v>257</v>
      </c>
      <c r="G2665" s="752" t="s">
        <v>1681</v>
      </c>
      <c r="H2665" s="753">
        <v>51140</v>
      </c>
      <c r="I2665" s="754">
        <v>900</v>
      </c>
      <c r="J2665" s="754">
        <v>0</v>
      </c>
      <c r="K2665" s="754">
        <v>0</v>
      </c>
      <c r="L2665" s="754">
        <v>0</v>
      </c>
      <c r="M2665" s="754">
        <f t="shared" si="107"/>
        <v>0</v>
      </c>
      <c r="N2665" s="756">
        <v>900</v>
      </c>
      <c r="O2665" s="720">
        <f t="shared" si="108"/>
        <v>0</v>
      </c>
    </row>
    <row r="2666" spans="1:15" x14ac:dyDescent="0.25">
      <c r="A2666" s="207" t="str">
        <f>VLOOKUP(RIGHT(E2666,3)+0,SchLocTable!$A$2:$B$47,2,FALSE)</f>
        <v>FCW campus</v>
      </c>
      <c r="B2666" s="207" t="str">
        <f>VLOOKUP(VALUE(D2666),$D$3:F$106,3,FALSE)</f>
        <v>Psychologists</v>
      </c>
      <c r="C2666" s="751" t="s">
        <v>246</v>
      </c>
      <c r="D2666" s="751" t="s">
        <v>827</v>
      </c>
      <c r="E2666" s="751" t="s">
        <v>1504</v>
      </c>
      <c r="F2666" s="751" t="s">
        <v>402</v>
      </c>
      <c r="G2666" s="752" t="s">
        <v>1681</v>
      </c>
      <c r="H2666" s="753">
        <v>51400</v>
      </c>
      <c r="I2666" s="754">
        <v>5761.2</v>
      </c>
      <c r="J2666" s="754">
        <v>0</v>
      </c>
      <c r="K2666" s="754">
        <v>0</v>
      </c>
      <c r="L2666" s="754">
        <v>1233</v>
      </c>
      <c r="M2666" s="754">
        <f t="shared" si="107"/>
        <v>1233</v>
      </c>
      <c r="N2666" s="756">
        <v>5761.2</v>
      </c>
      <c r="O2666" s="720">
        <f t="shared" si="108"/>
        <v>0</v>
      </c>
    </row>
    <row r="2667" spans="1:15" x14ac:dyDescent="0.25">
      <c r="A2667" s="207" t="str">
        <f>VLOOKUP(RIGHT(E2667,3)+0,SchLocTable!$A$2:$B$47,2,FALSE)</f>
        <v>FCW campus</v>
      </c>
      <c r="B2667" s="207" t="str">
        <f>VLOOKUP(VALUE(D2667),$D$3:F$106,3,FALSE)</f>
        <v>Psychologists</v>
      </c>
      <c r="C2667" s="751" t="s">
        <v>246</v>
      </c>
      <c r="D2667" s="751" t="s">
        <v>827</v>
      </c>
      <c r="E2667" s="751" t="s">
        <v>1504</v>
      </c>
      <c r="F2667" s="751" t="s">
        <v>254</v>
      </c>
      <c r="G2667" s="752" t="s">
        <v>1681</v>
      </c>
      <c r="H2667" s="753">
        <v>52360</v>
      </c>
      <c r="I2667" s="754">
        <v>1878.8</v>
      </c>
      <c r="J2667" s="754">
        <v>0</v>
      </c>
      <c r="K2667" s="754">
        <v>0</v>
      </c>
      <c r="L2667" s="754">
        <v>292.38</v>
      </c>
      <c r="M2667" s="754">
        <f t="shared" si="107"/>
        <v>292.38</v>
      </c>
      <c r="N2667" s="756">
        <v>1878.8</v>
      </c>
      <c r="O2667" s="720">
        <f t="shared" si="108"/>
        <v>0</v>
      </c>
    </row>
    <row r="2668" spans="1:15" x14ac:dyDescent="0.25">
      <c r="A2668" s="207" t="str">
        <f>VLOOKUP(RIGHT(E2668,3)+0,SchLocTable!$A$2:$B$47,2,FALSE)</f>
        <v>FCW campus</v>
      </c>
      <c r="B2668" s="207" t="str">
        <f>VLOOKUP(VALUE(D2668),$D$3:F$106,3,FALSE)</f>
        <v>Psychologists</v>
      </c>
      <c r="C2668" s="751" t="s">
        <v>246</v>
      </c>
      <c r="D2668" s="751" t="s">
        <v>827</v>
      </c>
      <c r="E2668" s="751" t="s">
        <v>1504</v>
      </c>
      <c r="F2668" s="751" t="s">
        <v>259</v>
      </c>
      <c r="G2668" s="752" t="s">
        <v>1681</v>
      </c>
      <c r="H2668" s="753">
        <v>52917</v>
      </c>
      <c r="I2668" s="754">
        <v>11844</v>
      </c>
      <c r="J2668" s="754">
        <v>0</v>
      </c>
      <c r="K2668" s="754">
        <v>0</v>
      </c>
      <c r="L2668" s="754">
        <v>2820</v>
      </c>
      <c r="M2668" s="754">
        <f t="shared" si="107"/>
        <v>2820</v>
      </c>
      <c r="N2668" s="756">
        <v>11844</v>
      </c>
      <c r="O2668" s="720">
        <f t="shared" si="108"/>
        <v>0</v>
      </c>
    </row>
    <row r="2669" spans="1:15" x14ac:dyDescent="0.25">
      <c r="A2669" s="207" t="e">
        <f>VLOOKUP(RIGHT(E2669,3)+0,SchLocTable!$A$2:$B$47,2,FALSE)</f>
        <v>#N/A</v>
      </c>
      <c r="B2669" s="207" t="str">
        <f>VLOOKUP(VALUE(D2669),$D$3:F$106,3,FALSE)</f>
        <v>Guidance Counselors</v>
      </c>
      <c r="C2669" s="751" t="s">
        <v>246</v>
      </c>
      <c r="D2669" s="751" t="s">
        <v>838</v>
      </c>
      <c r="E2669" s="751" t="s">
        <v>1619</v>
      </c>
      <c r="F2669" s="751" t="s">
        <v>248</v>
      </c>
      <c r="G2669" s="752">
        <v>3</v>
      </c>
      <c r="H2669" s="753">
        <v>51000</v>
      </c>
      <c r="I2669" s="754">
        <v>307782.53000000003</v>
      </c>
      <c r="J2669" s="754">
        <v>0</v>
      </c>
      <c r="K2669" s="754">
        <v>0</v>
      </c>
      <c r="L2669" s="754">
        <v>46829.33</v>
      </c>
      <c r="M2669" s="754">
        <f t="shared" si="107"/>
        <v>46829.33</v>
      </c>
      <c r="N2669" s="756">
        <v>307782.53000000003</v>
      </c>
      <c r="O2669" s="720">
        <f t="shared" si="108"/>
        <v>0</v>
      </c>
    </row>
    <row r="2670" spans="1:15" x14ac:dyDescent="0.25">
      <c r="A2670" s="207" t="e">
        <f>VLOOKUP(RIGHT(E2670,3)+0,SchLocTable!$A$2:$B$47,2,FALSE)</f>
        <v>#N/A</v>
      </c>
      <c r="B2670" s="207" t="str">
        <f>VLOOKUP(VALUE(D2670),$D$3:F$106,3,FALSE)</f>
        <v>Guidance Counselors</v>
      </c>
      <c r="C2670" s="751" t="s">
        <v>246</v>
      </c>
      <c r="D2670" s="751" t="s">
        <v>838</v>
      </c>
      <c r="E2670" s="751" t="s">
        <v>1619</v>
      </c>
      <c r="F2670" s="751" t="s">
        <v>257</v>
      </c>
      <c r="G2670" s="752" t="s">
        <v>1681</v>
      </c>
      <c r="H2670" s="753">
        <v>51140</v>
      </c>
      <c r="I2670" s="754">
        <v>3700</v>
      </c>
      <c r="J2670" s="754">
        <v>0</v>
      </c>
      <c r="K2670" s="754">
        <v>0</v>
      </c>
      <c r="L2670" s="754">
        <v>0</v>
      </c>
      <c r="M2670" s="754">
        <f t="shared" si="107"/>
        <v>0</v>
      </c>
      <c r="N2670" s="756">
        <v>3700</v>
      </c>
      <c r="O2670" s="720">
        <f t="shared" si="108"/>
        <v>0</v>
      </c>
    </row>
    <row r="2671" spans="1:15" x14ac:dyDescent="0.25">
      <c r="A2671" s="207" t="e">
        <f>VLOOKUP(RIGHT(E2671,3)+0,SchLocTable!$A$2:$B$47,2,FALSE)</f>
        <v>#N/A</v>
      </c>
      <c r="B2671" s="207" t="str">
        <f>VLOOKUP(VALUE(D2671),$D$3:F$106,3,FALSE)</f>
        <v>Guidance Counselors</v>
      </c>
      <c r="C2671" s="751" t="s">
        <v>246</v>
      </c>
      <c r="D2671" s="751" t="s">
        <v>838</v>
      </c>
      <c r="E2671" s="751" t="s">
        <v>1619</v>
      </c>
      <c r="F2671" s="751" t="s">
        <v>254</v>
      </c>
      <c r="G2671" s="752" t="s">
        <v>1681</v>
      </c>
      <c r="H2671" s="753">
        <v>52360</v>
      </c>
      <c r="I2671" s="754">
        <v>4440.25</v>
      </c>
      <c r="J2671" s="754">
        <v>0</v>
      </c>
      <c r="K2671" s="754">
        <v>0</v>
      </c>
      <c r="L2671" s="754">
        <v>656.43</v>
      </c>
      <c r="M2671" s="754">
        <f t="shared" si="107"/>
        <v>656.43</v>
      </c>
      <c r="N2671" s="756">
        <v>4440.25</v>
      </c>
      <c r="O2671" s="720">
        <f t="shared" si="108"/>
        <v>0</v>
      </c>
    </row>
    <row r="2672" spans="1:15" x14ac:dyDescent="0.25">
      <c r="A2672" s="207" t="e">
        <f>VLOOKUP(RIGHT(E2672,3)+0,SchLocTable!$A$2:$B$47,2,FALSE)</f>
        <v>#N/A</v>
      </c>
      <c r="B2672" s="207" t="str">
        <f>VLOOKUP(VALUE(D2672),$D$3:F$106,3,FALSE)</f>
        <v>Guidance Counselors</v>
      </c>
      <c r="C2672" s="751" t="s">
        <v>246</v>
      </c>
      <c r="D2672" s="751" t="s">
        <v>838</v>
      </c>
      <c r="E2672" s="751" t="s">
        <v>1619</v>
      </c>
      <c r="F2672" s="751" t="s">
        <v>259</v>
      </c>
      <c r="G2672" s="752" t="s">
        <v>1681</v>
      </c>
      <c r="H2672" s="753">
        <v>52917</v>
      </c>
      <c r="I2672" s="754">
        <v>21432</v>
      </c>
      <c r="J2672" s="754">
        <v>0</v>
      </c>
      <c r="K2672" s="754">
        <v>0</v>
      </c>
      <c r="L2672" s="754">
        <v>3384</v>
      </c>
      <c r="M2672" s="754">
        <f t="shared" si="107"/>
        <v>3384</v>
      </c>
      <c r="N2672" s="756">
        <v>21432</v>
      </c>
      <c r="O2672" s="720">
        <f t="shared" si="108"/>
        <v>0</v>
      </c>
    </row>
    <row r="2673" spans="1:15" x14ac:dyDescent="0.25">
      <c r="A2673" s="207" t="str">
        <f>VLOOKUP(RIGHT(E2673,3)+0,SchLocTable!$A$2:$B$47,2,FALSE)</f>
        <v>Barnum</v>
      </c>
      <c r="B2673" s="207" t="str">
        <f>VLOOKUP(VALUE(D2673),$D$3:F$106,3,FALSE)</f>
        <v>Guidance Counselors</v>
      </c>
      <c r="C2673" s="751" t="s">
        <v>246</v>
      </c>
      <c r="D2673" s="751" t="s">
        <v>838</v>
      </c>
      <c r="E2673" s="751" t="s">
        <v>839</v>
      </c>
      <c r="F2673" s="751" t="s">
        <v>248</v>
      </c>
      <c r="G2673" s="752">
        <v>1</v>
      </c>
      <c r="H2673" s="753">
        <v>51000</v>
      </c>
      <c r="I2673" s="754">
        <v>103153.2</v>
      </c>
      <c r="J2673" s="754">
        <v>0</v>
      </c>
      <c r="K2673" s="754">
        <v>0</v>
      </c>
      <c r="L2673" s="754">
        <v>19761.150000000001</v>
      </c>
      <c r="M2673" s="754">
        <f t="shared" si="107"/>
        <v>19761.150000000001</v>
      </c>
      <c r="N2673" s="756">
        <v>103153.2</v>
      </c>
      <c r="O2673" s="720">
        <f t="shared" si="108"/>
        <v>0</v>
      </c>
    </row>
    <row r="2674" spans="1:15" x14ac:dyDescent="0.25">
      <c r="A2674" s="207" t="str">
        <f>VLOOKUP(RIGHT(E2674,3)+0,SchLocTable!$A$2:$B$47,2,FALSE)</f>
        <v>Barnum</v>
      </c>
      <c r="B2674" s="207" t="str">
        <f>VLOOKUP(VALUE(D2674),$D$3:F$106,3,FALSE)</f>
        <v>Guidance Counselors</v>
      </c>
      <c r="C2674" s="751" t="s">
        <v>246</v>
      </c>
      <c r="D2674" s="751" t="s">
        <v>838</v>
      </c>
      <c r="E2674" s="751" t="s">
        <v>839</v>
      </c>
      <c r="F2674" s="751" t="s">
        <v>257</v>
      </c>
      <c r="G2674" s="752" t="s">
        <v>1681</v>
      </c>
      <c r="H2674" s="753">
        <v>51140</v>
      </c>
      <c r="I2674" s="754">
        <v>900</v>
      </c>
      <c r="J2674" s="754">
        <v>0</v>
      </c>
      <c r="K2674" s="754">
        <v>0</v>
      </c>
      <c r="L2674" s="754">
        <v>0</v>
      </c>
      <c r="M2674" s="754">
        <f t="shared" si="107"/>
        <v>0</v>
      </c>
      <c r="N2674" s="756">
        <v>900</v>
      </c>
      <c r="O2674" s="720">
        <f t="shared" si="108"/>
        <v>0</v>
      </c>
    </row>
    <row r="2675" spans="1:15" x14ac:dyDescent="0.25">
      <c r="A2675" s="207" t="str">
        <f>VLOOKUP(RIGHT(E2675,3)+0,SchLocTable!$A$2:$B$47,2,FALSE)</f>
        <v>Barnum</v>
      </c>
      <c r="B2675" s="207" t="str">
        <f>VLOOKUP(VALUE(D2675),$D$3:F$106,3,FALSE)</f>
        <v>Guidance Counselors</v>
      </c>
      <c r="C2675" s="751" t="s">
        <v>246</v>
      </c>
      <c r="D2675" s="751" t="s">
        <v>838</v>
      </c>
      <c r="E2675" s="751" t="s">
        <v>839</v>
      </c>
      <c r="F2675" s="751" t="s">
        <v>254</v>
      </c>
      <c r="G2675" s="752" t="s">
        <v>1681</v>
      </c>
      <c r="H2675" s="753">
        <v>52360</v>
      </c>
      <c r="I2675" s="754">
        <v>1483.68</v>
      </c>
      <c r="J2675" s="754">
        <v>0</v>
      </c>
      <c r="K2675" s="754">
        <v>0</v>
      </c>
      <c r="L2675" s="754">
        <v>274.5</v>
      </c>
      <c r="M2675" s="754">
        <f t="shared" si="107"/>
        <v>274.5</v>
      </c>
      <c r="N2675" s="756">
        <v>1483.68</v>
      </c>
      <c r="O2675" s="720">
        <f t="shared" si="108"/>
        <v>0</v>
      </c>
    </row>
    <row r="2676" spans="1:15" x14ac:dyDescent="0.25">
      <c r="A2676" s="207" t="str">
        <f>VLOOKUP(RIGHT(E2676,3)+0,SchLocTable!$A$2:$B$47,2,FALSE)</f>
        <v>Barnum</v>
      </c>
      <c r="B2676" s="207" t="str">
        <f>VLOOKUP(VALUE(D2676),$D$3:F$106,3,FALSE)</f>
        <v>Guidance Counselors</v>
      </c>
      <c r="C2676" s="751" t="s">
        <v>246</v>
      </c>
      <c r="D2676" s="751" t="s">
        <v>838</v>
      </c>
      <c r="E2676" s="751" t="s">
        <v>839</v>
      </c>
      <c r="F2676" s="751" t="s">
        <v>259</v>
      </c>
      <c r="G2676" s="752" t="s">
        <v>1681</v>
      </c>
      <c r="H2676" s="753">
        <v>52917</v>
      </c>
      <c r="I2676" s="754">
        <v>11844</v>
      </c>
      <c r="J2676" s="754">
        <v>0</v>
      </c>
      <c r="K2676" s="754">
        <v>0</v>
      </c>
      <c r="L2676" s="754">
        <v>2820</v>
      </c>
      <c r="M2676" s="754">
        <f t="shared" si="107"/>
        <v>2820</v>
      </c>
      <c r="N2676" s="756">
        <v>11844</v>
      </c>
      <c r="O2676" s="720">
        <f t="shared" si="108"/>
        <v>0</v>
      </c>
    </row>
    <row r="2677" spans="1:15" x14ac:dyDescent="0.25">
      <c r="A2677" s="207" t="str">
        <f>VLOOKUP(RIGHT(E2677,3)+0,SchLocTable!$A$2:$B$47,2,FALSE)</f>
        <v>Physical Science HS</v>
      </c>
      <c r="B2677" s="207" t="str">
        <f>VLOOKUP(VALUE(D2677),$D$3:F$106,3,FALSE)</f>
        <v>Guidance Counselors</v>
      </c>
      <c r="C2677" s="751" t="s">
        <v>246</v>
      </c>
      <c r="D2677" s="751" t="s">
        <v>838</v>
      </c>
      <c r="E2677" s="751" t="s">
        <v>2128</v>
      </c>
      <c r="F2677" s="751" t="s">
        <v>257</v>
      </c>
      <c r="G2677" s="752" t="s">
        <v>1681</v>
      </c>
      <c r="H2677" s="753">
        <v>51140</v>
      </c>
      <c r="I2677" s="754">
        <v>900</v>
      </c>
      <c r="J2677" s="754">
        <v>0</v>
      </c>
      <c r="K2677" s="754">
        <v>0</v>
      </c>
      <c r="L2677" s="754">
        <v>0</v>
      </c>
      <c r="M2677" s="754">
        <f t="shared" si="107"/>
        <v>0</v>
      </c>
      <c r="N2677" s="756">
        <v>900</v>
      </c>
      <c r="O2677" s="720">
        <f t="shared" si="108"/>
        <v>0</v>
      </c>
    </row>
    <row r="2678" spans="1:15" x14ac:dyDescent="0.25">
      <c r="A2678" s="207" t="str">
        <f>VLOOKUP(RIGHT(E2678,3)+0,SchLocTable!$A$2:$B$47,2,FALSE)</f>
        <v>Physical Science HS</v>
      </c>
      <c r="B2678" s="207" t="str">
        <f>VLOOKUP(VALUE(D2678),$D$3:F$106,3,FALSE)</f>
        <v>Guidance Counselors</v>
      </c>
      <c r="C2678" s="751" t="s">
        <v>246</v>
      </c>
      <c r="D2678" s="751" t="s">
        <v>838</v>
      </c>
      <c r="E2678" s="751" t="s">
        <v>2128</v>
      </c>
      <c r="F2678" s="751" t="s">
        <v>254</v>
      </c>
      <c r="G2678" s="752" t="s">
        <v>1681</v>
      </c>
      <c r="H2678" s="753">
        <v>52360</v>
      </c>
      <c r="I2678" s="754">
        <v>0</v>
      </c>
      <c r="J2678" s="754">
        <v>0</v>
      </c>
      <c r="K2678" s="754">
        <v>0</v>
      </c>
      <c r="L2678" s="754">
        <v>0</v>
      </c>
      <c r="M2678" s="754">
        <f t="shared" si="107"/>
        <v>0</v>
      </c>
      <c r="N2678" s="756">
        <v>0</v>
      </c>
      <c r="O2678" s="720">
        <f t="shared" si="108"/>
        <v>0</v>
      </c>
    </row>
    <row r="2679" spans="1:15" x14ac:dyDescent="0.25">
      <c r="A2679" s="207" t="str">
        <f>VLOOKUP(RIGHT(E2679,3)+0,SchLocTable!$A$2:$B$47,2,FALSE)</f>
        <v>Marin</v>
      </c>
      <c r="B2679" s="207" t="str">
        <f>VLOOKUP(VALUE(D2679),$D$3:F$106,3,FALSE)</f>
        <v>Guidance Counselors</v>
      </c>
      <c r="C2679" s="751" t="s">
        <v>246</v>
      </c>
      <c r="D2679" s="751" t="s">
        <v>838</v>
      </c>
      <c r="E2679" s="751" t="s">
        <v>840</v>
      </c>
      <c r="F2679" s="751" t="s">
        <v>248</v>
      </c>
      <c r="G2679" s="752" t="s">
        <v>1681</v>
      </c>
      <c r="H2679" s="753">
        <v>51000</v>
      </c>
      <c r="I2679" s="754">
        <v>0</v>
      </c>
      <c r="J2679" s="754">
        <v>0</v>
      </c>
      <c r="K2679" s="754">
        <v>0</v>
      </c>
      <c r="L2679" s="754">
        <v>0</v>
      </c>
      <c r="M2679" s="754">
        <f t="shared" si="107"/>
        <v>0</v>
      </c>
      <c r="N2679" s="756">
        <v>0</v>
      </c>
      <c r="O2679" s="720">
        <f t="shared" si="108"/>
        <v>0</v>
      </c>
    </row>
    <row r="2680" spans="1:15" x14ac:dyDescent="0.25">
      <c r="A2680" s="207" t="str">
        <f>VLOOKUP(RIGHT(E2680,3)+0,SchLocTable!$A$2:$B$47,2,FALSE)</f>
        <v>Marin</v>
      </c>
      <c r="B2680" s="207" t="str">
        <f>VLOOKUP(VALUE(D2680),$D$3:F$106,3,FALSE)</f>
        <v>Guidance Counselors</v>
      </c>
      <c r="C2680" s="755" t="s">
        <v>246</v>
      </c>
      <c r="D2680" s="751" t="s">
        <v>838</v>
      </c>
      <c r="E2680" s="751" t="s">
        <v>840</v>
      </c>
      <c r="F2680" s="751" t="s">
        <v>454</v>
      </c>
      <c r="G2680" s="752" t="s">
        <v>1681</v>
      </c>
      <c r="H2680" s="753">
        <v>51404</v>
      </c>
      <c r="I2680" s="754">
        <v>0</v>
      </c>
      <c r="J2680" s="754">
        <v>0</v>
      </c>
      <c r="K2680" s="754">
        <v>0</v>
      </c>
      <c r="L2680" s="754">
        <v>0</v>
      </c>
      <c r="M2680" s="754">
        <f t="shared" si="107"/>
        <v>0</v>
      </c>
      <c r="N2680" s="756">
        <v>0</v>
      </c>
      <c r="O2680" s="720">
        <f t="shared" si="108"/>
        <v>0</v>
      </c>
    </row>
    <row r="2681" spans="1:15" x14ac:dyDescent="0.25">
      <c r="A2681" s="207" t="str">
        <f>VLOOKUP(RIGHT(E2681,3)+0,SchLocTable!$A$2:$B$47,2,FALSE)</f>
        <v>Marin</v>
      </c>
      <c r="B2681" s="207" t="str">
        <f>VLOOKUP(VALUE(D2681),$D$3:F$106,3,FALSE)</f>
        <v>Guidance Counselors</v>
      </c>
      <c r="C2681" s="751" t="s">
        <v>246</v>
      </c>
      <c r="D2681" s="751" t="s">
        <v>838</v>
      </c>
      <c r="E2681" s="751" t="s">
        <v>840</v>
      </c>
      <c r="F2681" s="751" t="s">
        <v>254</v>
      </c>
      <c r="G2681" s="752" t="s">
        <v>1681</v>
      </c>
      <c r="H2681" s="753">
        <v>52360</v>
      </c>
      <c r="I2681" s="754">
        <v>0</v>
      </c>
      <c r="J2681" s="754">
        <v>0</v>
      </c>
      <c r="K2681" s="754">
        <v>0</v>
      </c>
      <c r="L2681" s="754">
        <v>0</v>
      </c>
      <c r="M2681" s="754">
        <f t="shared" si="107"/>
        <v>0</v>
      </c>
      <c r="N2681" s="756">
        <v>0</v>
      </c>
      <c r="O2681" s="720">
        <f t="shared" si="108"/>
        <v>0</v>
      </c>
    </row>
    <row r="2682" spans="1:15" x14ac:dyDescent="0.25">
      <c r="A2682" s="207" t="str">
        <f>VLOOKUP(RIGHT(E2682,3)+0,SchLocTable!$A$2:$B$47,2,FALSE)</f>
        <v>Marin</v>
      </c>
      <c r="B2682" s="207" t="str">
        <f>VLOOKUP(VALUE(D2682),$D$3:F$106,3,FALSE)</f>
        <v>Guidance Counselors</v>
      </c>
      <c r="C2682" s="751" t="s">
        <v>246</v>
      </c>
      <c r="D2682" s="751" t="s">
        <v>838</v>
      </c>
      <c r="E2682" s="751" t="s">
        <v>840</v>
      </c>
      <c r="F2682" s="751" t="s">
        <v>259</v>
      </c>
      <c r="G2682" s="752" t="s">
        <v>1681</v>
      </c>
      <c r="H2682" s="753">
        <v>52917</v>
      </c>
      <c r="I2682" s="754">
        <v>0</v>
      </c>
      <c r="J2682" s="754">
        <v>0</v>
      </c>
      <c r="K2682" s="754">
        <v>0</v>
      </c>
      <c r="L2682" s="754">
        <v>0</v>
      </c>
      <c r="M2682" s="754">
        <f t="shared" si="107"/>
        <v>0</v>
      </c>
      <c r="N2682" s="756">
        <v>0</v>
      </c>
      <c r="O2682" s="720">
        <f t="shared" si="108"/>
        <v>0</v>
      </c>
    </row>
    <row r="2683" spans="1:15" x14ac:dyDescent="0.25">
      <c r="A2683" s="207" t="str">
        <f>VLOOKUP(RIGHT(E2683,3)+0,SchLocTable!$A$2:$B$47,2,FALSE)</f>
        <v>Info Tech HS</v>
      </c>
      <c r="B2683" s="207" t="str">
        <f>VLOOKUP(VALUE(D2683),$D$3:F$106,3,FALSE)</f>
        <v>Guidance Counselors</v>
      </c>
      <c r="C2683" s="751" t="s">
        <v>246</v>
      </c>
      <c r="D2683" s="751" t="s">
        <v>838</v>
      </c>
      <c r="E2683" s="751" t="s">
        <v>2010</v>
      </c>
      <c r="F2683" s="751" t="s">
        <v>248</v>
      </c>
      <c r="G2683" s="752" t="s">
        <v>1681</v>
      </c>
      <c r="H2683" s="753">
        <v>51000</v>
      </c>
      <c r="I2683" s="754">
        <v>0</v>
      </c>
      <c r="J2683" s="754">
        <v>0</v>
      </c>
      <c r="K2683" s="754">
        <v>0</v>
      </c>
      <c r="L2683" s="754">
        <v>0</v>
      </c>
      <c r="M2683" s="754">
        <f t="shared" si="107"/>
        <v>0</v>
      </c>
      <c r="N2683" s="756">
        <v>0</v>
      </c>
      <c r="O2683" s="720">
        <f t="shared" si="108"/>
        <v>0</v>
      </c>
    </row>
    <row r="2684" spans="1:15" x14ac:dyDescent="0.25">
      <c r="A2684" s="207" t="str">
        <f>VLOOKUP(RIGHT(E2684,3)+0,SchLocTable!$A$2:$B$47,2,FALSE)</f>
        <v>Info Tech HS</v>
      </c>
      <c r="B2684" s="207" t="str">
        <f>VLOOKUP(VALUE(D2684),$D$3:F$106,3,FALSE)</f>
        <v>Guidance Counselors</v>
      </c>
      <c r="C2684" s="751" t="s">
        <v>246</v>
      </c>
      <c r="D2684" s="751" t="s">
        <v>838</v>
      </c>
      <c r="E2684" s="751" t="s">
        <v>2010</v>
      </c>
      <c r="F2684" s="751" t="s">
        <v>257</v>
      </c>
      <c r="G2684" s="752" t="s">
        <v>1681</v>
      </c>
      <c r="H2684" s="753">
        <v>51140</v>
      </c>
      <c r="I2684" s="754">
        <v>900</v>
      </c>
      <c r="J2684" s="754">
        <v>0</v>
      </c>
      <c r="K2684" s="754">
        <v>0</v>
      </c>
      <c r="L2684" s="754">
        <v>0</v>
      </c>
      <c r="M2684" s="754">
        <f t="shared" si="107"/>
        <v>0</v>
      </c>
      <c r="N2684" s="756">
        <v>900</v>
      </c>
      <c r="O2684" s="720">
        <f t="shared" si="108"/>
        <v>0</v>
      </c>
    </row>
    <row r="2685" spans="1:15" x14ac:dyDescent="0.25">
      <c r="A2685" s="207" t="str">
        <f>VLOOKUP(RIGHT(E2685,3)+0,SchLocTable!$A$2:$B$47,2,FALSE)</f>
        <v>Info Tech HS</v>
      </c>
      <c r="B2685" s="207" t="str">
        <f>VLOOKUP(VALUE(D2685),$D$3:F$106,3,FALSE)</f>
        <v>Guidance Counselors</v>
      </c>
      <c r="C2685" s="751" t="s">
        <v>246</v>
      </c>
      <c r="D2685" s="751" t="s">
        <v>838</v>
      </c>
      <c r="E2685" s="751" t="s">
        <v>2010</v>
      </c>
      <c r="F2685" s="751" t="s">
        <v>254</v>
      </c>
      <c r="G2685" s="752" t="s">
        <v>1681</v>
      </c>
      <c r="H2685" s="753">
        <v>52360</v>
      </c>
      <c r="I2685" s="754">
        <v>0</v>
      </c>
      <c r="J2685" s="754">
        <v>0</v>
      </c>
      <c r="K2685" s="754">
        <v>0</v>
      </c>
      <c r="L2685" s="754">
        <v>0</v>
      </c>
      <c r="M2685" s="754">
        <f t="shared" si="107"/>
        <v>0</v>
      </c>
      <c r="N2685" s="756">
        <v>0</v>
      </c>
      <c r="O2685" s="720">
        <f t="shared" si="108"/>
        <v>0</v>
      </c>
    </row>
    <row r="2686" spans="1:15" x14ac:dyDescent="0.25">
      <c r="A2686" s="207" t="str">
        <f>VLOOKUP(RIGHT(E2686,3)+0,SchLocTable!$A$2:$B$47,2,FALSE)</f>
        <v>BMA HS</v>
      </c>
      <c r="B2686" s="207" t="str">
        <f>VLOOKUP(VALUE(D2686),$D$3:F$106,3,FALSE)</f>
        <v>Guidance Counselors</v>
      </c>
      <c r="C2686" s="751" t="s">
        <v>246</v>
      </c>
      <c r="D2686" s="751" t="s">
        <v>838</v>
      </c>
      <c r="E2686" s="751" t="s">
        <v>841</v>
      </c>
      <c r="F2686" s="751" t="s">
        <v>248</v>
      </c>
      <c r="G2686" s="752">
        <v>1</v>
      </c>
      <c r="H2686" s="753">
        <v>51000</v>
      </c>
      <c r="I2686" s="754">
        <v>60436.14</v>
      </c>
      <c r="J2686" s="754">
        <v>0</v>
      </c>
      <c r="K2686" s="754">
        <v>0</v>
      </c>
      <c r="L2686" s="754">
        <v>18117.740000000002</v>
      </c>
      <c r="M2686" s="754">
        <f t="shared" si="107"/>
        <v>18117.740000000002</v>
      </c>
      <c r="N2686" s="756">
        <v>60436.14</v>
      </c>
      <c r="O2686" s="720">
        <f t="shared" si="108"/>
        <v>0</v>
      </c>
    </row>
    <row r="2687" spans="1:15" x14ac:dyDescent="0.25">
      <c r="A2687" s="207" t="str">
        <f>VLOOKUP(RIGHT(E2687,3)+0,SchLocTable!$A$2:$B$47,2,FALSE)</f>
        <v>BMA HS</v>
      </c>
      <c r="B2687" s="207" t="str">
        <f>VLOOKUP(VALUE(D2687),$D$3:F$106,3,FALSE)</f>
        <v>Guidance Counselors</v>
      </c>
      <c r="C2687" s="751" t="s">
        <v>246</v>
      </c>
      <c r="D2687" s="751" t="s">
        <v>838</v>
      </c>
      <c r="E2687" s="751" t="s">
        <v>841</v>
      </c>
      <c r="F2687" s="751" t="s">
        <v>402</v>
      </c>
      <c r="G2687" s="752" t="s">
        <v>1681</v>
      </c>
      <c r="H2687" s="753">
        <v>51400</v>
      </c>
      <c r="I2687" s="754">
        <v>0</v>
      </c>
      <c r="J2687" s="754">
        <v>0</v>
      </c>
      <c r="K2687" s="754">
        <v>0</v>
      </c>
      <c r="L2687" s="754">
        <v>0</v>
      </c>
      <c r="M2687" s="754">
        <f t="shared" ref="M2687:M2750" si="109">SUM(J2687:L2687)</f>
        <v>0</v>
      </c>
      <c r="N2687" s="756">
        <v>0</v>
      </c>
      <c r="O2687" s="720">
        <f t="shared" ref="O2687:O2750" si="110">I2687-N2687</f>
        <v>0</v>
      </c>
    </row>
    <row r="2688" spans="1:15" x14ac:dyDescent="0.25">
      <c r="A2688" s="207" t="str">
        <f>VLOOKUP(RIGHT(E2688,3)+0,SchLocTable!$A$2:$B$47,2,FALSE)</f>
        <v>BMA HS</v>
      </c>
      <c r="B2688" s="207" t="str">
        <f>VLOOKUP(VALUE(D2688),$D$3:F$106,3,FALSE)</f>
        <v>Guidance Counselors</v>
      </c>
      <c r="C2688" s="751" t="s">
        <v>246</v>
      </c>
      <c r="D2688" s="751" t="s">
        <v>838</v>
      </c>
      <c r="E2688" s="751" t="s">
        <v>841</v>
      </c>
      <c r="F2688" s="751" t="s">
        <v>254</v>
      </c>
      <c r="G2688" s="752" t="s">
        <v>1681</v>
      </c>
      <c r="H2688" s="753">
        <v>52360</v>
      </c>
      <c r="I2688" s="754">
        <v>873.87</v>
      </c>
      <c r="J2688" s="754">
        <v>0</v>
      </c>
      <c r="K2688" s="754">
        <v>0</v>
      </c>
      <c r="L2688" s="754">
        <v>260.25</v>
      </c>
      <c r="M2688" s="754">
        <f t="shared" si="109"/>
        <v>260.25</v>
      </c>
      <c r="N2688" s="756">
        <v>873.87</v>
      </c>
      <c r="O2688" s="720">
        <f t="shared" si="110"/>
        <v>0</v>
      </c>
    </row>
    <row r="2689" spans="1:15" x14ac:dyDescent="0.25">
      <c r="A2689" s="207" t="str">
        <f>VLOOKUP(RIGHT(E2689,3)+0,SchLocTable!$A$2:$B$47,2,FALSE)</f>
        <v>BMA HS</v>
      </c>
      <c r="B2689" s="207" t="str">
        <f>VLOOKUP(VALUE(D2689),$D$3:F$106,3,FALSE)</f>
        <v>Guidance Counselors</v>
      </c>
      <c r="C2689" s="755" t="s">
        <v>246</v>
      </c>
      <c r="D2689" s="751" t="s">
        <v>838</v>
      </c>
      <c r="E2689" s="751" t="s">
        <v>841</v>
      </c>
      <c r="F2689" s="751" t="s">
        <v>259</v>
      </c>
      <c r="G2689" s="752" t="s">
        <v>1681</v>
      </c>
      <c r="H2689" s="753">
        <v>52917</v>
      </c>
      <c r="I2689" s="754">
        <v>584.91999999999996</v>
      </c>
      <c r="J2689" s="754">
        <v>0</v>
      </c>
      <c r="K2689" s="754">
        <v>0</v>
      </c>
      <c r="L2689" s="754">
        <v>584.91999999999996</v>
      </c>
      <c r="M2689" s="754">
        <f t="shared" si="109"/>
        <v>584.91999999999996</v>
      </c>
      <c r="N2689" s="756">
        <v>584.91999999999996</v>
      </c>
      <c r="O2689" s="720">
        <f t="shared" si="110"/>
        <v>0</v>
      </c>
    </row>
    <row r="2690" spans="1:15" x14ac:dyDescent="0.25">
      <c r="A2690" s="207" t="str">
        <f>VLOOKUP(RIGHT(E2690,3)+0,SchLocTable!$A$2:$B$47,2,FALSE)</f>
        <v>Park City Magnet</v>
      </c>
      <c r="B2690" s="207" t="str">
        <f>VLOOKUP(VALUE(D2690),$D$3:F$106,3,FALSE)</f>
        <v>Guidance Counselors</v>
      </c>
      <c r="C2690" s="751" t="s">
        <v>246</v>
      </c>
      <c r="D2690" s="751" t="s">
        <v>838</v>
      </c>
      <c r="E2690" s="751" t="s">
        <v>842</v>
      </c>
      <c r="F2690" s="751" t="s">
        <v>248</v>
      </c>
      <c r="G2690" s="752">
        <v>1</v>
      </c>
      <c r="H2690" s="753">
        <v>51000</v>
      </c>
      <c r="I2690" s="754">
        <v>103153.2</v>
      </c>
      <c r="J2690" s="754">
        <v>0</v>
      </c>
      <c r="K2690" s="754">
        <v>0</v>
      </c>
      <c r="L2690" s="754">
        <v>19761.150000000001</v>
      </c>
      <c r="M2690" s="754">
        <f t="shared" si="109"/>
        <v>19761.150000000001</v>
      </c>
      <c r="N2690" s="756">
        <v>103153.2</v>
      </c>
      <c r="O2690" s="720">
        <f t="shared" si="110"/>
        <v>0</v>
      </c>
    </row>
    <row r="2691" spans="1:15" x14ac:dyDescent="0.25">
      <c r="A2691" s="207" t="str">
        <f>VLOOKUP(RIGHT(E2691,3)+0,SchLocTable!$A$2:$B$47,2,FALSE)</f>
        <v>Park City Magnet</v>
      </c>
      <c r="B2691" s="207" t="str">
        <f>VLOOKUP(VALUE(D2691),$D$3:F$106,3,FALSE)</f>
        <v>Guidance Counselors</v>
      </c>
      <c r="C2691" s="755" t="s">
        <v>246</v>
      </c>
      <c r="D2691" s="751" t="s">
        <v>838</v>
      </c>
      <c r="E2691" s="751" t="s">
        <v>842</v>
      </c>
      <c r="F2691" s="751" t="s">
        <v>257</v>
      </c>
      <c r="G2691" s="752" t="s">
        <v>1681</v>
      </c>
      <c r="H2691" s="753">
        <v>51140</v>
      </c>
      <c r="I2691" s="754">
        <v>1200</v>
      </c>
      <c r="J2691" s="754">
        <v>0</v>
      </c>
      <c r="K2691" s="754">
        <v>0</v>
      </c>
      <c r="L2691" s="754">
        <v>0</v>
      </c>
      <c r="M2691" s="754">
        <f t="shared" si="109"/>
        <v>0</v>
      </c>
      <c r="N2691" s="756">
        <v>1200</v>
      </c>
      <c r="O2691" s="720">
        <f t="shared" si="110"/>
        <v>0</v>
      </c>
    </row>
    <row r="2692" spans="1:15" x14ac:dyDescent="0.25">
      <c r="A2692" s="207" t="str">
        <f>VLOOKUP(RIGHT(E2692,3)+0,SchLocTable!$A$2:$B$47,2,FALSE)</f>
        <v>Park City Magnet</v>
      </c>
      <c r="B2692" s="207" t="str">
        <f>VLOOKUP(VALUE(D2692),$D$3:F$106,3,FALSE)</f>
        <v>Guidance Counselors</v>
      </c>
      <c r="C2692" s="751" t="s">
        <v>246</v>
      </c>
      <c r="D2692" s="751" t="s">
        <v>838</v>
      </c>
      <c r="E2692" s="751" t="s">
        <v>842</v>
      </c>
      <c r="F2692" s="751" t="s">
        <v>254</v>
      </c>
      <c r="G2692" s="752" t="s">
        <v>1681</v>
      </c>
      <c r="H2692" s="753">
        <v>52360</v>
      </c>
      <c r="I2692" s="754">
        <v>1494.88</v>
      </c>
      <c r="J2692" s="754">
        <v>0</v>
      </c>
      <c r="K2692" s="754">
        <v>0</v>
      </c>
      <c r="L2692" s="754">
        <v>285.7</v>
      </c>
      <c r="M2692" s="754">
        <f t="shared" si="109"/>
        <v>285.7</v>
      </c>
      <c r="N2692" s="756">
        <v>1494.88</v>
      </c>
      <c r="O2692" s="720">
        <f t="shared" si="110"/>
        <v>0</v>
      </c>
    </row>
    <row r="2693" spans="1:15" x14ac:dyDescent="0.25">
      <c r="A2693" s="207" t="str">
        <f>VLOOKUP(RIGHT(E2693,3)+0,SchLocTable!$A$2:$B$47,2,FALSE)</f>
        <v>Park City Magnet</v>
      </c>
      <c r="B2693" s="207" t="str">
        <f>VLOOKUP(VALUE(D2693),$D$3:F$106,3,FALSE)</f>
        <v>Guidance Counselors</v>
      </c>
      <c r="C2693" s="751" t="s">
        <v>246</v>
      </c>
      <c r="D2693" s="751" t="s">
        <v>838</v>
      </c>
      <c r="E2693" s="751" t="s">
        <v>842</v>
      </c>
      <c r="F2693" s="751" t="s">
        <v>259</v>
      </c>
      <c r="G2693" s="752" t="s">
        <v>1681</v>
      </c>
      <c r="H2693" s="753">
        <v>52917</v>
      </c>
      <c r="I2693" s="754">
        <v>1317.96</v>
      </c>
      <c r="J2693" s="754">
        <v>0</v>
      </c>
      <c r="K2693" s="754">
        <v>0</v>
      </c>
      <c r="L2693" s="754">
        <v>313.8</v>
      </c>
      <c r="M2693" s="754">
        <f t="shared" si="109"/>
        <v>313.8</v>
      </c>
      <c r="N2693" s="756">
        <v>1317.96</v>
      </c>
      <c r="O2693" s="720">
        <f t="shared" si="110"/>
        <v>0</v>
      </c>
    </row>
    <row r="2694" spans="1:15" x14ac:dyDescent="0.25">
      <c r="A2694" s="207" t="str">
        <f>VLOOKUP(RIGHT(E2694,3)+0,SchLocTable!$A$2:$B$47,2,FALSE)</f>
        <v>Zoo Science HS</v>
      </c>
      <c r="B2694" s="207" t="str">
        <f>VLOOKUP(VALUE(D2694),$D$3:F$106,3,FALSE)</f>
        <v>Guidance Counselors</v>
      </c>
      <c r="C2694" s="751" t="s">
        <v>246</v>
      </c>
      <c r="D2694" s="751" t="s">
        <v>838</v>
      </c>
      <c r="E2694" s="751" t="s">
        <v>2129</v>
      </c>
      <c r="F2694" s="751" t="s">
        <v>257</v>
      </c>
      <c r="G2694" s="752" t="s">
        <v>1681</v>
      </c>
      <c r="H2694" s="753">
        <v>51140</v>
      </c>
      <c r="I2694" s="754">
        <v>900</v>
      </c>
      <c r="J2694" s="754">
        <v>0</v>
      </c>
      <c r="K2694" s="754">
        <v>0</v>
      </c>
      <c r="L2694" s="754">
        <v>0</v>
      </c>
      <c r="M2694" s="754">
        <f t="shared" si="109"/>
        <v>0</v>
      </c>
      <c r="N2694" s="756">
        <v>900</v>
      </c>
      <c r="O2694" s="720">
        <f t="shared" si="110"/>
        <v>0</v>
      </c>
    </row>
    <row r="2695" spans="1:15" x14ac:dyDescent="0.25">
      <c r="A2695" s="207" t="str">
        <f>VLOOKUP(RIGHT(E2695,3)+0,SchLocTable!$A$2:$B$47,2,FALSE)</f>
        <v>Zoo Science HS</v>
      </c>
      <c r="B2695" s="207" t="str">
        <f>VLOOKUP(VALUE(D2695),$D$3:F$106,3,FALSE)</f>
        <v>Guidance Counselors</v>
      </c>
      <c r="C2695" s="751" t="s">
        <v>246</v>
      </c>
      <c r="D2695" s="751" t="s">
        <v>838</v>
      </c>
      <c r="E2695" s="751" t="s">
        <v>2129</v>
      </c>
      <c r="F2695" s="751" t="s">
        <v>254</v>
      </c>
      <c r="G2695" s="752" t="s">
        <v>1681</v>
      </c>
      <c r="H2695" s="753">
        <v>52360</v>
      </c>
      <c r="I2695" s="754">
        <v>0</v>
      </c>
      <c r="J2695" s="754">
        <v>0</v>
      </c>
      <c r="K2695" s="754">
        <v>0</v>
      </c>
      <c r="L2695" s="754">
        <v>0</v>
      </c>
      <c r="M2695" s="754">
        <f t="shared" si="109"/>
        <v>0</v>
      </c>
      <c r="N2695" s="756">
        <v>0</v>
      </c>
      <c r="O2695" s="720">
        <f t="shared" si="110"/>
        <v>0</v>
      </c>
    </row>
    <row r="2696" spans="1:15" x14ac:dyDescent="0.25">
      <c r="A2696" s="207" t="str">
        <f>VLOOKUP(RIGHT(E2696,3)+0,SchLocTable!$A$2:$B$47,2,FALSE)</f>
        <v>Roosevelt</v>
      </c>
      <c r="B2696" s="207" t="str">
        <f>VLOOKUP(VALUE(D2696),$D$3:F$106,3,FALSE)</f>
        <v>Guidance Counselors</v>
      </c>
      <c r="C2696" s="751" t="s">
        <v>246</v>
      </c>
      <c r="D2696" s="751" t="s">
        <v>838</v>
      </c>
      <c r="E2696" s="751" t="s">
        <v>843</v>
      </c>
      <c r="F2696" s="751" t="s">
        <v>248</v>
      </c>
      <c r="G2696" s="752">
        <v>1</v>
      </c>
      <c r="H2696" s="753">
        <v>51000</v>
      </c>
      <c r="I2696" s="754">
        <v>64218.01</v>
      </c>
      <c r="J2696" s="754">
        <v>0</v>
      </c>
      <c r="K2696" s="754">
        <v>0</v>
      </c>
      <c r="L2696" s="754">
        <v>12302.3</v>
      </c>
      <c r="M2696" s="754">
        <f t="shared" si="109"/>
        <v>12302.3</v>
      </c>
      <c r="N2696" s="756">
        <v>64218.01</v>
      </c>
      <c r="O2696" s="720">
        <f t="shared" si="110"/>
        <v>0</v>
      </c>
    </row>
    <row r="2697" spans="1:15" x14ac:dyDescent="0.25">
      <c r="A2697" s="207" t="str">
        <f>VLOOKUP(RIGHT(E2697,3)+0,SchLocTable!$A$2:$B$47,2,FALSE)</f>
        <v>Roosevelt</v>
      </c>
      <c r="B2697" s="207" t="str">
        <f>VLOOKUP(VALUE(D2697),$D$3:F$106,3,FALSE)</f>
        <v>Guidance Counselors</v>
      </c>
      <c r="C2697" s="751" t="s">
        <v>246</v>
      </c>
      <c r="D2697" s="751" t="s">
        <v>838</v>
      </c>
      <c r="E2697" s="751" t="s">
        <v>843</v>
      </c>
      <c r="F2697" s="751" t="s">
        <v>254</v>
      </c>
      <c r="G2697" s="752" t="s">
        <v>1681</v>
      </c>
      <c r="H2697" s="753">
        <v>52360</v>
      </c>
      <c r="I2697" s="754">
        <v>919.13</v>
      </c>
      <c r="J2697" s="754">
        <v>0</v>
      </c>
      <c r="K2697" s="754">
        <v>0</v>
      </c>
      <c r="L2697" s="754">
        <v>166.35</v>
      </c>
      <c r="M2697" s="754">
        <f t="shared" si="109"/>
        <v>166.35</v>
      </c>
      <c r="N2697" s="756">
        <v>919.13</v>
      </c>
      <c r="O2697" s="720">
        <f t="shared" si="110"/>
        <v>0</v>
      </c>
    </row>
    <row r="2698" spans="1:15" x14ac:dyDescent="0.25">
      <c r="A2698" s="207" t="str">
        <f>VLOOKUP(RIGHT(E2698,3)+0,SchLocTable!$A$2:$B$47,2,FALSE)</f>
        <v>Roosevelt</v>
      </c>
      <c r="B2698" s="207" t="str">
        <f>VLOOKUP(VALUE(D2698),$D$3:F$106,3,FALSE)</f>
        <v>Guidance Counselors</v>
      </c>
      <c r="C2698" s="751" t="s">
        <v>246</v>
      </c>
      <c r="D2698" s="751" t="s">
        <v>838</v>
      </c>
      <c r="E2698" s="751" t="s">
        <v>843</v>
      </c>
      <c r="F2698" s="751" t="s">
        <v>259</v>
      </c>
      <c r="G2698" s="752" t="s">
        <v>1681</v>
      </c>
      <c r="H2698" s="753">
        <v>52917</v>
      </c>
      <c r="I2698" s="754">
        <v>11844</v>
      </c>
      <c r="J2698" s="754">
        <v>0</v>
      </c>
      <c r="K2698" s="754">
        <v>0</v>
      </c>
      <c r="L2698" s="754">
        <v>2820</v>
      </c>
      <c r="M2698" s="754">
        <f t="shared" si="109"/>
        <v>2820</v>
      </c>
      <c r="N2698" s="756">
        <v>11844</v>
      </c>
      <c r="O2698" s="720">
        <f t="shared" si="110"/>
        <v>0</v>
      </c>
    </row>
    <row r="2699" spans="1:15" x14ac:dyDescent="0.25">
      <c r="A2699" s="207" t="str">
        <f>VLOOKUP(RIGHT(E2699,3)+0,SchLocTable!$A$2:$B$47,2,FALSE)</f>
        <v>Waltersville</v>
      </c>
      <c r="B2699" s="207" t="str">
        <f>VLOOKUP(VALUE(D2699),$D$3:F$106,3,FALSE)</f>
        <v>Guidance Counselors</v>
      </c>
      <c r="C2699" s="755" t="s">
        <v>246</v>
      </c>
      <c r="D2699" s="751" t="s">
        <v>838</v>
      </c>
      <c r="E2699" s="751" t="s">
        <v>1870</v>
      </c>
      <c r="F2699" s="751" t="s">
        <v>257</v>
      </c>
      <c r="G2699" s="752" t="s">
        <v>1681</v>
      </c>
      <c r="H2699" s="753">
        <v>51140</v>
      </c>
      <c r="I2699" s="754">
        <v>900</v>
      </c>
      <c r="J2699" s="754">
        <v>0</v>
      </c>
      <c r="K2699" s="754">
        <v>0</v>
      </c>
      <c r="L2699" s="754">
        <v>0</v>
      </c>
      <c r="M2699" s="754">
        <f t="shared" si="109"/>
        <v>0</v>
      </c>
      <c r="N2699" s="756">
        <v>900</v>
      </c>
      <c r="O2699" s="720">
        <f t="shared" si="110"/>
        <v>0</v>
      </c>
    </row>
    <row r="2700" spans="1:15" x14ac:dyDescent="0.25">
      <c r="A2700" s="207" t="str">
        <f>VLOOKUP(RIGHT(E2700,3)+0,SchLocTable!$A$2:$B$47,2,FALSE)</f>
        <v>Waltersville</v>
      </c>
      <c r="B2700" s="207" t="str">
        <f>VLOOKUP(VALUE(D2700),$D$3:F$106,3,FALSE)</f>
        <v>Guidance Counselors</v>
      </c>
      <c r="C2700" s="751" t="s">
        <v>246</v>
      </c>
      <c r="D2700" s="751" t="s">
        <v>838</v>
      </c>
      <c r="E2700" s="751" t="s">
        <v>1870</v>
      </c>
      <c r="F2700" s="751" t="s">
        <v>254</v>
      </c>
      <c r="G2700" s="752" t="s">
        <v>1681</v>
      </c>
      <c r="H2700" s="753">
        <v>52360</v>
      </c>
      <c r="I2700" s="754">
        <v>0</v>
      </c>
      <c r="J2700" s="754">
        <v>0</v>
      </c>
      <c r="K2700" s="754">
        <v>0</v>
      </c>
      <c r="L2700" s="754">
        <v>0</v>
      </c>
      <c r="M2700" s="754">
        <f t="shared" si="109"/>
        <v>0</v>
      </c>
      <c r="N2700" s="756">
        <v>0</v>
      </c>
      <c r="O2700" s="720">
        <f t="shared" si="110"/>
        <v>0</v>
      </c>
    </row>
    <row r="2701" spans="1:15" x14ac:dyDescent="0.25">
      <c r="A2701" s="207" t="str">
        <f>VLOOKUP(RIGHT(E2701,3)+0,SchLocTable!$A$2:$B$47,2,FALSE)</f>
        <v>Winthrop</v>
      </c>
      <c r="B2701" s="207" t="str">
        <f>VLOOKUP(VALUE(D2701),$D$3:F$106,3,FALSE)</f>
        <v>Guidance Counselors</v>
      </c>
      <c r="C2701" s="751" t="s">
        <v>246</v>
      </c>
      <c r="D2701" s="751" t="s">
        <v>838</v>
      </c>
      <c r="E2701" s="751" t="s">
        <v>844</v>
      </c>
      <c r="F2701" s="751" t="s">
        <v>248</v>
      </c>
      <c r="G2701" s="752">
        <v>1</v>
      </c>
      <c r="H2701" s="753">
        <v>51000</v>
      </c>
      <c r="I2701" s="754">
        <v>57708.14</v>
      </c>
      <c r="J2701" s="754">
        <v>0</v>
      </c>
      <c r="K2701" s="754">
        <v>0</v>
      </c>
      <c r="L2701" s="754">
        <v>11055.2</v>
      </c>
      <c r="M2701" s="754">
        <f t="shared" si="109"/>
        <v>11055.2</v>
      </c>
      <c r="N2701" s="756">
        <v>57708.14</v>
      </c>
      <c r="O2701" s="720">
        <f t="shared" si="110"/>
        <v>0</v>
      </c>
    </row>
    <row r="2702" spans="1:15" x14ac:dyDescent="0.25">
      <c r="A2702" s="207" t="str">
        <f>VLOOKUP(RIGHT(E2702,3)+0,SchLocTable!$A$2:$B$47,2,FALSE)</f>
        <v>Winthrop</v>
      </c>
      <c r="B2702" s="207" t="str">
        <f>VLOOKUP(VALUE(D2702),$D$3:F$106,3,FALSE)</f>
        <v>Guidance Counselors</v>
      </c>
      <c r="C2702" s="751" t="s">
        <v>246</v>
      </c>
      <c r="D2702" s="751" t="s">
        <v>838</v>
      </c>
      <c r="E2702" s="751" t="s">
        <v>844</v>
      </c>
      <c r="F2702" s="751" t="s">
        <v>254</v>
      </c>
      <c r="G2702" s="752" t="s">
        <v>1681</v>
      </c>
      <c r="H2702" s="753">
        <v>52360</v>
      </c>
      <c r="I2702" s="754">
        <v>825.01</v>
      </c>
      <c r="J2702" s="754">
        <v>0</v>
      </c>
      <c r="K2702" s="754">
        <v>0</v>
      </c>
      <c r="L2702" s="754">
        <v>148.54</v>
      </c>
      <c r="M2702" s="754">
        <f t="shared" si="109"/>
        <v>148.54</v>
      </c>
      <c r="N2702" s="756">
        <v>825.01</v>
      </c>
      <c r="O2702" s="720">
        <f t="shared" si="110"/>
        <v>0</v>
      </c>
    </row>
    <row r="2703" spans="1:15" x14ac:dyDescent="0.25">
      <c r="A2703" s="207" t="str">
        <f>VLOOKUP(RIGHT(E2703,3)+0,SchLocTable!$A$2:$B$47,2,FALSE)</f>
        <v>Winthrop</v>
      </c>
      <c r="B2703" s="207" t="str">
        <f>VLOOKUP(VALUE(D2703),$D$3:F$106,3,FALSE)</f>
        <v>Guidance Counselors</v>
      </c>
      <c r="C2703" s="751" t="s">
        <v>246</v>
      </c>
      <c r="D2703" s="751" t="s">
        <v>838</v>
      </c>
      <c r="E2703" s="751" t="s">
        <v>844</v>
      </c>
      <c r="F2703" s="751" t="s">
        <v>259</v>
      </c>
      <c r="G2703" s="752" t="s">
        <v>1681</v>
      </c>
      <c r="H2703" s="753">
        <v>52917</v>
      </c>
      <c r="I2703" s="754">
        <v>11404.68</v>
      </c>
      <c r="J2703" s="754">
        <v>0</v>
      </c>
      <c r="K2703" s="754">
        <v>0</v>
      </c>
      <c r="L2703" s="754">
        <v>2715.4</v>
      </c>
      <c r="M2703" s="754">
        <f t="shared" si="109"/>
        <v>2715.4</v>
      </c>
      <c r="N2703" s="756">
        <v>11404.68</v>
      </c>
      <c r="O2703" s="720">
        <f t="shared" si="110"/>
        <v>0</v>
      </c>
    </row>
    <row r="2704" spans="1:15" x14ac:dyDescent="0.25">
      <c r="A2704" s="207" t="str">
        <f>VLOOKUP(RIGHT(E2704,3)+0,SchLocTable!$A$2:$B$47,2,FALSE)</f>
        <v>Discovery</v>
      </c>
      <c r="B2704" s="207" t="str">
        <f>VLOOKUP(VALUE(D2704),$D$3:F$106,3,FALSE)</f>
        <v>Guidance Counselors</v>
      </c>
      <c r="C2704" s="751" t="s">
        <v>246</v>
      </c>
      <c r="D2704" s="751" t="s">
        <v>838</v>
      </c>
      <c r="E2704" s="751" t="s">
        <v>845</v>
      </c>
      <c r="F2704" s="751" t="s">
        <v>248</v>
      </c>
      <c r="G2704" s="752" t="s">
        <v>1681</v>
      </c>
      <c r="H2704" s="753">
        <v>51000</v>
      </c>
      <c r="I2704" s="754">
        <v>7481.07</v>
      </c>
      <c r="J2704" s="754">
        <v>0</v>
      </c>
      <c r="K2704" s="754">
        <v>0</v>
      </c>
      <c r="L2704" s="754">
        <v>7481.07</v>
      </c>
      <c r="M2704" s="754">
        <f t="shared" si="109"/>
        <v>7481.07</v>
      </c>
      <c r="N2704" s="756">
        <v>7481.07</v>
      </c>
      <c r="O2704" s="720">
        <f t="shared" si="110"/>
        <v>0</v>
      </c>
    </row>
    <row r="2705" spans="1:15" x14ac:dyDescent="0.25">
      <c r="A2705" s="207" t="str">
        <f>VLOOKUP(RIGHT(E2705,3)+0,SchLocTable!$A$2:$B$47,2,FALSE)</f>
        <v>Discovery</v>
      </c>
      <c r="B2705" s="207" t="str">
        <f>VLOOKUP(VALUE(D2705),$D$3:F$106,3,FALSE)</f>
        <v>Guidance Counselors</v>
      </c>
      <c r="C2705" s="751" t="s">
        <v>246</v>
      </c>
      <c r="D2705" s="751" t="s">
        <v>838</v>
      </c>
      <c r="E2705" s="751" t="s">
        <v>845</v>
      </c>
      <c r="F2705" s="751" t="s">
        <v>257</v>
      </c>
      <c r="G2705" s="752" t="s">
        <v>1681</v>
      </c>
      <c r="H2705" s="753">
        <v>51140</v>
      </c>
      <c r="I2705" s="754">
        <v>0</v>
      </c>
      <c r="J2705" s="754">
        <v>0</v>
      </c>
      <c r="K2705" s="754">
        <v>0</v>
      </c>
      <c r="L2705" s="754">
        <v>0</v>
      </c>
      <c r="M2705" s="754">
        <f t="shared" si="109"/>
        <v>0</v>
      </c>
      <c r="N2705" s="756">
        <v>0</v>
      </c>
      <c r="O2705" s="720">
        <f t="shared" si="110"/>
        <v>0</v>
      </c>
    </row>
    <row r="2706" spans="1:15" x14ac:dyDescent="0.25">
      <c r="A2706" s="207" t="str">
        <f>VLOOKUP(RIGHT(E2706,3)+0,SchLocTable!$A$2:$B$47,2,FALSE)</f>
        <v>Discovery</v>
      </c>
      <c r="B2706" s="207" t="str">
        <f>VLOOKUP(VALUE(D2706),$D$3:F$106,3,FALSE)</f>
        <v>Guidance Counselors</v>
      </c>
      <c r="C2706" s="751" t="s">
        <v>246</v>
      </c>
      <c r="D2706" s="751" t="s">
        <v>838</v>
      </c>
      <c r="E2706" s="751" t="s">
        <v>845</v>
      </c>
      <c r="F2706" s="751" t="s">
        <v>254</v>
      </c>
      <c r="G2706" s="752" t="s">
        <v>1681</v>
      </c>
      <c r="H2706" s="753">
        <v>52360</v>
      </c>
      <c r="I2706" s="754">
        <v>101.26</v>
      </c>
      <c r="J2706" s="754">
        <v>0</v>
      </c>
      <c r="K2706" s="754">
        <v>0</v>
      </c>
      <c r="L2706" s="754">
        <v>101.26</v>
      </c>
      <c r="M2706" s="754">
        <f t="shared" si="109"/>
        <v>101.26</v>
      </c>
      <c r="N2706" s="756">
        <v>101.26</v>
      </c>
      <c r="O2706" s="720">
        <f t="shared" si="110"/>
        <v>0</v>
      </c>
    </row>
    <row r="2707" spans="1:15" x14ac:dyDescent="0.25">
      <c r="A2707" s="207" t="str">
        <f>VLOOKUP(RIGHT(E2707,3)+0,SchLocTable!$A$2:$B$47,2,FALSE)</f>
        <v>Discovery</v>
      </c>
      <c r="B2707" s="207" t="str">
        <f>VLOOKUP(VALUE(D2707),$D$3:F$106,3,FALSE)</f>
        <v>Guidance Counselors</v>
      </c>
      <c r="C2707" s="751" t="s">
        <v>246</v>
      </c>
      <c r="D2707" s="751" t="s">
        <v>838</v>
      </c>
      <c r="E2707" s="751" t="s">
        <v>845</v>
      </c>
      <c r="F2707" s="751" t="s">
        <v>259</v>
      </c>
      <c r="G2707" s="752" t="s">
        <v>1681</v>
      </c>
      <c r="H2707" s="753">
        <v>52917</v>
      </c>
      <c r="I2707" s="754">
        <v>1692</v>
      </c>
      <c r="J2707" s="754">
        <v>0</v>
      </c>
      <c r="K2707" s="754">
        <v>0</v>
      </c>
      <c r="L2707" s="754">
        <v>1692</v>
      </c>
      <c r="M2707" s="754">
        <f t="shared" si="109"/>
        <v>1692</v>
      </c>
      <c r="N2707" s="756">
        <v>1692</v>
      </c>
      <c r="O2707" s="720">
        <f t="shared" si="110"/>
        <v>0</v>
      </c>
    </row>
    <row r="2708" spans="1:15" x14ac:dyDescent="0.25">
      <c r="A2708" s="207" t="str">
        <f>VLOOKUP(RIGHT(E2708,3)+0,SchLocTable!$A$2:$B$47,2,FALSE)</f>
        <v>Cross</v>
      </c>
      <c r="B2708" s="207" t="str">
        <f>VLOOKUP(VALUE(D2708),$D$3:F$106,3,FALSE)</f>
        <v>Guidance Counselors</v>
      </c>
      <c r="C2708" s="751" t="s">
        <v>246</v>
      </c>
      <c r="D2708" s="751" t="s">
        <v>838</v>
      </c>
      <c r="E2708" s="751" t="s">
        <v>2188</v>
      </c>
      <c r="F2708" s="751" t="s">
        <v>248</v>
      </c>
      <c r="G2708" s="752">
        <v>1</v>
      </c>
      <c r="H2708" s="753">
        <v>51000</v>
      </c>
      <c r="I2708" s="754">
        <v>51786.93</v>
      </c>
      <c r="J2708" s="754">
        <v>0</v>
      </c>
      <c r="K2708" s="754">
        <v>0</v>
      </c>
      <c r="L2708" s="754">
        <v>3046.29</v>
      </c>
      <c r="M2708" s="754">
        <f t="shared" si="109"/>
        <v>3046.29</v>
      </c>
      <c r="N2708" s="756">
        <v>51786.93</v>
      </c>
      <c r="O2708" s="720">
        <f t="shared" si="110"/>
        <v>0</v>
      </c>
    </row>
    <row r="2709" spans="1:15" x14ac:dyDescent="0.25">
      <c r="A2709" s="207" t="str">
        <f>VLOOKUP(RIGHT(E2709,3)+0,SchLocTable!$A$2:$B$47,2,FALSE)</f>
        <v>Cross</v>
      </c>
      <c r="B2709" s="207" t="str">
        <f>VLOOKUP(VALUE(D2709),$D$3:F$106,3,FALSE)</f>
        <v>Guidance Counselors</v>
      </c>
      <c r="C2709" s="751" t="s">
        <v>246</v>
      </c>
      <c r="D2709" s="751" t="s">
        <v>838</v>
      </c>
      <c r="E2709" s="751" t="s">
        <v>2188</v>
      </c>
      <c r="F2709" s="751" t="s">
        <v>254</v>
      </c>
      <c r="G2709" s="752" t="s">
        <v>1681</v>
      </c>
      <c r="H2709" s="753">
        <v>52360</v>
      </c>
      <c r="I2709" s="754">
        <v>44.17</v>
      </c>
      <c r="J2709" s="754">
        <v>0</v>
      </c>
      <c r="K2709" s="754">
        <v>0</v>
      </c>
      <c r="L2709" s="754">
        <v>44.17</v>
      </c>
      <c r="M2709" s="754">
        <f t="shared" si="109"/>
        <v>44.17</v>
      </c>
      <c r="N2709" s="756">
        <v>44.17</v>
      </c>
      <c r="O2709" s="720">
        <f t="shared" si="110"/>
        <v>0</v>
      </c>
    </row>
    <row r="2710" spans="1:15" x14ac:dyDescent="0.25">
      <c r="A2710" s="207" t="str">
        <f>VLOOKUP(RIGHT(E2710,3)+0,SchLocTable!$A$2:$B$47,2,FALSE)</f>
        <v>Curiale</v>
      </c>
      <c r="B2710" s="207" t="str">
        <f>VLOOKUP(VALUE(D2710),$D$3:F$106,3,FALSE)</f>
        <v>Guidance Counselors</v>
      </c>
      <c r="C2710" s="751" t="s">
        <v>246</v>
      </c>
      <c r="D2710" s="751" t="s">
        <v>838</v>
      </c>
      <c r="E2710" s="751" t="s">
        <v>846</v>
      </c>
      <c r="F2710" s="751" t="s">
        <v>248</v>
      </c>
      <c r="G2710" s="752">
        <v>1</v>
      </c>
      <c r="H2710" s="753">
        <v>51000</v>
      </c>
      <c r="I2710" s="754">
        <v>90131.39</v>
      </c>
      <c r="J2710" s="754">
        <v>0</v>
      </c>
      <c r="K2710" s="754">
        <v>0</v>
      </c>
      <c r="L2710" s="754">
        <v>17266.55</v>
      </c>
      <c r="M2710" s="754">
        <f t="shared" si="109"/>
        <v>17266.55</v>
      </c>
      <c r="N2710" s="756">
        <v>90131.39</v>
      </c>
      <c r="O2710" s="720">
        <f t="shared" si="110"/>
        <v>0</v>
      </c>
    </row>
    <row r="2711" spans="1:15" x14ac:dyDescent="0.25">
      <c r="A2711" s="207" t="str">
        <f>VLOOKUP(RIGHT(E2711,3)+0,SchLocTable!$A$2:$B$47,2,FALSE)</f>
        <v>Curiale</v>
      </c>
      <c r="B2711" s="207" t="str">
        <f>VLOOKUP(VALUE(D2711),$D$3:F$106,3,FALSE)</f>
        <v>Guidance Counselors</v>
      </c>
      <c r="C2711" s="751" t="s">
        <v>246</v>
      </c>
      <c r="D2711" s="751" t="s">
        <v>838</v>
      </c>
      <c r="E2711" s="751" t="s">
        <v>846</v>
      </c>
      <c r="F2711" s="751" t="s">
        <v>254</v>
      </c>
      <c r="G2711" s="752" t="s">
        <v>1681</v>
      </c>
      <c r="H2711" s="753">
        <v>52360</v>
      </c>
      <c r="I2711" s="754">
        <v>1294.8699999999999</v>
      </c>
      <c r="J2711" s="754">
        <v>0</v>
      </c>
      <c r="K2711" s="754">
        <v>0</v>
      </c>
      <c r="L2711" s="754">
        <v>238.33</v>
      </c>
      <c r="M2711" s="754">
        <f t="shared" si="109"/>
        <v>238.33</v>
      </c>
      <c r="N2711" s="756">
        <v>1294.8699999999999</v>
      </c>
      <c r="O2711" s="720">
        <f t="shared" si="110"/>
        <v>0</v>
      </c>
    </row>
    <row r="2712" spans="1:15" x14ac:dyDescent="0.25">
      <c r="A2712" s="207" t="str">
        <f>VLOOKUP(RIGHT(E2712,3)+0,SchLocTable!$A$2:$B$47,2,FALSE)</f>
        <v>Curiale</v>
      </c>
      <c r="B2712" s="207" t="str">
        <f>VLOOKUP(VALUE(D2712),$D$3:F$106,3,FALSE)</f>
        <v>Guidance Counselors</v>
      </c>
      <c r="C2712" s="751" t="s">
        <v>246</v>
      </c>
      <c r="D2712" s="751" t="s">
        <v>838</v>
      </c>
      <c r="E2712" s="751" t="s">
        <v>846</v>
      </c>
      <c r="F2712" s="751" t="s">
        <v>259</v>
      </c>
      <c r="G2712" s="752" t="s">
        <v>1681</v>
      </c>
      <c r="H2712" s="753">
        <v>52917</v>
      </c>
      <c r="I2712" s="754">
        <v>11844</v>
      </c>
      <c r="J2712" s="754">
        <v>0</v>
      </c>
      <c r="K2712" s="754">
        <v>0</v>
      </c>
      <c r="L2712" s="754">
        <v>2820</v>
      </c>
      <c r="M2712" s="754">
        <f t="shared" si="109"/>
        <v>2820</v>
      </c>
      <c r="N2712" s="756">
        <v>11844</v>
      </c>
      <c r="O2712" s="720">
        <f t="shared" si="110"/>
        <v>0</v>
      </c>
    </row>
    <row r="2713" spans="1:15" x14ac:dyDescent="0.25">
      <c r="A2713" s="207" t="str">
        <f>VLOOKUP(RIGHT(E2713,3)+0,SchLocTable!$A$2:$B$47,2,FALSE)</f>
        <v>High Horizons Magnet</v>
      </c>
      <c r="B2713" s="207" t="str">
        <f>VLOOKUP(VALUE(D2713),$D$3:F$106,3,FALSE)</f>
        <v>Guidance Counselors</v>
      </c>
      <c r="C2713" s="751" t="s">
        <v>246</v>
      </c>
      <c r="D2713" s="751" t="s">
        <v>838</v>
      </c>
      <c r="E2713" s="751" t="s">
        <v>847</v>
      </c>
      <c r="F2713" s="751" t="s">
        <v>248</v>
      </c>
      <c r="G2713" s="752">
        <v>1</v>
      </c>
      <c r="H2713" s="753">
        <v>51000</v>
      </c>
      <c r="I2713" s="754">
        <v>65085.31</v>
      </c>
      <c r="J2713" s="754">
        <v>0</v>
      </c>
      <c r="K2713" s="754">
        <v>0</v>
      </c>
      <c r="L2713" s="754">
        <v>12468.45</v>
      </c>
      <c r="M2713" s="754">
        <f t="shared" si="109"/>
        <v>12468.45</v>
      </c>
      <c r="N2713" s="756">
        <v>65085.31</v>
      </c>
      <c r="O2713" s="720">
        <f t="shared" si="110"/>
        <v>0</v>
      </c>
    </row>
    <row r="2714" spans="1:15" x14ac:dyDescent="0.25">
      <c r="A2714" s="207" t="str">
        <f>VLOOKUP(RIGHT(E2714,3)+0,SchLocTable!$A$2:$B$47,2,FALSE)</f>
        <v>High Horizons Magnet</v>
      </c>
      <c r="B2714" s="207" t="str">
        <f>VLOOKUP(VALUE(D2714),$D$3:F$106,3,FALSE)</f>
        <v>Guidance Counselors</v>
      </c>
      <c r="C2714" s="755" t="s">
        <v>246</v>
      </c>
      <c r="D2714" s="751" t="s">
        <v>838</v>
      </c>
      <c r="E2714" s="751" t="s">
        <v>847</v>
      </c>
      <c r="F2714" s="751" t="s">
        <v>254</v>
      </c>
      <c r="G2714" s="752" t="s">
        <v>1681</v>
      </c>
      <c r="H2714" s="753">
        <v>52360</v>
      </c>
      <c r="I2714" s="754">
        <v>931.69</v>
      </c>
      <c r="J2714" s="754">
        <v>0</v>
      </c>
      <c r="K2714" s="754">
        <v>0</v>
      </c>
      <c r="L2714" s="754">
        <v>168.75</v>
      </c>
      <c r="M2714" s="754">
        <f t="shared" si="109"/>
        <v>168.75</v>
      </c>
      <c r="N2714" s="756">
        <v>931.69</v>
      </c>
      <c r="O2714" s="720">
        <f t="shared" si="110"/>
        <v>0</v>
      </c>
    </row>
    <row r="2715" spans="1:15" x14ac:dyDescent="0.25">
      <c r="A2715" s="207" t="str">
        <f>VLOOKUP(RIGHT(E2715,3)+0,SchLocTable!$A$2:$B$47,2,FALSE)</f>
        <v>High Horizons Magnet</v>
      </c>
      <c r="B2715" s="207" t="str">
        <f>VLOOKUP(VALUE(D2715),$D$3:F$106,3,FALSE)</f>
        <v>Guidance Counselors</v>
      </c>
      <c r="C2715" s="751" t="s">
        <v>246</v>
      </c>
      <c r="D2715" s="751" t="s">
        <v>838</v>
      </c>
      <c r="E2715" s="751" t="s">
        <v>847</v>
      </c>
      <c r="F2715" s="751" t="s">
        <v>259</v>
      </c>
      <c r="G2715" s="752" t="s">
        <v>1681</v>
      </c>
      <c r="H2715" s="753">
        <v>52917</v>
      </c>
      <c r="I2715" s="754">
        <v>11844</v>
      </c>
      <c r="J2715" s="754">
        <v>0</v>
      </c>
      <c r="K2715" s="754">
        <v>0</v>
      </c>
      <c r="L2715" s="754">
        <v>2820</v>
      </c>
      <c r="M2715" s="754">
        <f t="shared" si="109"/>
        <v>2820</v>
      </c>
      <c r="N2715" s="756">
        <v>11844</v>
      </c>
      <c r="O2715" s="720">
        <f t="shared" si="110"/>
        <v>0</v>
      </c>
    </row>
    <row r="2716" spans="1:15" x14ac:dyDescent="0.25">
      <c r="A2716" s="207" t="str">
        <f>VLOOKUP(RIGHT(E2716,3)+0,SchLocTable!$A$2:$B$47,2,FALSE)</f>
        <v>Bassick HS</v>
      </c>
      <c r="B2716" s="207" t="str">
        <f>VLOOKUP(VALUE(D2716),$D$3:F$106,3,FALSE)</f>
        <v>Guidance Counselors</v>
      </c>
      <c r="C2716" s="751" t="s">
        <v>246</v>
      </c>
      <c r="D2716" s="751" t="s">
        <v>838</v>
      </c>
      <c r="E2716" s="751" t="s">
        <v>848</v>
      </c>
      <c r="F2716" s="751" t="s">
        <v>248</v>
      </c>
      <c r="G2716" s="752">
        <v>2</v>
      </c>
      <c r="H2716" s="753">
        <v>51000</v>
      </c>
      <c r="I2716" s="754">
        <v>172577.11</v>
      </c>
      <c r="J2716" s="754">
        <v>0</v>
      </c>
      <c r="K2716" s="754">
        <v>0</v>
      </c>
      <c r="L2716" s="754">
        <v>33060.75</v>
      </c>
      <c r="M2716" s="754">
        <f t="shared" si="109"/>
        <v>33060.75</v>
      </c>
      <c r="N2716" s="756">
        <v>172577.11</v>
      </c>
      <c r="O2716" s="720">
        <f t="shared" si="110"/>
        <v>0</v>
      </c>
    </row>
    <row r="2717" spans="1:15" x14ac:dyDescent="0.25">
      <c r="A2717" s="207" t="str">
        <f>VLOOKUP(RIGHT(E2717,3)+0,SchLocTable!$A$2:$B$47,2,FALSE)</f>
        <v>Bassick HS</v>
      </c>
      <c r="B2717" s="207" t="str">
        <f>VLOOKUP(VALUE(D2717),$D$3:F$106,3,FALSE)</f>
        <v>Guidance Counselors</v>
      </c>
      <c r="C2717" s="755" t="s">
        <v>246</v>
      </c>
      <c r="D2717" s="751" t="s">
        <v>838</v>
      </c>
      <c r="E2717" s="751" t="s">
        <v>848</v>
      </c>
      <c r="F2717" s="751" t="s">
        <v>257</v>
      </c>
      <c r="G2717" s="752" t="s">
        <v>1681</v>
      </c>
      <c r="H2717" s="753">
        <v>51140</v>
      </c>
      <c r="I2717" s="754">
        <v>1300</v>
      </c>
      <c r="J2717" s="754">
        <v>0</v>
      </c>
      <c r="K2717" s="754">
        <v>0</v>
      </c>
      <c r="L2717" s="754">
        <v>0</v>
      </c>
      <c r="M2717" s="754">
        <f t="shared" si="109"/>
        <v>0</v>
      </c>
      <c r="N2717" s="756">
        <v>1300</v>
      </c>
      <c r="O2717" s="720">
        <f t="shared" si="110"/>
        <v>0</v>
      </c>
    </row>
    <row r="2718" spans="1:15" x14ac:dyDescent="0.25">
      <c r="A2718" s="207" t="str">
        <f>VLOOKUP(RIGHT(E2718,3)+0,SchLocTable!$A$2:$B$47,2,FALSE)</f>
        <v>Bassick HS</v>
      </c>
      <c r="B2718" s="207" t="str">
        <f>VLOOKUP(VALUE(D2718),$D$3:F$106,3,FALSE)</f>
        <v>Guidance Counselors</v>
      </c>
      <c r="C2718" s="751" t="s">
        <v>246</v>
      </c>
      <c r="D2718" s="751" t="s">
        <v>838</v>
      </c>
      <c r="E2718" s="751" t="s">
        <v>848</v>
      </c>
      <c r="F2718" s="751" t="s">
        <v>402</v>
      </c>
      <c r="G2718" s="752" t="s">
        <v>1681</v>
      </c>
      <c r="H2718" s="753">
        <v>51400</v>
      </c>
      <c r="I2718" s="754">
        <v>1596</v>
      </c>
      <c r="J2718" s="754">
        <v>0</v>
      </c>
      <c r="K2718" s="754">
        <v>0</v>
      </c>
      <c r="L2718" s="754">
        <v>1596</v>
      </c>
      <c r="M2718" s="754">
        <f t="shared" si="109"/>
        <v>1596</v>
      </c>
      <c r="N2718" s="756">
        <v>1596</v>
      </c>
      <c r="O2718" s="720">
        <f t="shared" si="110"/>
        <v>0</v>
      </c>
    </row>
    <row r="2719" spans="1:15" x14ac:dyDescent="0.25">
      <c r="A2719" s="207" t="str">
        <f>VLOOKUP(RIGHT(E2719,3)+0,SchLocTable!$A$2:$B$47,2,FALSE)</f>
        <v>Bassick HS</v>
      </c>
      <c r="B2719" s="207" t="str">
        <f>VLOOKUP(VALUE(D2719),$D$3:F$106,3,FALSE)</f>
        <v>Guidance Counselors</v>
      </c>
      <c r="C2719" s="751" t="s">
        <v>246</v>
      </c>
      <c r="D2719" s="751" t="s">
        <v>838</v>
      </c>
      <c r="E2719" s="751" t="s">
        <v>848</v>
      </c>
      <c r="F2719" s="751" t="s">
        <v>254</v>
      </c>
      <c r="G2719" s="752" t="s">
        <v>1681</v>
      </c>
      <c r="H2719" s="753">
        <v>52360</v>
      </c>
      <c r="I2719" s="754">
        <v>2192.92</v>
      </c>
      <c r="J2719" s="754">
        <v>0</v>
      </c>
      <c r="K2719" s="754">
        <v>0</v>
      </c>
      <c r="L2719" s="754">
        <v>169.93</v>
      </c>
      <c r="M2719" s="754">
        <f t="shared" si="109"/>
        <v>169.93</v>
      </c>
      <c r="N2719" s="756">
        <v>2192.92</v>
      </c>
      <c r="O2719" s="720">
        <f t="shared" si="110"/>
        <v>0</v>
      </c>
    </row>
    <row r="2720" spans="1:15" x14ac:dyDescent="0.25">
      <c r="A2720" s="207" t="str">
        <f>VLOOKUP(RIGHT(E2720,3)+0,SchLocTable!$A$2:$B$47,2,FALSE)</f>
        <v>Bassick HS</v>
      </c>
      <c r="B2720" s="207" t="str">
        <f>VLOOKUP(VALUE(D2720),$D$3:F$106,3,FALSE)</f>
        <v>Guidance Counselors</v>
      </c>
      <c r="C2720" s="751" t="s">
        <v>246</v>
      </c>
      <c r="D2720" s="751" t="s">
        <v>838</v>
      </c>
      <c r="E2720" s="751" t="s">
        <v>848</v>
      </c>
      <c r="F2720" s="751" t="s">
        <v>259</v>
      </c>
      <c r="G2720" s="752" t="s">
        <v>1681</v>
      </c>
      <c r="H2720" s="753">
        <v>52917</v>
      </c>
      <c r="I2720" s="754">
        <v>69273.119999999995</v>
      </c>
      <c r="J2720" s="754">
        <v>0</v>
      </c>
      <c r="K2720" s="754">
        <v>0</v>
      </c>
      <c r="L2720" s="754">
        <v>16493.599999999999</v>
      </c>
      <c r="M2720" s="754">
        <f t="shared" si="109"/>
        <v>16493.599999999999</v>
      </c>
      <c r="N2720" s="756">
        <v>69273.119999999995</v>
      </c>
      <c r="O2720" s="720">
        <f t="shared" si="110"/>
        <v>0</v>
      </c>
    </row>
    <row r="2721" spans="1:15" x14ac:dyDescent="0.25">
      <c r="A2721" s="207" t="str">
        <f>VLOOKUP(RIGHT(E2721,3)+0,SchLocTable!$A$2:$B$47,2,FALSE)</f>
        <v>Central HS</v>
      </c>
      <c r="B2721" s="207" t="str">
        <f>VLOOKUP(VALUE(D2721),$D$3:F$106,3,FALSE)</f>
        <v>Guidance Counselors</v>
      </c>
      <c r="C2721" s="751" t="s">
        <v>246</v>
      </c>
      <c r="D2721" s="751" t="s">
        <v>838</v>
      </c>
      <c r="E2721" s="751" t="s">
        <v>849</v>
      </c>
      <c r="F2721" s="751" t="s">
        <v>248</v>
      </c>
      <c r="G2721" s="752">
        <v>6</v>
      </c>
      <c r="H2721" s="753">
        <v>51000</v>
      </c>
      <c r="I2721" s="754">
        <v>534061.30000000005</v>
      </c>
      <c r="J2721" s="754">
        <v>0</v>
      </c>
      <c r="K2721" s="754">
        <v>0</v>
      </c>
      <c r="L2721" s="754">
        <v>107916.26</v>
      </c>
      <c r="M2721" s="754">
        <f t="shared" si="109"/>
        <v>107916.26</v>
      </c>
      <c r="N2721" s="756">
        <v>534061.30000000005</v>
      </c>
      <c r="O2721" s="720">
        <f t="shared" si="110"/>
        <v>0</v>
      </c>
    </row>
    <row r="2722" spans="1:15" x14ac:dyDescent="0.25">
      <c r="A2722" s="207" t="str">
        <f>VLOOKUP(RIGHT(E2722,3)+0,SchLocTable!$A$2:$B$47,2,FALSE)</f>
        <v>Central HS</v>
      </c>
      <c r="B2722" s="207" t="str">
        <f>VLOOKUP(VALUE(D2722),$D$3:F$106,3,FALSE)</f>
        <v>Guidance Counselors</v>
      </c>
      <c r="C2722" s="751" t="s">
        <v>246</v>
      </c>
      <c r="D2722" s="751" t="s">
        <v>838</v>
      </c>
      <c r="E2722" s="751" t="s">
        <v>849</v>
      </c>
      <c r="F2722" s="751" t="s">
        <v>257</v>
      </c>
      <c r="G2722" s="752" t="s">
        <v>1681</v>
      </c>
      <c r="H2722" s="753">
        <v>51140</v>
      </c>
      <c r="I2722" s="754">
        <v>3100</v>
      </c>
      <c r="J2722" s="754">
        <v>0</v>
      </c>
      <c r="K2722" s="754">
        <v>0</v>
      </c>
      <c r="L2722" s="754">
        <v>0</v>
      </c>
      <c r="M2722" s="754">
        <f t="shared" si="109"/>
        <v>0</v>
      </c>
      <c r="N2722" s="756">
        <v>3100</v>
      </c>
      <c r="O2722" s="720">
        <f t="shared" si="110"/>
        <v>0</v>
      </c>
    </row>
    <row r="2723" spans="1:15" x14ac:dyDescent="0.25">
      <c r="A2723" s="207" t="str">
        <f>VLOOKUP(RIGHT(E2723,3)+0,SchLocTable!$A$2:$B$47,2,FALSE)</f>
        <v>Central HS</v>
      </c>
      <c r="B2723" s="207" t="str">
        <f>VLOOKUP(VALUE(D2723),$D$3:F$106,3,FALSE)</f>
        <v>Guidance Counselors</v>
      </c>
      <c r="C2723" s="751" t="s">
        <v>246</v>
      </c>
      <c r="D2723" s="751" t="s">
        <v>838</v>
      </c>
      <c r="E2723" s="751" t="s">
        <v>849</v>
      </c>
      <c r="F2723" s="751" t="s">
        <v>402</v>
      </c>
      <c r="G2723" s="752" t="s">
        <v>1681</v>
      </c>
      <c r="H2723" s="753">
        <v>51400</v>
      </c>
      <c r="I2723" s="754">
        <v>2676.71</v>
      </c>
      <c r="J2723" s="754">
        <v>0</v>
      </c>
      <c r="K2723" s="754">
        <v>0</v>
      </c>
      <c r="L2723" s="754">
        <v>1260</v>
      </c>
      <c r="M2723" s="754">
        <f t="shared" si="109"/>
        <v>1260</v>
      </c>
      <c r="N2723" s="756">
        <v>2676.71</v>
      </c>
      <c r="O2723" s="720">
        <f t="shared" si="110"/>
        <v>0</v>
      </c>
    </row>
    <row r="2724" spans="1:15" x14ac:dyDescent="0.25">
      <c r="A2724" s="207" t="str">
        <f>VLOOKUP(RIGHT(E2724,3)+0,SchLocTable!$A$2:$B$47,2,FALSE)</f>
        <v>Central HS</v>
      </c>
      <c r="B2724" s="207" t="str">
        <f>VLOOKUP(VALUE(D2724),$D$3:F$106,3,FALSE)</f>
        <v>Guidance Counselors</v>
      </c>
      <c r="C2724" s="751" t="s">
        <v>246</v>
      </c>
      <c r="D2724" s="751" t="s">
        <v>838</v>
      </c>
      <c r="E2724" s="751" t="s">
        <v>849</v>
      </c>
      <c r="F2724" s="751" t="s">
        <v>254</v>
      </c>
      <c r="G2724" s="752" t="s">
        <v>1681</v>
      </c>
      <c r="H2724" s="753">
        <v>52360</v>
      </c>
      <c r="I2724" s="754">
        <v>7620.08</v>
      </c>
      <c r="J2724" s="754">
        <v>0</v>
      </c>
      <c r="K2724" s="754">
        <v>0</v>
      </c>
      <c r="L2724" s="754">
        <v>1440.98</v>
      </c>
      <c r="M2724" s="754">
        <f t="shared" si="109"/>
        <v>1440.98</v>
      </c>
      <c r="N2724" s="756">
        <v>7620.08</v>
      </c>
      <c r="O2724" s="720">
        <f t="shared" si="110"/>
        <v>0</v>
      </c>
    </row>
    <row r="2725" spans="1:15" x14ac:dyDescent="0.25">
      <c r="A2725" s="207" t="str">
        <f>VLOOKUP(RIGHT(E2725,3)+0,SchLocTable!$A$2:$B$47,2,FALSE)</f>
        <v>Central HS</v>
      </c>
      <c r="B2725" s="207" t="str">
        <f>VLOOKUP(VALUE(D2725),$D$3:F$106,3,FALSE)</f>
        <v>Guidance Counselors</v>
      </c>
      <c r="C2725" s="751" t="s">
        <v>246</v>
      </c>
      <c r="D2725" s="751" t="s">
        <v>838</v>
      </c>
      <c r="E2725" s="751" t="s">
        <v>849</v>
      </c>
      <c r="F2725" s="751" t="s">
        <v>259</v>
      </c>
      <c r="G2725" s="752" t="s">
        <v>1681</v>
      </c>
      <c r="H2725" s="753">
        <v>52917</v>
      </c>
      <c r="I2725" s="754">
        <v>138806.35999999999</v>
      </c>
      <c r="J2725" s="754">
        <v>0</v>
      </c>
      <c r="K2725" s="754">
        <v>0</v>
      </c>
      <c r="L2725" s="754">
        <v>32603.48</v>
      </c>
      <c r="M2725" s="754">
        <f t="shared" si="109"/>
        <v>32603.48</v>
      </c>
      <c r="N2725" s="756">
        <v>138806.35999999999</v>
      </c>
      <c r="O2725" s="720">
        <f t="shared" si="110"/>
        <v>0</v>
      </c>
    </row>
    <row r="2726" spans="1:15" x14ac:dyDescent="0.25">
      <c r="A2726" s="207" t="str">
        <f>VLOOKUP(RIGHT(E2726,3)+0,SchLocTable!$A$2:$B$47,2,FALSE)</f>
        <v>Harding HS</v>
      </c>
      <c r="B2726" s="207" t="str">
        <f>VLOOKUP(VALUE(D2726),$D$3:F$106,3,FALSE)</f>
        <v>Guidance Counselors</v>
      </c>
      <c r="C2726" s="751" t="s">
        <v>246</v>
      </c>
      <c r="D2726" s="751" t="s">
        <v>838</v>
      </c>
      <c r="E2726" s="751" t="s">
        <v>850</v>
      </c>
      <c r="F2726" s="751" t="s">
        <v>248</v>
      </c>
      <c r="G2726" s="752">
        <v>4</v>
      </c>
      <c r="H2726" s="753">
        <v>51000</v>
      </c>
      <c r="I2726" s="754">
        <v>304469.5</v>
      </c>
      <c r="J2726" s="754">
        <v>0</v>
      </c>
      <c r="K2726" s="754">
        <v>0</v>
      </c>
      <c r="L2726" s="754">
        <v>64665.55</v>
      </c>
      <c r="M2726" s="754">
        <f t="shared" si="109"/>
        <v>64665.55</v>
      </c>
      <c r="N2726" s="756">
        <v>304469.5</v>
      </c>
      <c r="O2726" s="720">
        <f t="shared" si="110"/>
        <v>0</v>
      </c>
    </row>
    <row r="2727" spans="1:15" x14ac:dyDescent="0.25">
      <c r="A2727" s="207" t="str">
        <f>VLOOKUP(RIGHT(E2727,3)+0,SchLocTable!$A$2:$B$47,2,FALSE)</f>
        <v>Harding HS</v>
      </c>
      <c r="B2727" s="207" t="str">
        <f>VLOOKUP(VALUE(D2727),$D$3:F$106,3,FALSE)</f>
        <v>Guidance Counselors</v>
      </c>
      <c r="C2727" s="751" t="s">
        <v>246</v>
      </c>
      <c r="D2727" s="751" t="s">
        <v>838</v>
      </c>
      <c r="E2727" s="751" t="s">
        <v>850</v>
      </c>
      <c r="F2727" s="751" t="s">
        <v>257</v>
      </c>
      <c r="G2727" s="752" t="s">
        <v>1681</v>
      </c>
      <c r="H2727" s="753">
        <v>51140</v>
      </c>
      <c r="I2727" s="754">
        <v>900</v>
      </c>
      <c r="J2727" s="754">
        <v>0</v>
      </c>
      <c r="K2727" s="754">
        <v>0</v>
      </c>
      <c r="L2727" s="754">
        <v>0</v>
      </c>
      <c r="M2727" s="754">
        <f t="shared" si="109"/>
        <v>0</v>
      </c>
      <c r="N2727" s="756">
        <v>900</v>
      </c>
      <c r="O2727" s="720">
        <f t="shared" si="110"/>
        <v>0</v>
      </c>
    </row>
    <row r="2728" spans="1:15" x14ac:dyDescent="0.25">
      <c r="A2728" s="207" t="str">
        <f>VLOOKUP(RIGHT(E2728,3)+0,SchLocTable!$A$2:$B$47,2,FALSE)</f>
        <v>Harding HS</v>
      </c>
      <c r="B2728" s="207" t="str">
        <f>VLOOKUP(VALUE(D2728),$D$3:F$106,3,FALSE)</f>
        <v>Guidance Counselors</v>
      </c>
      <c r="C2728" s="751" t="s">
        <v>246</v>
      </c>
      <c r="D2728" s="751" t="s">
        <v>838</v>
      </c>
      <c r="E2728" s="751" t="s">
        <v>850</v>
      </c>
      <c r="F2728" s="751" t="s">
        <v>402</v>
      </c>
      <c r="G2728" s="752" t="s">
        <v>1681</v>
      </c>
      <c r="H2728" s="753">
        <v>51400</v>
      </c>
      <c r="I2728" s="754">
        <v>475.86</v>
      </c>
      <c r="J2728" s="754">
        <v>0</v>
      </c>
      <c r="K2728" s="754">
        <v>0</v>
      </c>
      <c r="L2728" s="754">
        <v>0</v>
      </c>
      <c r="M2728" s="754">
        <f t="shared" si="109"/>
        <v>0</v>
      </c>
      <c r="N2728" s="756">
        <v>475.86</v>
      </c>
      <c r="O2728" s="720">
        <f t="shared" si="110"/>
        <v>0</v>
      </c>
    </row>
    <row r="2729" spans="1:15" x14ac:dyDescent="0.25">
      <c r="A2729" s="207" t="str">
        <f>VLOOKUP(RIGHT(E2729,3)+0,SchLocTable!$A$2:$B$47,2,FALSE)</f>
        <v>Harding HS</v>
      </c>
      <c r="B2729" s="207" t="str">
        <f>VLOOKUP(VALUE(D2729),$D$3:F$106,3,FALSE)</f>
        <v>Guidance Counselors</v>
      </c>
      <c r="C2729" s="751" t="s">
        <v>246</v>
      </c>
      <c r="D2729" s="751" t="s">
        <v>838</v>
      </c>
      <c r="E2729" s="751" t="s">
        <v>850</v>
      </c>
      <c r="F2729" s="751" t="s">
        <v>254</v>
      </c>
      <c r="G2729" s="752" t="s">
        <v>1681</v>
      </c>
      <c r="H2729" s="753">
        <v>52360</v>
      </c>
      <c r="I2729" s="754">
        <v>4351.57</v>
      </c>
      <c r="J2729" s="754">
        <v>0</v>
      </c>
      <c r="K2729" s="754">
        <v>0</v>
      </c>
      <c r="L2729" s="754">
        <v>874.41</v>
      </c>
      <c r="M2729" s="754">
        <f t="shared" si="109"/>
        <v>874.41</v>
      </c>
      <c r="N2729" s="756">
        <v>4351.57</v>
      </c>
      <c r="O2729" s="720">
        <f t="shared" si="110"/>
        <v>0</v>
      </c>
    </row>
    <row r="2730" spans="1:15" x14ac:dyDescent="0.25">
      <c r="A2730" s="207" t="str">
        <f>VLOOKUP(RIGHT(E2730,3)+0,SchLocTable!$A$2:$B$47,2,FALSE)</f>
        <v>Harding HS</v>
      </c>
      <c r="B2730" s="207" t="str">
        <f>VLOOKUP(VALUE(D2730),$D$3:F$106,3,FALSE)</f>
        <v>Guidance Counselors</v>
      </c>
      <c r="C2730" s="751" t="s">
        <v>246</v>
      </c>
      <c r="D2730" s="751" t="s">
        <v>838</v>
      </c>
      <c r="E2730" s="751" t="s">
        <v>850</v>
      </c>
      <c r="F2730" s="751" t="s">
        <v>292</v>
      </c>
      <c r="G2730" s="752" t="s">
        <v>1681</v>
      </c>
      <c r="H2730" s="753">
        <v>52385</v>
      </c>
      <c r="I2730" s="754">
        <v>0</v>
      </c>
      <c r="J2730" s="754">
        <v>0</v>
      </c>
      <c r="K2730" s="754">
        <v>0</v>
      </c>
      <c r="L2730" s="754">
        <v>0</v>
      </c>
      <c r="M2730" s="754">
        <f t="shared" si="109"/>
        <v>0</v>
      </c>
      <c r="N2730" s="756">
        <v>0</v>
      </c>
      <c r="O2730" s="720">
        <f t="shared" si="110"/>
        <v>0</v>
      </c>
    </row>
    <row r="2731" spans="1:15" x14ac:dyDescent="0.25">
      <c r="A2731" s="207" t="str">
        <f>VLOOKUP(RIGHT(E2731,3)+0,SchLocTable!$A$2:$B$47,2,FALSE)</f>
        <v>Harding HS</v>
      </c>
      <c r="B2731" s="207" t="str">
        <f>VLOOKUP(VALUE(D2731),$D$3:F$106,3,FALSE)</f>
        <v>Guidance Counselors</v>
      </c>
      <c r="C2731" s="751" t="s">
        <v>246</v>
      </c>
      <c r="D2731" s="751" t="s">
        <v>838</v>
      </c>
      <c r="E2731" s="751" t="s">
        <v>850</v>
      </c>
      <c r="F2731" s="751" t="s">
        <v>259</v>
      </c>
      <c r="G2731" s="752" t="s">
        <v>1681</v>
      </c>
      <c r="H2731" s="753">
        <v>52917</v>
      </c>
      <c r="I2731" s="754">
        <v>58763.88</v>
      </c>
      <c r="J2731" s="754">
        <v>0</v>
      </c>
      <c r="K2731" s="754">
        <v>0</v>
      </c>
      <c r="L2731" s="754">
        <v>13991.4</v>
      </c>
      <c r="M2731" s="754">
        <f t="shared" si="109"/>
        <v>13991.4</v>
      </c>
      <c r="N2731" s="756">
        <v>58763.88</v>
      </c>
      <c r="O2731" s="720">
        <f t="shared" si="110"/>
        <v>0</v>
      </c>
    </row>
    <row r="2732" spans="1:15" x14ac:dyDescent="0.25">
      <c r="A2732" s="207" t="str">
        <f>VLOOKUP(RIGHT(E2732,3)+0,SchLocTable!$A$2:$B$47,2,FALSE)</f>
        <v>Aquaculture</v>
      </c>
      <c r="B2732" s="207" t="str">
        <f>VLOOKUP(VALUE(D2732),$D$3:F$106,3,FALSE)</f>
        <v>Guidance Counselors</v>
      </c>
      <c r="C2732" s="751" t="s">
        <v>246</v>
      </c>
      <c r="D2732" s="751" t="s">
        <v>838</v>
      </c>
      <c r="E2732" s="751" t="s">
        <v>1650</v>
      </c>
      <c r="F2732" s="751" t="s">
        <v>248</v>
      </c>
      <c r="G2732" s="752" t="s">
        <v>1681</v>
      </c>
      <c r="H2732" s="753">
        <v>51000</v>
      </c>
      <c r="I2732" s="754">
        <v>0</v>
      </c>
      <c r="J2732" s="754">
        <v>0</v>
      </c>
      <c r="K2732" s="754">
        <v>0</v>
      </c>
      <c r="L2732" s="754">
        <v>0</v>
      </c>
      <c r="M2732" s="754">
        <f t="shared" si="109"/>
        <v>0</v>
      </c>
      <c r="N2732" s="756">
        <v>0</v>
      </c>
      <c r="O2732" s="720">
        <f t="shared" si="110"/>
        <v>0</v>
      </c>
    </row>
    <row r="2733" spans="1:15" x14ac:dyDescent="0.25">
      <c r="A2733" s="207" t="str">
        <f>VLOOKUP(RIGHT(E2733,3)+0,SchLocTable!$A$2:$B$47,2,FALSE)</f>
        <v>Aquaculture</v>
      </c>
      <c r="B2733" s="207" t="str">
        <f>VLOOKUP(VALUE(D2733),$D$3:F$106,3,FALSE)</f>
        <v>Guidance Counselors</v>
      </c>
      <c r="C2733" s="751" t="s">
        <v>246</v>
      </c>
      <c r="D2733" s="751" t="s">
        <v>838</v>
      </c>
      <c r="E2733" s="751" t="s">
        <v>1650</v>
      </c>
      <c r="F2733" s="751" t="s">
        <v>254</v>
      </c>
      <c r="G2733" s="752" t="s">
        <v>1681</v>
      </c>
      <c r="H2733" s="753">
        <v>52360</v>
      </c>
      <c r="I2733" s="754">
        <v>0</v>
      </c>
      <c r="J2733" s="754">
        <v>0</v>
      </c>
      <c r="K2733" s="754">
        <v>0</v>
      </c>
      <c r="L2733" s="754">
        <v>0</v>
      </c>
      <c r="M2733" s="754">
        <f t="shared" si="109"/>
        <v>0</v>
      </c>
      <c r="N2733" s="756">
        <v>0</v>
      </c>
      <c r="O2733" s="720">
        <f t="shared" si="110"/>
        <v>0</v>
      </c>
    </row>
    <row r="2734" spans="1:15" x14ac:dyDescent="0.25">
      <c r="A2734" s="207" t="str">
        <f>VLOOKUP(RIGHT(E2734,3)+0,SchLocTable!$A$2:$B$47,2,FALSE)</f>
        <v>Aquaculture</v>
      </c>
      <c r="B2734" s="207" t="str">
        <f>VLOOKUP(VALUE(D2734),$D$3:F$106,3,FALSE)</f>
        <v>Guidance Counselors</v>
      </c>
      <c r="C2734" s="751" t="s">
        <v>246</v>
      </c>
      <c r="D2734" s="751" t="s">
        <v>838</v>
      </c>
      <c r="E2734" s="751" t="s">
        <v>1650</v>
      </c>
      <c r="F2734" s="751" t="s">
        <v>259</v>
      </c>
      <c r="G2734" s="752" t="s">
        <v>1681</v>
      </c>
      <c r="H2734" s="753">
        <v>52917</v>
      </c>
      <c r="I2734" s="754">
        <v>0</v>
      </c>
      <c r="J2734" s="754">
        <v>0</v>
      </c>
      <c r="K2734" s="754">
        <v>0</v>
      </c>
      <c r="L2734" s="754">
        <v>0</v>
      </c>
      <c r="M2734" s="754">
        <f t="shared" si="109"/>
        <v>0</v>
      </c>
      <c r="N2734" s="756">
        <v>0</v>
      </c>
      <c r="O2734" s="720">
        <f t="shared" si="110"/>
        <v>0</v>
      </c>
    </row>
    <row r="2735" spans="1:15" x14ac:dyDescent="0.25">
      <c r="A2735" s="207" t="e">
        <f>VLOOKUP(RIGHT(E2735,3)+0,SchLocTable!$A$2:$B$47,2,FALSE)</f>
        <v>#N/A</v>
      </c>
      <c r="B2735" s="207" t="str">
        <f>VLOOKUP(VALUE(D2735),$D$3:F$106,3,FALSE)</f>
        <v>Speech/Language</v>
      </c>
      <c r="C2735" s="751" t="s">
        <v>246</v>
      </c>
      <c r="D2735" s="751" t="s">
        <v>851</v>
      </c>
      <c r="E2735" s="751" t="s">
        <v>852</v>
      </c>
      <c r="F2735" s="751" t="s">
        <v>248</v>
      </c>
      <c r="G2735" s="752">
        <v>12</v>
      </c>
      <c r="H2735" s="753">
        <v>51000</v>
      </c>
      <c r="I2735" s="754">
        <v>1105914.77</v>
      </c>
      <c r="J2735" s="754">
        <v>0</v>
      </c>
      <c r="K2735" s="754">
        <v>0</v>
      </c>
      <c r="L2735" s="754">
        <v>215766.15</v>
      </c>
      <c r="M2735" s="754">
        <f t="shared" si="109"/>
        <v>215766.15</v>
      </c>
      <c r="N2735" s="756">
        <v>1105914.77</v>
      </c>
      <c r="O2735" s="720">
        <f t="shared" si="110"/>
        <v>0</v>
      </c>
    </row>
    <row r="2736" spans="1:15" x14ac:dyDescent="0.25">
      <c r="A2736" s="207" t="e">
        <f>VLOOKUP(RIGHT(E2736,3)+0,SchLocTable!$A$2:$B$47,2,FALSE)</f>
        <v>#N/A</v>
      </c>
      <c r="B2736" s="207" t="str">
        <f>VLOOKUP(VALUE(D2736),$D$3:F$106,3,FALSE)</f>
        <v>Speech/Language</v>
      </c>
      <c r="C2736" s="751" t="s">
        <v>246</v>
      </c>
      <c r="D2736" s="751" t="s">
        <v>851</v>
      </c>
      <c r="E2736" s="751" t="s">
        <v>852</v>
      </c>
      <c r="F2736" s="751" t="s">
        <v>257</v>
      </c>
      <c r="G2736" s="752" t="s">
        <v>1681</v>
      </c>
      <c r="H2736" s="753">
        <v>51140</v>
      </c>
      <c r="I2736" s="754">
        <v>2200</v>
      </c>
      <c r="J2736" s="754">
        <v>0</v>
      </c>
      <c r="K2736" s="754">
        <v>0</v>
      </c>
      <c r="L2736" s="754">
        <v>0</v>
      </c>
      <c r="M2736" s="754">
        <f t="shared" si="109"/>
        <v>0</v>
      </c>
      <c r="N2736" s="756">
        <v>2200</v>
      </c>
      <c r="O2736" s="720">
        <f t="shared" si="110"/>
        <v>0</v>
      </c>
    </row>
    <row r="2737" spans="1:15" x14ac:dyDescent="0.25">
      <c r="A2737" s="207" t="e">
        <f>VLOOKUP(RIGHT(E2737,3)+0,SchLocTable!$A$2:$B$47,2,FALSE)</f>
        <v>#N/A</v>
      </c>
      <c r="B2737" s="207" t="str">
        <f>VLOOKUP(VALUE(D2737),$D$3:F$106,3,FALSE)</f>
        <v>Speech/Language</v>
      </c>
      <c r="C2737" s="751" t="s">
        <v>246</v>
      </c>
      <c r="D2737" s="751" t="s">
        <v>851</v>
      </c>
      <c r="E2737" s="751" t="s">
        <v>852</v>
      </c>
      <c r="F2737" s="751" t="s">
        <v>454</v>
      </c>
      <c r="G2737" s="752" t="s">
        <v>1681</v>
      </c>
      <c r="H2737" s="753">
        <v>51404</v>
      </c>
      <c r="I2737" s="754">
        <v>0</v>
      </c>
      <c r="J2737" s="754">
        <v>0</v>
      </c>
      <c r="K2737" s="754">
        <v>0</v>
      </c>
      <c r="L2737" s="754">
        <v>0</v>
      </c>
      <c r="M2737" s="754">
        <f t="shared" si="109"/>
        <v>0</v>
      </c>
      <c r="N2737" s="756">
        <v>0</v>
      </c>
      <c r="O2737" s="720">
        <f t="shared" si="110"/>
        <v>0</v>
      </c>
    </row>
    <row r="2738" spans="1:15" x14ac:dyDescent="0.25">
      <c r="A2738" s="207" t="e">
        <f>VLOOKUP(RIGHT(E2738,3)+0,SchLocTable!$A$2:$B$47,2,FALSE)</f>
        <v>#N/A</v>
      </c>
      <c r="B2738" s="207" t="str">
        <f>VLOOKUP(VALUE(D2738),$D$3:F$106,3,FALSE)</f>
        <v>Speech/Language</v>
      </c>
      <c r="C2738" s="751" t="s">
        <v>246</v>
      </c>
      <c r="D2738" s="751" t="s">
        <v>851</v>
      </c>
      <c r="E2738" s="751" t="s">
        <v>852</v>
      </c>
      <c r="F2738" s="751" t="s">
        <v>254</v>
      </c>
      <c r="G2738" s="752" t="s">
        <v>1681</v>
      </c>
      <c r="H2738" s="753">
        <v>52360</v>
      </c>
      <c r="I2738" s="754">
        <v>15850.95</v>
      </c>
      <c r="J2738" s="754">
        <v>0</v>
      </c>
      <c r="K2738" s="754">
        <v>0</v>
      </c>
      <c r="L2738" s="754">
        <v>2943.8</v>
      </c>
      <c r="M2738" s="754">
        <f t="shared" si="109"/>
        <v>2943.8</v>
      </c>
      <c r="N2738" s="756">
        <v>15850.95</v>
      </c>
      <c r="O2738" s="720">
        <f t="shared" si="110"/>
        <v>0</v>
      </c>
    </row>
    <row r="2739" spans="1:15" x14ac:dyDescent="0.25">
      <c r="A2739" s="207" t="e">
        <f>VLOOKUP(RIGHT(E2739,3)+0,SchLocTable!$A$2:$B$47,2,FALSE)</f>
        <v>#N/A</v>
      </c>
      <c r="B2739" s="207" t="str">
        <f>VLOOKUP(VALUE(D2739),$D$3:F$106,3,FALSE)</f>
        <v>Speech/Language</v>
      </c>
      <c r="C2739" s="755" t="s">
        <v>246</v>
      </c>
      <c r="D2739" s="751" t="s">
        <v>851</v>
      </c>
      <c r="E2739" s="751" t="s">
        <v>852</v>
      </c>
      <c r="F2739" s="751" t="s">
        <v>292</v>
      </c>
      <c r="G2739" s="752" t="s">
        <v>1681</v>
      </c>
      <c r="H2739" s="753">
        <v>52385</v>
      </c>
      <c r="I2739" s="754">
        <v>0</v>
      </c>
      <c r="J2739" s="754">
        <v>0</v>
      </c>
      <c r="K2739" s="754">
        <v>0</v>
      </c>
      <c r="L2739" s="754">
        <v>0</v>
      </c>
      <c r="M2739" s="754">
        <f t="shared" si="109"/>
        <v>0</v>
      </c>
      <c r="N2739" s="756">
        <v>0</v>
      </c>
      <c r="O2739" s="720">
        <f t="shared" si="110"/>
        <v>0</v>
      </c>
    </row>
    <row r="2740" spans="1:15" x14ac:dyDescent="0.25">
      <c r="A2740" s="207" t="e">
        <f>VLOOKUP(RIGHT(E2740,3)+0,SchLocTable!$A$2:$B$47,2,FALSE)</f>
        <v>#N/A</v>
      </c>
      <c r="B2740" s="207" t="str">
        <f>VLOOKUP(VALUE(D2740),$D$3:F$106,3,FALSE)</f>
        <v>Speech/Language</v>
      </c>
      <c r="C2740" s="751" t="s">
        <v>246</v>
      </c>
      <c r="D2740" s="751" t="s">
        <v>851</v>
      </c>
      <c r="E2740" s="751" t="s">
        <v>852</v>
      </c>
      <c r="F2740" s="751" t="s">
        <v>259</v>
      </c>
      <c r="G2740" s="752" t="s">
        <v>1681</v>
      </c>
      <c r="H2740" s="753">
        <v>52917</v>
      </c>
      <c r="I2740" s="754">
        <v>175952.7</v>
      </c>
      <c r="J2740" s="754">
        <v>0</v>
      </c>
      <c r="K2740" s="754">
        <v>0</v>
      </c>
      <c r="L2740" s="754">
        <v>41893.5</v>
      </c>
      <c r="M2740" s="754">
        <f t="shared" si="109"/>
        <v>41893.5</v>
      </c>
      <c r="N2740" s="756">
        <v>175952.7</v>
      </c>
      <c r="O2740" s="720">
        <f t="shared" si="110"/>
        <v>0</v>
      </c>
    </row>
    <row r="2741" spans="1:15" x14ac:dyDescent="0.25">
      <c r="A2741" s="207" t="e">
        <f>VLOOKUP(RIGHT(E2741,3)+0,SchLocTable!$A$2:$B$47,2,FALSE)</f>
        <v>#N/A</v>
      </c>
      <c r="B2741" s="207" t="str">
        <f>VLOOKUP(VALUE(D2741),$D$3:F$106,3,FALSE)</f>
        <v>Speech/Language</v>
      </c>
      <c r="C2741" s="751" t="s">
        <v>246</v>
      </c>
      <c r="D2741" s="751" t="s">
        <v>851</v>
      </c>
      <c r="E2741" s="751" t="s">
        <v>852</v>
      </c>
      <c r="F2741" s="751" t="s">
        <v>371</v>
      </c>
      <c r="G2741" s="752" t="s">
        <v>1681</v>
      </c>
      <c r="H2741" s="753">
        <v>54580</v>
      </c>
      <c r="I2741" s="754">
        <v>6073.71</v>
      </c>
      <c r="J2741" s="754">
        <v>0</v>
      </c>
      <c r="K2741" s="754">
        <v>0</v>
      </c>
      <c r="L2741" s="754">
        <v>0</v>
      </c>
      <c r="M2741" s="754">
        <f t="shared" si="109"/>
        <v>0</v>
      </c>
      <c r="N2741" s="756">
        <v>6073.71</v>
      </c>
      <c r="O2741" s="720">
        <f t="shared" si="110"/>
        <v>0</v>
      </c>
    </row>
    <row r="2742" spans="1:15" x14ac:dyDescent="0.25">
      <c r="A2742" s="207" t="str">
        <f>VLOOKUP(RIGHT(E2742,3)+0,SchLocTable!$A$2:$B$47,2,FALSE)</f>
        <v>Barnum</v>
      </c>
      <c r="B2742" s="207" t="str">
        <f>VLOOKUP(VALUE(D2742),$D$3:F$106,3,FALSE)</f>
        <v>Speech/Language</v>
      </c>
      <c r="C2742" s="751" t="s">
        <v>246</v>
      </c>
      <c r="D2742" s="751" t="s">
        <v>851</v>
      </c>
      <c r="E2742" s="751" t="s">
        <v>853</v>
      </c>
      <c r="F2742" s="751" t="s">
        <v>248</v>
      </c>
      <c r="G2742" s="752">
        <v>1.6</v>
      </c>
      <c r="H2742" s="753">
        <v>51000</v>
      </c>
      <c r="I2742" s="754">
        <v>59774.239999999998</v>
      </c>
      <c r="J2742" s="754">
        <v>0</v>
      </c>
      <c r="K2742" s="754">
        <v>0</v>
      </c>
      <c r="L2742" s="754">
        <v>21890.67</v>
      </c>
      <c r="M2742" s="754">
        <f t="shared" si="109"/>
        <v>21890.67</v>
      </c>
      <c r="N2742" s="756">
        <v>59774.239999999998</v>
      </c>
      <c r="O2742" s="720">
        <f t="shared" si="110"/>
        <v>0</v>
      </c>
    </row>
    <row r="2743" spans="1:15" x14ac:dyDescent="0.25">
      <c r="A2743" s="207" t="str">
        <f>VLOOKUP(RIGHT(E2743,3)+0,SchLocTable!$A$2:$B$47,2,FALSE)</f>
        <v>Barnum</v>
      </c>
      <c r="B2743" s="207" t="str">
        <f>VLOOKUP(VALUE(D2743),$D$3:F$106,3,FALSE)</f>
        <v>Speech/Language</v>
      </c>
      <c r="C2743" s="755" t="s">
        <v>246</v>
      </c>
      <c r="D2743" s="751" t="s">
        <v>851</v>
      </c>
      <c r="E2743" s="751" t="s">
        <v>853</v>
      </c>
      <c r="F2743" s="751" t="s">
        <v>454</v>
      </c>
      <c r="G2743" s="752" t="s">
        <v>1681</v>
      </c>
      <c r="H2743" s="753">
        <v>51404</v>
      </c>
      <c r="I2743" s="754">
        <v>0</v>
      </c>
      <c r="J2743" s="754">
        <v>0</v>
      </c>
      <c r="K2743" s="754">
        <v>0</v>
      </c>
      <c r="L2743" s="754">
        <v>0</v>
      </c>
      <c r="M2743" s="754">
        <f t="shared" si="109"/>
        <v>0</v>
      </c>
      <c r="N2743" s="756">
        <v>0</v>
      </c>
      <c r="O2743" s="720">
        <f t="shared" si="110"/>
        <v>0</v>
      </c>
    </row>
    <row r="2744" spans="1:15" x14ac:dyDescent="0.25">
      <c r="A2744" s="207" t="str">
        <f>VLOOKUP(RIGHT(E2744,3)+0,SchLocTable!$A$2:$B$47,2,FALSE)</f>
        <v>Barnum</v>
      </c>
      <c r="B2744" s="207" t="str">
        <f>VLOOKUP(VALUE(D2744),$D$3:F$106,3,FALSE)</f>
        <v>Speech/Language</v>
      </c>
      <c r="C2744" s="751" t="s">
        <v>246</v>
      </c>
      <c r="D2744" s="751" t="s">
        <v>851</v>
      </c>
      <c r="E2744" s="751" t="s">
        <v>853</v>
      </c>
      <c r="F2744" s="751" t="s">
        <v>254</v>
      </c>
      <c r="G2744" s="752" t="s">
        <v>1681</v>
      </c>
      <c r="H2744" s="753">
        <v>52360</v>
      </c>
      <c r="I2744" s="754">
        <v>831.08</v>
      </c>
      <c r="J2744" s="754">
        <v>0</v>
      </c>
      <c r="K2744" s="754">
        <v>0</v>
      </c>
      <c r="L2744" s="754">
        <v>281.77</v>
      </c>
      <c r="M2744" s="754">
        <f t="shared" si="109"/>
        <v>281.77</v>
      </c>
      <c r="N2744" s="756">
        <v>831.08</v>
      </c>
      <c r="O2744" s="720">
        <f t="shared" si="110"/>
        <v>0</v>
      </c>
    </row>
    <row r="2745" spans="1:15" x14ac:dyDescent="0.25">
      <c r="A2745" s="207" t="str">
        <f>VLOOKUP(RIGHT(E2745,3)+0,SchLocTable!$A$2:$B$47,2,FALSE)</f>
        <v>Barnum</v>
      </c>
      <c r="B2745" s="207" t="str">
        <f>VLOOKUP(VALUE(D2745),$D$3:F$106,3,FALSE)</f>
        <v>Speech/Language</v>
      </c>
      <c r="C2745" s="751" t="s">
        <v>246</v>
      </c>
      <c r="D2745" s="751" t="s">
        <v>851</v>
      </c>
      <c r="E2745" s="751" t="s">
        <v>853</v>
      </c>
      <c r="F2745" s="751" t="s">
        <v>259</v>
      </c>
      <c r="G2745" s="752" t="s">
        <v>1681</v>
      </c>
      <c r="H2745" s="753">
        <v>52917</v>
      </c>
      <c r="I2745" s="754">
        <v>35075.879999999997</v>
      </c>
      <c r="J2745" s="754">
        <v>0</v>
      </c>
      <c r="K2745" s="754">
        <v>0</v>
      </c>
      <c r="L2745" s="754">
        <v>8351.4</v>
      </c>
      <c r="M2745" s="754">
        <f t="shared" si="109"/>
        <v>8351.4</v>
      </c>
      <c r="N2745" s="756">
        <v>35075.879999999997</v>
      </c>
      <c r="O2745" s="720">
        <f t="shared" si="110"/>
        <v>0</v>
      </c>
    </row>
    <row r="2746" spans="1:15" x14ac:dyDescent="0.25">
      <c r="A2746" s="207" t="str">
        <f>VLOOKUP(RIGHT(E2746,3)+0,SchLocTable!$A$2:$B$47,2,FALSE)</f>
        <v>Black Rock</v>
      </c>
      <c r="B2746" s="207" t="str">
        <f>VLOOKUP(VALUE(D2746),$D$3:F$106,3,FALSE)</f>
        <v>Speech/Language</v>
      </c>
      <c r="C2746" s="751" t="s">
        <v>246</v>
      </c>
      <c r="D2746" s="751" t="s">
        <v>851</v>
      </c>
      <c r="E2746" s="751" t="s">
        <v>1405</v>
      </c>
      <c r="F2746" s="751" t="s">
        <v>248</v>
      </c>
      <c r="G2746" s="752" t="s">
        <v>1681</v>
      </c>
      <c r="H2746" s="753">
        <v>51000</v>
      </c>
      <c r="I2746" s="754">
        <v>0</v>
      </c>
      <c r="J2746" s="754">
        <v>0</v>
      </c>
      <c r="K2746" s="754">
        <v>0</v>
      </c>
      <c r="L2746" s="754">
        <v>0</v>
      </c>
      <c r="M2746" s="754">
        <f t="shared" si="109"/>
        <v>0</v>
      </c>
      <c r="N2746" s="756">
        <v>0</v>
      </c>
      <c r="O2746" s="720">
        <f t="shared" si="110"/>
        <v>0</v>
      </c>
    </row>
    <row r="2747" spans="1:15" x14ac:dyDescent="0.25">
      <c r="A2747" s="207" t="str">
        <f>VLOOKUP(RIGHT(E2747,3)+0,SchLocTable!$A$2:$B$47,2,FALSE)</f>
        <v>Black Rock</v>
      </c>
      <c r="B2747" s="207" t="str">
        <f>VLOOKUP(VALUE(D2747),$D$3:F$106,3,FALSE)</f>
        <v>Speech/Language</v>
      </c>
      <c r="C2747" s="751" t="s">
        <v>246</v>
      </c>
      <c r="D2747" s="751" t="s">
        <v>851</v>
      </c>
      <c r="E2747" s="751" t="s">
        <v>1405</v>
      </c>
      <c r="F2747" s="751" t="s">
        <v>454</v>
      </c>
      <c r="G2747" s="752" t="s">
        <v>1681</v>
      </c>
      <c r="H2747" s="753">
        <v>51404</v>
      </c>
      <c r="I2747" s="754">
        <v>0</v>
      </c>
      <c r="J2747" s="754">
        <v>0</v>
      </c>
      <c r="K2747" s="754">
        <v>0</v>
      </c>
      <c r="L2747" s="754">
        <v>0</v>
      </c>
      <c r="M2747" s="754">
        <f t="shared" si="109"/>
        <v>0</v>
      </c>
      <c r="N2747" s="756">
        <v>0</v>
      </c>
      <c r="O2747" s="720">
        <f t="shared" si="110"/>
        <v>0</v>
      </c>
    </row>
    <row r="2748" spans="1:15" x14ac:dyDescent="0.25">
      <c r="A2748" s="207" t="str">
        <f>VLOOKUP(RIGHT(E2748,3)+0,SchLocTable!$A$2:$B$47,2,FALSE)</f>
        <v>Black Rock</v>
      </c>
      <c r="B2748" s="207" t="str">
        <f>VLOOKUP(VALUE(D2748),$D$3:F$106,3,FALSE)</f>
        <v>Speech/Language</v>
      </c>
      <c r="C2748" s="751" t="s">
        <v>246</v>
      </c>
      <c r="D2748" s="751" t="s">
        <v>851</v>
      </c>
      <c r="E2748" s="751" t="s">
        <v>1405</v>
      </c>
      <c r="F2748" s="751" t="s">
        <v>254</v>
      </c>
      <c r="G2748" s="752" t="s">
        <v>1681</v>
      </c>
      <c r="H2748" s="753">
        <v>52360</v>
      </c>
      <c r="I2748" s="754">
        <v>0</v>
      </c>
      <c r="J2748" s="754">
        <v>0</v>
      </c>
      <c r="K2748" s="754">
        <v>0</v>
      </c>
      <c r="L2748" s="754">
        <v>0</v>
      </c>
      <c r="M2748" s="754">
        <f t="shared" si="109"/>
        <v>0</v>
      </c>
      <c r="N2748" s="756">
        <v>0</v>
      </c>
      <c r="O2748" s="720">
        <f t="shared" si="110"/>
        <v>0</v>
      </c>
    </row>
    <row r="2749" spans="1:15" x14ac:dyDescent="0.25">
      <c r="A2749" s="207" t="str">
        <f>VLOOKUP(RIGHT(E2749,3)+0,SchLocTable!$A$2:$B$47,2,FALSE)</f>
        <v>Black Rock</v>
      </c>
      <c r="B2749" s="207" t="str">
        <f>VLOOKUP(VALUE(D2749),$D$3:F$106,3,FALSE)</f>
        <v>Speech/Language</v>
      </c>
      <c r="C2749" s="751" t="s">
        <v>246</v>
      </c>
      <c r="D2749" s="751" t="s">
        <v>851</v>
      </c>
      <c r="E2749" s="751" t="s">
        <v>1405</v>
      </c>
      <c r="F2749" s="751" t="s">
        <v>259</v>
      </c>
      <c r="G2749" s="752" t="s">
        <v>1681</v>
      </c>
      <c r="H2749" s="753">
        <v>52917</v>
      </c>
      <c r="I2749" s="754">
        <v>0</v>
      </c>
      <c r="J2749" s="754">
        <v>0</v>
      </c>
      <c r="K2749" s="754">
        <v>0</v>
      </c>
      <c r="L2749" s="754">
        <v>0</v>
      </c>
      <c r="M2749" s="754">
        <f t="shared" si="109"/>
        <v>0</v>
      </c>
      <c r="N2749" s="756">
        <v>0</v>
      </c>
      <c r="O2749" s="720">
        <f t="shared" si="110"/>
        <v>0</v>
      </c>
    </row>
    <row r="2750" spans="1:15" x14ac:dyDescent="0.25">
      <c r="A2750" s="207" t="str">
        <f>VLOOKUP(RIGHT(E2750,3)+0,SchLocTable!$A$2:$B$47,2,FALSE)</f>
        <v>Bryant</v>
      </c>
      <c r="B2750" s="207" t="str">
        <f>VLOOKUP(VALUE(D2750),$D$3:F$106,3,FALSE)</f>
        <v>Speech/Language</v>
      </c>
      <c r="C2750" s="751" t="s">
        <v>246</v>
      </c>
      <c r="D2750" s="751" t="s">
        <v>851</v>
      </c>
      <c r="E2750" s="751" t="s">
        <v>854</v>
      </c>
      <c r="F2750" s="751" t="s">
        <v>248</v>
      </c>
      <c r="G2750" s="752">
        <v>1</v>
      </c>
      <c r="H2750" s="753">
        <v>51000</v>
      </c>
      <c r="I2750" s="754">
        <v>94517.23</v>
      </c>
      <c r="J2750" s="754">
        <v>0</v>
      </c>
      <c r="K2750" s="754">
        <v>0</v>
      </c>
      <c r="L2750" s="754">
        <v>18106.75</v>
      </c>
      <c r="M2750" s="754">
        <f t="shared" si="109"/>
        <v>18106.75</v>
      </c>
      <c r="N2750" s="756">
        <v>94517.23</v>
      </c>
      <c r="O2750" s="720">
        <f t="shared" si="110"/>
        <v>0</v>
      </c>
    </row>
    <row r="2751" spans="1:15" x14ac:dyDescent="0.25">
      <c r="A2751" s="207" t="str">
        <f>VLOOKUP(RIGHT(E2751,3)+0,SchLocTable!$A$2:$B$47,2,FALSE)</f>
        <v>Bryant</v>
      </c>
      <c r="B2751" s="207" t="str">
        <f>VLOOKUP(VALUE(D2751),$D$3:F$106,3,FALSE)</f>
        <v>Speech/Language</v>
      </c>
      <c r="C2751" s="751" t="s">
        <v>246</v>
      </c>
      <c r="D2751" s="751" t="s">
        <v>851</v>
      </c>
      <c r="E2751" s="751" t="s">
        <v>854</v>
      </c>
      <c r="F2751" s="751" t="s">
        <v>454</v>
      </c>
      <c r="G2751" s="752" t="s">
        <v>1681</v>
      </c>
      <c r="H2751" s="753">
        <v>51404</v>
      </c>
      <c r="I2751" s="754">
        <v>0</v>
      </c>
      <c r="J2751" s="754">
        <v>0</v>
      </c>
      <c r="K2751" s="754">
        <v>0</v>
      </c>
      <c r="L2751" s="754">
        <v>0</v>
      </c>
      <c r="M2751" s="754">
        <f t="shared" ref="M2751:M2814" si="111">SUM(J2751:L2751)</f>
        <v>0</v>
      </c>
      <c r="N2751" s="756">
        <v>0</v>
      </c>
      <c r="O2751" s="720">
        <f t="shared" ref="O2751:O2814" si="112">I2751-N2751</f>
        <v>0</v>
      </c>
    </row>
    <row r="2752" spans="1:15" x14ac:dyDescent="0.25">
      <c r="A2752" s="207" t="str">
        <f>VLOOKUP(RIGHT(E2752,3)+0,SchLocTable!$A$2:$B$47,2,FALSE)</f>
        <v>Bryant</v>
      </c>
      <c r="B2752" s="207" t="str">
        <f>VLOOKUP(VALUE(D2752),$D$3:F$106,3,FALSE)</f>
        <v>Speech/Language</v>
      </c>
      <c r="C2752" s="751" t="s">
        <v>246</v>
      </c>
      <c r="D2752" s="751" t="s">
        <v>851</v>
      </c>
      <c r="E2752" s="751" t="s">
        <v>854</v>
      </c>
      <c r="F2752" s="751" t="s">
        <v>254</v>
      </c>
      <c r="G2752" s="752" t="s">
        <v>1681</v>
      </c>
      <c r="H2752" s="753">
        <v>52360</v>
      </c>
      <c r="I2752" s="754">
        <v>1341.48</v>
      </c>
      <c r="J2752" s="754">
        <v>0</v>
      </c>
      <c r="K2752" s="754">
        <v>0</v>
      </c>
      <c r="L2752" s="754">
        <v>233.53</v>
      </c>
      <c r="M2752" s="754">
        <f t="shared" si="111"/>
        <v>233.53</v>
      </c>
      <c r="N2752" s="756">
        <v>1341.48</v>
      </c>
      <c r="O2752" s="720">
        <f t="shared" si="112"/>
        <v>0</v>
      </c>
    </row>
    <row r="2753" spans="1:15" x14ac:dyDescent="0.25">
      <c r="A2753" s="207" t="str">
        <f>VLOOKUP(RIGHT(E2753,3)+0,SchLocTable!$A$2:$B$47,2,FALSE)</f>
        <v>Bryant</v>
      </c>
      <c r="B2753" s="207" t="str">
        <f>VLOOKUP(VALUE(D2753),$D$3:F$106,3,FALSE)</f>
        <v>Speech/Language</v>
      </c>
      <c r="C2753" s="751" t="s">
        <v>246</v>
      </c>
      <c r="D2753" s="751" t="s">
        <v>851</v>
      </c>
      <c r="E2753" s="751" t="s">
        <v>854</v>
      </c>
      <c r="F2753" s="751" t="s">
        <v>259</v>
      </c>
      <c r="G2753" s="752" t="s">
        <v>1681</v>
      </c>
      <c r="H2753" s="753">
        <v>52917</v>
      </c>
      <c r="I2753" s="754">
        <v>28478.1</v>
      </c>
      <c r="J2753" s="754">
        <v>0</v>
      </c>
      <c r="K2753" s="754">
        <v>0</v>
      </c>
      <c r="L2753" s="754">
        <v>6780.5</v>
      </c>
      <c r="M2753" s="754">
        <f t="shared" si="111"/>
        <v>6780.5</v>
      </c>
      <c r="N2753" s="756">
        <v>28478.1</v>
      </c>
      <c r="O2753" s="720">
        <f t="shared" si="112"/>
        <v>0</v>
      </c>
    </row>
    <row r="2754" spans="1:15" x14ac:dyDescent="0.25">
      <c r="A2754" s="207" t="str">
        <f>VLOOKUP(RIGHT(E2754,3)+0,SchLocTable!$A$2:$B$47,2,FALSE)</f>
        <v>Batalla</v>
      </c>
      <c r="B2754" s="207" t="str">
        <f>VLOOKUP(VALUE(D2754),$D$3:F$106,3,FALSE)</f>
        <v>Speech/Language</v>
      </c>
      <c r="C2754" s="751" t="s">
        <v>246</v>
      </c>
      <c r="D2754" s="751" t="s">
        <v>851</v>
      </c>
      <c r="E2754" s="751" t="s">
        <v>855</v>
      </c>
      <c r="F2754" s="751" t="s">
        <v>248</v>
      </c>
      <c r="G2754" s="752">
        <v>1</v>
      </c>
      <c r="H2754" s="753">
        <v>51000</v>
      </c>
      <c r="I2754" s="754">
        <v>120343.71</v>
      </c>
      <c r="J2754" s="754">
        <v>0</v>
      </c>
      <c r="K2754" s="754">
        <v>0</v>
      </c>
      <c r="L2754" s="754">
        <v>23054.35</v>
      </c>
      <c r="M2754" s="754">
        <f t="shared" si="111"/>
        <v>23054.35</v>
      </c>
      <c r="N2754" s="756">
        <v>120343.71</v>
      </c>
      <c r="O2754" s="720">
        <f t="shared" si="112"/>
        <v>0</v>
      </c>
    </row>
    <row r="2755" spans="1:15" x14ac:dyDescent="0.25">
      <c r="A2755" s="207" t="str">
        <f>VLOOKUP(RIGHT(E2755,3)+0,SchLocTable!$A$2:$B$47,2,FALSE)</f>
        <v>Batalla</v>
      </c>
      <c r="B2755" s="207" t="str">
        <f>VLOOKUP(VALUE(D2755),$D$3:F$106,3,FALSE)</f>
        <v>Speech/Language</v>
      </c>
      <c r="C2755" s="751" t="s">
        <v>246</v>
      </c>
      <c r="D2755" s="751" t="s">
        <v>851</v>
      </c>
      <c r="E2755" s="751" t="s">
        <v>855</v>
      </c>
      <c r="F2755" s="751" t="s">
        <v>257</v>
      </c>
      <c r="G2755" s="752" t="s">
        <v>1681</v>
      </c>
      <c r="H2755" s="753">
        <v>51140</v>
      </c>
      <c r="I2755" s="754">
        <v>900</v>
      </c>
      <c r="J2755" s="754">
        <v>0</v>
      </c>
      <c r="K2755" s="754">
        <v>0</v>
      </c>
      <c r="L2755" s="754">
        <v>0</v>
      </c>
      <c r="M2755" s="754">
        <f t="shared" si="111"/>
        <v>0</v>
      </c>
      <c r="N2755" s="756">
        <v>900</v>
      </c>
      <c r="O2755" s="720">
        <f t="shared" si="112"/>
        <v>0</v>
      </c>
    </row>
    <row r="2756" spans="1:15" x14ac:dyDescent="0.25">
      <c r="A2756" s="207" t="str">
        <f>VLOOKUP(RIGHT(E2756,3)+0,SchLocTable!$A$2:$B$47,2,FALSE)</f>
        <v>Batalla</v>
      </c>
      <c r="B2756" s="207" t="str">
        <f>VLOOKUP(VALUE(D2756),$D$3:F$106,3,FALSE)</f>
        <v>Speech/Language</v>
      </c>
      <c r="C2756" s="751" t="s">
        <v>246</v>
      </c>
      <c r="D2756" s="751" t="s">
        <v>851</v>
      </c>
      <c r="E2756" s="751" t="s">
        <v>855</v>
      </c>
      <c r="F2756" s="751" t="s">
        <v>454</v>
      </c>
      <c r="G2756" s="752" t="s">
        <v>1681</v>
      </c>
      <c r="H2756" s="753">
        <v>51404</v>
      </c>
      <c r="I2756" s="754">
        <v>0</v>
      </c>
      <c r="J2756" s="754">
        <v>0</v>
      </c>
      <c r="K2756" s="754">
        <v>0</v>
      </c>
      <c r="L2756" s="754">
        <v>0</v>
      </c>
      <c r="M2756" s="754">
        <f t="shared" si="111"/>
        <v>0</v>
      </c>
      <c r="N2756" s="756">
        <v>0</v>
      </c>
      <c r="O2756" s="720">
        <f t="shared" si="112"/>
        <v>0</v>
      </c>
    </row>
    <row r="2757" spans="1:15" x14ac:dyDescent="0.25">
      <c r="A2757" s="207" t="str">
        <f>VLOOKUP(RIGHT(E2757,3)+0,SchLocTable!$A$2:$B$47,2,FALSE)</f>
        <v>Batalla</v>
      </c>
      <c r="B2757" s="207" t="str">
        <f>VLOOKUP(VALUE(D2757),$D$3:F$106,3,FALSE)</f>
        <v>Speech/Language</v>
      </c>
      <c r="C2757" s="751" t="s">
        <v>246</v>
      </c>
      <c r="D2757" s="751" t="s">
        <v>851</v>
      </c>
      <c r="E2757" s="751" t="s">
        <v>855</v>
      </c>
      <c r="F2757" s="751" t="s">
        <v>254</v>
      </c>
      <c r="G2757" s="752" t="s">
        <v>1681</v>
      </c>
      <c r="H2757" s="753">
        <v>52360</v>
      </c>
      <c r="I2757" s="754">
        <v>1709.34</v>
      </c>
      <c r="J2757" s="754">
        <v>0</v>
      </c>
      <c r="K2757" s="754">
        <v>0</v>
      </c>
      <c r="L2757" s="754">
        <v>298.64</v>
      </c>
      <c r="M2757" s="754">
        <f t="shared" si="111"/>
        <v>298.64</v>
      </c>
      <c r="N2757" s="756">
        <v>1709.34</v>
      </c>
      <c r="O2757" s="720">
        <f t="shared" si="112"/>
        <v>0</v>
      </c>
    </row>
    <row r="2758" spans="1:15" x14ac:dyDescent="0.25">
      <c r="A2758" s="207" t="str">
        <f>VLOOKUP(RIGHT(E2758,3)+0,SchLocTable!$A$2:$B$47,2,FALSE)</f>
        <v>Batalla</v>
      </c>
      <c r="B2758" s="207" t="str">
        <f>VLOOKUP(VALUE(D2758),$D$3:F$106,3,FALSE)</f>
        <v>Speech/Language</v>
      </c>
      <c r="C2758" s="751" t="s">
        <v>246</v>
      </c>
      <c r="D2758" s="751" t="s">
        <v>851</v>
      </c>
      <c r="E2758" s="751" t="s">
        <v>855</v>
      </c>
      <c r="F2758" s="751" t="s">
        <v>259</v>
      </c>
      <c r="G2758" s="752" t="s">
        <v>1681</v>
      </c>
      <c r="H2758" s="753">
        <v>52917</v>
      </c>
      <c r="I2758" s="754">
        <v>35075.879999999997</v>
      </c>
      <c r="J2758" s="754">
        <v>0</v>
      </c>
      <c r="K2758" s="754">
        <v>0</v>
      </c>
      <c r="L2758" s="754">
        <v>8351.4</v>
      </c>
      <c r="M2758" s="754">
        <f t="shared" si="111"/>
        <v>8351.4</v>
      </c>
      <c r="N2758" s="756">
        <v>35075.879999999997</v>
      </c>
      <c r="O2758" s="720">
        <f t="shared" si="112"/>
        <v>0</v>
      </c>
    </row>
    <row r="2759" spans="1:15" x14ac:dyDescent="0.25">
      <c r="A2759" s="207" t="str">
        <f>VLOOKUP(RIGHT(E2759,3)+0,SchLocTable!$A$2:$B$47,2,FALSE)</f>
        <v>Park City Magnet</v>
      </c>
      <c r="B2759" s="207" t="str">
        <f>VLOOKUP(VALUE(D2759),$D$3:F$106,3,FALSE)</f>
        <v>Speech/Language</v>
      </c>
      <c r="C2759" s="751" t="s">
        <v>246</v>
      </c>
      <c r="D2759" s="751" t="s">
        <v>851</v>
      </c>
      <c r="E2759" s="751" t="s">
        <v>856</v>
      </c>
      <c r="F2759" s="751" t="s">
        <v>248</v>
      </c>
      <c r="G2759" s="752">
        <v>1</v>
      </c>
      <c r="H2759" s="753">
        <v>51000</v>
      </c>
      <c r="I2759" s="754">
        <v>86057.17</v>
      </c>
      <c r="J2759" s="754">
        <v>0</v>
      </c>
      <c r="K2759" s="754">
        <v>0</v>
      </c>
      <c r="L2759" s="754">
        <v>16486.04</v>
      </c>
      <c r="M2759" s="754">
        <f t="shared" si="111"/>
        <v>16486.04</v>
      </c>
      <c r="N2759" s="756">
        <v>86057.17</v>
      </c>
      <c r="O2759" s="720">
        <f t="shared" si="112"/>
        <v>0</v>
      </c>
    </row>
    <row r="2760" spans="1:15" x14ac:dyDescent="0.25">
      <c r="A2760" s="207" t="str">
        <f>VLOOKUP(RIGHT(E2760,3)+0,SchLocTable!$A$2:$B$47,2,FALSE)</f>
        <v>Park City Magnet</v>
      </c>
      <c r="B2760" s="207" t="str">
        <f>VLOOKUP(VALUE(D2760),$D$3:F$106,3,FALSE)</f>
        <v>Speech/Language</v>
      </c>
      <c r="C2760" s="751" t="s">
        <v>246</v>
      </c>
      <c r="D2760" s="751" t="s">
        <v>851</v>
      </c>
      <c r="E2760" s="751" t="s">
        <v>856</v>
      </c>
      <c r="F2760" s="751" t="s">
        <v>454</v>
      </c>
      <c r="G2760" s="752" t="s">
        <v>1681</v>
      </c>
      <c r="H2760" s="753">
        <v>51404</v>
      </c>
      <c r="I2760" s="754">
        <v>0</v>
      </c>
      <c r="J2760" s="754">
        <v>0</v>
      </c>
      <c r="K2760" s="754">
        <v>0</v>
      </c>
      <c r="L2760" s="754">
        <v>0</v>
      </c>
      <c r="M2760" s="754">
        <f t="shared" si="111"/>
        <v>0</v>
      </c>
      <c r="N2760" s="756">
        <v>0</v>
      </c>
      <c r="O2760" s="720">
        <f t="shared" si="112"/>
        <v>0</v>
      </c>
    </row>
    <row r="2761" spans="1:15" x14ac:dyDescent="0.25">
      <c r="A2761" s="207" t="str">
        <f>VLOOKUP(RIGHT(E2761,3)+0,SchLocTable!$A$2:$B$47,2,FALSE)</f>
        <v>Park City Magnet</v>
      </c>
      <c r="B2761" s="207" t="str">
        <f>VLOOKUP(VALUE(D2761),$D$3:F$106,3,FALSE)</f>
        <v>Speech/Language</v>
      </c>
      <c r="C2761" s="755" t="s">
        <v>246</v>
      </c>
      <c r="D2761" s="751" t="s">
        <v>851</v>
      </c>
      <c r="E2761" s="751" t="s">
        <v>856</v>
      </c>
      <c r="F2761" s="751" t="s">
        <v>254</v>
      </c>
      <c r="G2761" s="752" t="s">
        <v>1681</v>
      </c>
      <c r="H2761" s="753">
        <v>52360</v>
      </c>
      <c r="I2761" s="754">
        <v>1235.79</v>
      </c>
      <c r="J2761" s="754">
        <v>0</v>
      </c>
      <c r="K2761" s="754">
        <v>0</v>
      </c>
      <c r="L2761" s="754">
        <v>227.01</v>
      </c>
      <c r="M2761" s="754">
        <f t="shared" si="111"/>
        <v>227.01</v>
      </c>
      <c r="N2761" s="756">
        <v>1235.79</v>
      </c>
      <c r="O2761" s="720">
        <f t="shared" si="112"/>
        <v>0</v>
      </c>
    </row>
    <row r="2762" spans="1:15" x14ac:dyDescent="0.25">
      <c r="A2762" s="207" t="str">
        <f>VLOOKUP(RIGHT(E2762,3)+0,SchLocTable!$A$2:$B$47,2,FALSE)</f>
        <v>Park City Magnet</v>
      </c>
      <c r="B2762" s="207" t="str">
        <f>VLOOKUP(VALUE(D2762),$D$3:F$106,3,FALSE)</f>
        <v>Speech/Language</v>
      </c>
      <c r="C2762" s="751" t="s">
        <v>246</v>
      </c>
      <c r="D2762" s="751" t="s">
        <v>851</v>
      </c>
      <c r="E2762" s="751" t="s">
        <v>856</v>
      </c>
      <c r="F2762" s="751" t="s">
        <v>259</v>
      </c>
      <c r="G2762" s="752" t="s">
        <v>1681</v>
      </c>
      <c r="H2762" s="753">
        <v>52917</v>
      </c>
      <c r="I2762" s="754">
        <v>11844</v>
      </c>
      <c r="J2762" s="754">
        <v>0</v>
      </c>
      <c r="K2762" s="754">
        <v>0</v>
      </c>
      <c r="L2762" s="754">
        <v>2820</v>
      </c>
      <c r="M2762" s="754">
        <f t="shared" si="111"/>
        <v>2820</v>
      </c>
      <c r="N2762" s="756">
        <v>11844</v>
      </c>
      <c r="O2762" s="720">
        <f t="shared" si="112"/>
        <v>0</v>
      </c>
    </row>
    <row r="2763" spans="1:15" x14ac:dyDescent="0.25">
      <c r="A2763" s="207" t="str">
        <f>VLOOKUP(RIGHT(E2763,3)+0,SchLocTable!$A$2:$B$47,2,FALSE)</f>
        <v>Tisdale</v>
      </c>
      <c r="B2763" s="207" t="str">
        <f>VLOOKUP(VALUE(D2763),$D$3:F$106,3,FALSE)</f>
        <v>Speech/Language</v>
      </c>
      <c r="C2763" s="751" t="s">
        <v>246</v>
      </c>
      <c r="D2763" s="751" t="s">
        <v>851</v>
      </c>
      <c r="E2763" s="751" t="s">
        <v>857</v>
      </c>
      <c r="F2763" s="751" t="s">
        <v>248</v>
      </c>
      <c r="G2763" s="752">
        <v>1</v>
      </c>
      <c r="H2763" s="753">
        <v>51000</v>
      </c>
      <c r="I2763" s="754">
        <v>65085.31</v>
      </c>
      <c r="J2763" s="754">
        <v>0</v>
      </c>
      <c r="K2763" s="754">
        <v>0</v>
      </c>
      <c r="L2763" s="754">
        <v>12468.45</v>
      </c>
      <c r="M2763" s="754">
        <f t="shared" si="111"/>
        <v>12468.45</v>
      </c>
      <c r="N2763" s="756">
        <v>65085.31</v>
      </c>
      <c r="O2763" s="720">
        <f t="shared" si="112"/>
        <v>0</v>
      </c>
    </row>
    <row r="2764" spans="1:15" x14ac:dyDescent="0.25">
      <c r="A2764" s="207" t="str">
        <f>VLOOKUP(RIGHT(E2764,3)+0,SchLocTable!$A$2:$B$47,2,FALSE)</f>
        <v>Tisdale</v>
      </c>
      <c r="B2764" s="207" t="str">
        <f>VLOOKUP(VALUE(D2764),$D$3:F$106,3,FALSE)</f>
        <v>Speech/Language</v>
      </c>
      <c r="C2764" s="751" t="s">
        <v>246</v>
      </c>
      <c r="D2764" s="751" t="s">
        <v>851</v>
      </c>
      <c r="E2764" s="751" t="s">
        <v>857</v>
      </c>
      <c r="F2764" s="751" t="s">
        <v>254</v>
      </c>
      <c r="G2764" s="752" t="s">
        <v>1681</v>
      </c>
      <c r="H2764" s="753">
        <v>52360</v>
      </c>
      <c r="I2764" s="754">
        <v>931.68</v>
      </c>
      <c r="J2764" s="754">
        <v>0</v>
      </c>
      <c r="K2764" s="754">
        <v>0</v>
      </c>
      <c r="L2764" s="754">
        <v>168.74</v>
      </c>
      <c r="M2764" s="754">
        <f t="shared" si="111"/>
        <v>168.74</v>
      </c>
      <c r="N2764" s="756">
        <v>931.68</v>
      </c>
      <c r="O2764" s="720">
        <f t="shared" si="112"/>
        <v>0</v>
      </c>
    </row>
    <row r="2765" spans="1:15" x14ac:dyDescent="0.25">
      <c r="A2765" s="207" t="str">
        <f>VLOOKUP(RIGHT(E2765,3)+0,SchLocTable!$A$2:$B$47,2,FALSE)</f>
        <v>Tisdale</v>
      </c>
      <c r="B2765" s="207" t="str">
        <f>VLOOKUP(VALUE(D2765),$D$3:F$106,3,FALSE)</f>
        <v>Speech/Language</v>
      </c>
      <c r="C2765" s="751" t="s">
        <v>246</v>
      </c>
      <c r="D2765" s="751" t="s">
        <v>851</v>
      </c>
      <c r="E2765" s="751" t="s">
        <v>857</v>
      </c>
      <c r="F2765" s="751" t="s">
        <v>259</v>
      </c>
      <c r="G2765" s="752" t="s">
        <v>1681</v>
      </c>
      <c r="H2765" s="753">
        <v>52917</v>
      </c>
      <c r="I2765" s="754">
        <v>11884.32</v>
      </c>
      <c r="J2765" s="754">
        <v>0</v>
      </c>
      <c r="K2765" s="754">
        <v>0</v>
      </c>
      <c r="L2765" s="754">
        <v>2829.6</v>
      </c>
      <c r="M2765" s="754">
        <f t="shared" si="111"/>
        <v>2829.6</v>
      </c>
      <c r="N2765" s="756">
        <v>11884.32</v>
      </c>
      <c r="O2765" s="720">
        <f t="shared" si="112"/>
        <v>0</v>
      </c>
    </row>
    <row r="2766" spans="1:15" x14ac:dyDescent="0.25">
      <c r="A2766" s="207" t="str">
        <f>VLOOKUP(RIGHT(E2766,3)+0,SchLocTable!$A$2:$B$47,2,FALSE)</f>
        <v>Read</v>
      </c>
      <c r="B2766" s="207" t="str">
        <f>VLOOKUP(VALUE(D2766),$D$3:F$106,3,FALSE)</f>
        <v>Speech/Language</v>
      </c>
      <c r="C2766" s="751" t="s">
        <v>246</v>
      </c>
      <c r="D2766" s="751" t="s">
        <v>851</v>
      </c>
      <c r="E2766" s="751" t="s">
        <v>1624</v>
      </c>
      <c r="F2766" s="751" t="s">
        <v>248</v>
      </c>
      <c r="G2766" s="752">
        <v>1</v>
      </c>
      <c r="H2766" s="753">
        <v>51000</v>
      </c>
      <c r="I2766" s="754">
        <v>55380.29</v>
      </c>
      <c r="J2766" s="754">
        <v>0</v>
      </c>
      <c r="K2766" s="754">
        <v>0</v>
      </c>
      <c r="L2766" s="754">
        <v>10609.25</v>
      </c>
      <c r="M2766" s="754">
        <f t="shared" si="111"/>
        <v>10609.25</v>
      </c>
      <c r="N2766" s="756">
        <v>55380.29</v>
      </c>
      <c r="O2766" s="720">
        <f t="shared" si="112"/>
        <v>0</v>
      </c>
    </row>
    <row r="2767" spans="1:15" x14ac:dyDescent="0.25">
      <c r="A2767" s="207" t="str">
        <f>VLOOKUP(RIGHT(E2767,3)+0,SchLocTable!$A$2:$B$47,2,FALSE)</f>
        <v>Read</v>
      </c>
      <c r="B2767" s="207" t="str">
        <f>VLOOKUP(VALUE(D2767),$D$3:F$106,3,FALSE)</f>
        <v>Speech/Language</v>
      </c>
      <c r="C2767" s="751" t="s">
        <v>246</v>
      </c>
      <c r="D2767" s="751" t="s">
        <v>851</v>
      </c>
      <c r="E2767" s="751" t="s">
        <v>1624</v>
      </c>
      <c r="F2767" s="751" t="s">
        <v>254</v>
      </c>
      <c r="G2767" s="752" t="s">
        <v>1681</v>
      </c>
      <c r="H2767" s="753">
        <v>52360</v>
      </c>
      <c r="I2767" s="754">
        <v>791.03</v>
      </c>
      <c r="J2767" s="754">
        <v>0</v>
      </c>
      <c r="K2767" s="754">
        <v>0</v>
      </c>
      <c r="L2767" s="754">
        <v>141.85</v>
      </c>
      <c r="M2767" s="754">
        <f t="shared" si="111"/>
        <v>141.85</v>
      </c>
      <c r="N2767" s="756">
        <v>791.03</v>
      </c>
      <c r="O2767" s="720">
        <f t="shared" si="112"/>
        <v>0</v>
      </c>
    </row>
    <row r="2768" spans="1:15" x14ac:dyDescent="0.25">
      <c r="A2768" s="207" t="str">
        <f>VLOOKUP(RIGHT(E2768,3)+0,SchLocTable!$A$2:$B$47,2,FALSE)</f>
        <v>Read</v>
      </c>
      <c r="B2768" s="207" t="str">
        <f>VLOOKUP(VALUE(D2768),$D$3:F$106,3,FALSE)</f>
        <v>Speech/Language</v>
      </c>
      <c r="C2768" s="751" t="s">
        <v>246</v>
      </c>
      <c r="D2768" s="751" t="s">
        <v>851</v>
      </c>
      <c r="E2768" s="751" t="s">
        <v>1624</v>
      </c>
      <c r="F2768" s="751" t="s">
        <v>292</v>
      </c>
      <c r="G2768" s="752" t="s">
        <v>1681</v>
      </c>
      <c r="H2768" s="753">
        <v>52385</v>
      </c>
      <c r="I2768" s="754">
        <v>0</v>
      </c>
      <c r="J2768" s="754">
        <v>0</v>
      </c>
      <c r="K2768" s="754">
        <v>0</v>
      </c>
      <c r="L2768" s="754">
        <v>0</v>
      </c>
      <c r="M2768" s="754">
        <f t="shared" si="111"/>
        <v>0</v>
      </c>
      <c r="N2768" s="756">
        <v>0</v>
      </c>
      <c r="O2768" s="720">
        <f t="shared" si="112"/>
        <v>0</v>
      </c>
    </row>
    <row r="2769" spans="1:15" x14ac:dyDescent="0.25">
      <c r="A2769" s="207" t="str">
        <f>VLOOKUP(RIGHT(E2769,3)+0,SchLocTable!$A$2:$B$47,2,FALSE)</f>
        <v>Read</v>
      </c>
      <c r="B2769" s="207" t="str">
        <f>VLOOKUP(VALUE(D2769),$D$3:F$106,3,FALSE)</f>
        <v>Speech/Language</v>
      </c>
      <c r="C2769" s="751" t="s">
        <v>246</v>
      </c>
      <c r="D2769" s="751" t="s">
        <v>851</v>
      </c>
      <c r="E2769" s="751" t="s">
        <v>1624</v>
      </c>
      <c r="F2769" s="751" t="s">
        <v>259</v>
      </c>
      <c r="G2769" s="752" t="s">
        <v>1681</v>
      </c>
      <c r="H2769" s="753">
        <v>52917</v>
      </c>
      <c r="I2769" s="754">
        <v>11823.08</v>
      </c>
      <c r="J2769" s="754">
        <v>0</v>
      </c>
      <c r="K2769" s="754">
        <v>0</v>
      </c>
      <c r="L2769" s="754">
        <v>2799.08</v>
      </c>
      <c r="M2769" s="754">
        <f t="shared" si="111"/>
        <v>2799.08</v>
      </c>
      <c r="N2769" s="756">
        <v>11823.08</v>
      </c>
      <c r="O2769" s="720">
        <f t="shared" si="112"/>
        <v>0</v>
      </c>
    </row>
    <row r="2770" spans="1:15" x14ac:dyDescent="0.25">
      <c r="A2770" s="207" t="str">
        <f>VLOOKUP(RIGHT(E2770,3)+0,SchLocTable!$A$2:$B$47,2,FALSE)</f>
        <v>Johnson</v>
      </c>
      <c r="B2770" s="207" t="str">
        <f>VLOOKUP(VALUE(D2770),$D$3:F$106,3,FALSE)</f>
        <v>Speech/Language</v>
      </c>
      <c r="C2770" s="751" t="s">
        <v>246</v>
      </c>
      <c r="D2770" s="751" t="s">
        <v>851</v>
      </c>
      <c r="E2770" s="751" t="s">
        <v>858</v>
      </c>
      <c r="F2770" s="751" t="s">
        <v>248</v>
      </c>
      <c r="G2770" s="752">
        <v>1</v>
      </c>
      <c r="H2770" s="753">
        <v>51000</v>
      </c>
      <c r="I2770" s="754">
        <v>84260.84</v>
      </c>
      <c r="J2770" s="754">
        <v>0</v>
      </c>
      <c r="K2770" s="754">
        <v>0</v>
      </c>
      <c r="L2770" s="754">
        <v>16142.02</v>
      </c>
      <c r="M2770" s="754">
        <f t="shared" si="111"/>
        <v>16142.02</v>
      </c>
      <c r="N2770" s="756">
        <v>84260.84</v>
      </c>
      <c r="O2770" s="720">
        <f t="shared" si="112"/>
        <v>0</v>
      </c>
    </row>
    <row r="2771" spans="1:15" x14ac:dyDescent="0.25">
      <c r="A2771" s="207" t="str">
        <f>VLOOKUP(RIGHT(E2771,3)+0,SchLocTable!$A$2:$B$47,2,FALSE)</f>
        <v>Johnson</v>
      </c>
      <c r="B2771" s="207" t="str">
        <f>VLOOKUP(VALUE(D2771),$D$3:F$106,3,FALSE)</f>
        <v>Speech/Language</v>
      </c>
      <c r="C2771" s="751" t="s">
        <v>246</v>
      </c>
      <c r="D2771" s="751" t="s">
        <v>851</v>
      </c>
      <c r="E2771" s="751" t="s">
        <v>858</v>
      </c>
      <c r="F2771" s="751" t="s">
        <v>254</v>
      </c>
      <c r="G2771" s="752" t="s">
        <v>1681</v>
      </c>
      <c r="H2771" s="753">
        <v>52360</v>
      </c>
      <c r="I2771" s="754">
        <v>1186.1300000000001</v>
      </c>
      <c r="J2771" s="754">
        <v>0</v>
      </c>
      <c r="K2771" s="754">
        <v>0</v>
      </c>
      <c r="L2771" s="754">
        <v>198.41</v>
      </c>
      <c r="M2771" s="754">
        <f t="shared" si="111"/>
        <v>198.41</v>
      </c>
      <c r="N2771" s="756">
        <v>1186.1300000000001</v>
      </c>
      <c r="O2771" s="720">
        <f t="shared" si="112"/>
        <v>0</v>
      </c>
    </row>
    <row r="2772" spans="1:15" x14ac:dyDescent="0.25">
      <c r="A2772" s="207" t="str">
        <f>VLOOKUP(RIGHT(E2772,3)+0,SchLocTable!$A$2:$B$47,2,FALSE)</f>
        <v>Johnson</v>
      </c>
      <c r="B2772" s="207" t="str">
        <f>VLOOKUP(VALUE(D2772),$D$3:F$106,3,FALSE)</f>
        <v>Speech/Language</v>
      </c>
      <c r="C2772" s="751" t="s">
        <v>246</v>
      </c>
      <c r="D2772" s="751" t="s">
        <v>851</v>
      </c>
      <c r="E2772" s="751" t="s">
        <v>858</v>
      </c>
      <c r="F2772" s="751" t="s">
        <v>259</v>
      </c>
      <c r="G2772" s="752" t="s">
        <v>1681</v>
      </c>
      <c r="H2772" s="753">
        <v>52917</v>
      </c>
      <c r="I2772" s="754">
        <v>35075.879999999997</v>
      </c>
      <c r="J2772" s="754">
        <v>0</v>
      </c>
      <c r="K2772" s="754">
        <v>0</v>
      </c>
      <c r="L2772" s="754">
        <v>8351.4</v>
      </c>
      <c r="M2772" s="754">
        <f t="shared" si="111"/>
        <v>8351.4</v>
      </c>
      <c r="N2772" s="756">
        <v>35075.879999999997</v>
      </c>
      <c r="O2772" s="720">
        <f t="shared" si="112"/>
        <v>0</v>
      </c>
    </row>
    <row r="2773" spans="1:15" x14ac:dyDescent="0.25">
      <c r="A2773" s="207" t="str">
        <f>VLOOKUP(RIGHT(E2773,3)+0,SchLocTable!$A$2:$B$47,2,FALSE)</f>
        <v>Winthrop</v>
      </c>
      <c r="B2773" s="207" t="str">
        <f>VLOOKUP(VALUE(D2773),$D$3:F$106,3,FALSE)</f>
        <v>Speech/Language</v>
      </c>
      <c r="C2773" s="751" t="s">
        <v>246</v>
      </c>
      <c r="D2773" s="751" t="s">
        <v>851</v>
      </c>
      <c r="E2773" s="751" t="s">
        <v>2130</v>
      </c>
      <c r="F2773" s="751" t="s">
        <v>248</v>
      </c>
      <c r="G2773" s="752" t="s">
        <v>1681</v>
      </c>
      <c r="H2773" s="753">
        <v>51000</v>
      </c>
      <c r="I2773" s="754">
        <v>0</v>
      </c>
      <c r="J2773" s="754">
        <v>0</v>
      </c>
      <c r="K2773" s="754">
        <v>0</v>
      </c>
      <c r="L2773" s="754">
        <v>0</v>
      </c>
      <c r="M2773" s="754">
        <f t="shared" si="111"/>
        <v>0</v>
      </c>
      <c r="N2773" s="756">
        <v>0</v>
      </c>
      <c r="O2773" s="720">
        <f t="shared" si="112"/>
        <v>0</v>
      </c>
    </row>
    <row r="2774" spans="1:15" x14ac:dyDescent="0.25">
      <c r="A2774" s="207" t="str">
        <f>VLOOKUP(RIGHT(E2774,3)+0,SchLocTable!$A$2:$B$47,2,FALSE)</f>
        <v>Winthrop</v>
      </c>
      <c r="B2774" s="207" t="str">
        <f>VLOOKUP(VALUE(D2774),$D$3:F$106,3,FALSE)</f>
        <v>Speech/Language</v>
      </c>
      <c r="C2774" s="751" t="s">
        <v>246</v>
      </c>
      <c r="D2774" s="751" t="s">
        <v>851</v>
      </c>
      <c r="E2774" s="751" t="s">
        <v>2130</v>
      </c>
      <c r="F2774" s="751" t="s">
        <v>254</v>
      </c>
      <c r="G2774" s="752" t="s">
        <v>1681</v>
      </c>
      <c r="H2774" s="753">
        <v>52360</v>
      </c>
      <c r="I2774" s="754">
        <v>0</v>
      </c>
      <c r="J2774" s="754">
        <v>0</v>
      </c>
      <c r="K2774" s="754">
        <v>0</v>
      </c>
      <c r="L2774" s="754">
        <v>0</v>
      </c>
      <c r="M2774" s="754">
        <f t="shared" si="111"/>
        <v>0</v>
      </c>
      <c r="N2774" s="756">
        <v>0</v>
      </c>
      <c r="O2774" s="720">
        <f t="shared" si="112"/>
        <v>0</v>
      </c>
    </row>
    <row r="2775" spans="1:15" x14ac:dyDescent="0.25">
      <c r="A2775" s="207" t="str">
        <f>VLOOKUP(RIGHT(E2775,3)+0,SchLocTable!$A$2:$B$47,2,FALSE)</f>
        <v>Cross</v>
      </c>
      <c r="B2775" s="207" t="str">
        <f>VLOOKUP(VALUE(D2775),$D$3:F$106,3,FALSE)</f>
        <v>Speech/Language</v>
      </c>
      <c r="C2775" s="755" t="s">
        <v>246</v>
      </c>
      <c r="D2775" s="751" t="s">
        <v>851</v>
      </c>
      <c r="E2775" s="751" t="s">
        <v>1824</v>
      </c>
      <c r="F2775" s="751" t="s">
        <v>248</v>
      </c>
      <c r="G2775" s="752" t="s">
        <v>1681</v>
      </c>
      <c r="H2775" s="753">
        <v>51000</v>
      </c>
      <c r="I2775" s="754">
        <v>0</v>
      </c>
      <c r="J2775" s="754">
        <v>0</v>
      </c>
      <c r="K2775" s="754">
        <v>0</v>
      </c>
      <c r="L2775" s="754">
        <v>0</v>
      </c>
      <c r="M2775" s="754">
        <f t="shared" si="111"/>
        <v>0</v>
      </c>
      <c r="N2775" s="756">
        <v>0</v>
      </c>
      <c r="O2775" s="720">
        <f t="shared" si="112"/>
        <v>0</v>
      </c>
    </row>
    <row r="2776" spans="1:15" x14ac:dyDescent="0.25">
      <c r="A2776" s="207" t="str">
        <f>VLOOKUP(RIGHT(E2776,3)+0,SchLocTable!$A$2:$B$47,2,FALSE)</f>
        <v>Cross</v>
      </c>
      <c r="B2776" s="207" t="str">
        <f>VLOOKUP(VALUE(D2776),$D$3:F$106,3,FALSE)</f>
        <v>Speech/Language</v>
      </c>
      <c r="C2776" s="751" t="s">
        <v>246</v>
      </c>
      <c r="D2776" s="751" t="s">
        <v>851</v>
      </c>
      <c r="E2776" s="751" t="s">
        <v>1824</v>
      </c>
      <c r="F2776" s="751" t="s">
        <v>254</v>
      </c>
      <c r="G2776" s="752" t="s">
        <v>1681</v>
      </c>
      <c r="H2776" s="753">
        <v>52360</v>
      </c>
      <c r="I2776" s="754">
        <v>0</v>
      </c>
      <c r="J2776" s="754">
        <v>0</v>
      </c>
      <c r="K2776" s="754">
        <v>0</v>
      </c>
      <c r="L2776" s="754">
        <v>0</v>
      </c>
      <c r="M2776" s="754">
        <f t="shared" si="111"/>
        <v>0</v>
      </c>
      <c r="N2776" s="756">
        <v>0</v>
      </c>
      <c r="O2776" s="720">
        <f t="shared" si="112"/>
        <v>0</v>
      </c>
    </row>
    <row r="2777" spans="1:15" x14ac:dyDescent="0.25">
      <c r="A2777" s="207" t="str">
        <f>VLOOKUP(RIGHT(E2777,3)+0,SchLocTable!$A$2:$B$47,2,FALSE)</f>
        <v>Cross</v>
      </c>
      <c r="B2777" s="207" t="str">
        <f>VLOOKUP(VALUE(D2777),$D$3:F$106,3,FALSE)</f>
        <v>Speech/Language</v>
      </c>
      <c r="C2777" s="755" t="s">
        <v>246</v>
      </c>
      <c r="D2777" s="751" t="s">
        <v>851</v>
      </c>
      <c r="E2777" s="751" t="s">
        <v>1824</v>
      </c>
      <c r="F2777" s="751" t="s">
        <v>259</v>
      </c>
      <c r="G2777" s="752" t="s">
        <v>1681</v>
      </c>
      <c r="H2777" s="753">
        <v>52917</v>
      </c>
      <c r="I2777" s="754">
        <v>0</v>
      </c>
      <c r="J2777" s="754">
        <v>0</v>
      </c>
      <c r="K2777" s="754">
        <v>0</v>
      </c>
      <c r="L2777" s="754">
        <v>0</v>
      </c>
      <c r="M2777" s="754">
        <f t="shared" si="111"/>
        <v>0</v>
      </c>
      <c r="N2777" s="756">
        <v>0</v>
      </c>
      <c r="O2777" s="720">
        <f t="shared" si="112"/>
        <v>0</v>
      </c>
    </row>
    <row r="2778" spans="1:15" x14ac:dyDescent="0.25">
      <c r="A2778" s="207" t="str">
        <f>VLOOKUP(RIGHT(E2778,3)+0,SchLocTable!$A$2:$B$47,2,FALSE)</f>
        <v>Skane</v>
      </c>
      <c r="B2778" s="207" t="str">
        <f>VLOOKUP(VALUE(D2778),$D$3:F$106,3,FALSE)</f>
        <v>Speech/Language</v>
      </c>
      <c r="C2778" s="751" t="s">
        <v>246</v>
      </c>
      <c r="D2778" s="751" t="s">
        <v>851</v>
      </c>
      <c r="E2778" s="751" t="s">
        <v>859</v>
      </c>
      <c r="F2778" s="751" t="s">
        <v>248</v>
      </c>
      <c r="G2778" s="752">
        <v>1</v>
      </c>
      <c r="H2778" s="753">
        <v>51000</v>
      </c>
      <c r="I2778" s="754">
        <v>73763.56</v>
      </c>
      <c r="J2778" s="754">
        <v>0</v>
      </c>
      <c r="K2778" s="754">
        <v>0</v>
      </c>
      <c r="L2778" s="754">
        <v>14130.95</v>
      </c>
      <c r="M2778" s="754">
        <f t="shared" si="111"/>
        <v>14130.95</v>
      </c>
      <c r="N2778" s="756">
        <v>73763.56</v>
      </c>
      <c r="O2778" s="720">
        <f t="shared" si="112"/>
        <v>0</v>
      </c>
    </row>
    <row r="2779" spans="1:15" x14ac:dyDescent="0.25">
      <c r="A2779" s="207" t="str">
        <f>VLOOKUP(RIGHT(E2779,3)+0,SchLocTable!$A$2:$B$47,2,FALSE)</f>
        <v>Skane</v>
      </c>
      <c r="B2779" s="207" t="str">
        <f>VLOOKUP(VALUE(D2779),$D$3:F$106,3,FALSE)</f>
        <v>Speech/Language</v>
      </c>
      <c r="C2779" s="755" t="s">
        <v>246</v>
      </c>
      <c r="D2779" s="751" t="s">
        <v>851</v>
      </c>
      <c r="E2779" s="751" t="s">
        <v>859</v>
      </c>
      <c r="F2779" s="751" t="s">
        <v>254</v>
      </c>
      <c r="G2779" s="752" t="s">
        <v>1681</v>
      </c>
      <c r="H2779" s="753">
        <v>52360</v>
      </c>
      <c r="I2779" s="754">
        <v>1057.53</v>
      </c>
      <c r="J2779" s="754">
        <v>0</v>
      </c>
      <c r="K2779" s="754">
        <v>0</v>
      </c>
      <c r="L2779" s="754">
        <v>192.86</v>
      </c>
      <c r="M2779" s="754">
        <f t="shared" si="111"/>
        <v>192.86</v>
      </c>
      <c r="N2779" s="756">
        <v>1057.53</v>
      </c>
      <c r="O2779" s="720">
        <f t="shared" si="112"/>
        <v>0</v>
      </c>
    </row>
    <row r="2780" spans="1:15" x14ac:dyDescent="0.25">
      <c r="A2780" s="207" t="str">
        <f>VLOOKUP(RIGHT(E2780,3)+0,SchLocTable!$A$2:$B$47,2,FALSE)</f>
        <v>Skane</v>
      </c>
      <c r="B2780" s="207" t="str">
        <f>VLOOKUP(VALUE(D2780),$D$3:F$106,3,FALSE)</f>
        <v>Speech/Language</v>
      </c>
      <c r="C2780" s="751" t="s">
        <v>246</v>
      </c>
      <c r="D2780" s="751" t="s">
        <v>851</v>
      </c>
      <c r="E2780" s="751" t="s">
        <v>859</v>
      </c>
      <c r="F2780" s="751" t="s">
        <v>259</v>
      </c>
      <c r="G2780" s="752" t="s">
        <v>1681</v>
      </c>
      <c r="H2780" s="753">
        <v>52917</v>
      </c>
      <c r="I2780" s="754">
        <v>11844</v>
      </c>
      <c r="J2780" s="754">
        <v>0</v>
      </c>
      <c r="K2780" s="754">
        <v>0</v>
      </c>
      <c r="L2780" s="754">
        <v>2820</v>
      </c>
      <c r="M2780" s="754">
        <f t="shared" si="111"/>
        <v>2820</v>
      </c>
      <c r="N2780" s="756">
        <v>11844</v>
      </c>
      <c r="O2780" s="720">
        <f t="shared" si="112"/>
        <v>0</v>
      </c>
    </row>
    <row r="2781" spans="1:15" x14ac:dyDescent="0.25">
      <c r="A2781" s="207" t="e">
        <f>VLOOKUP(RIGHT(E2781,3)+0,SchLocTable!$A$2:$B$47,2,FALSE)</f>
        <v>#N/A</v>
      </c>
      <c r="B2781" s="207" t="str">
        <f>VLOOKUP(VALUE(D2781),$D$3:F$106,3,FALSE)</f>
        <v>Speech/Language Paras</v>
      </c>
      <c r="C2781" s="751" t="s">
        <v>246</v>
      </c>
      <c r="D2781" s="751" t="s">
        <v>860</v>
      </c>
      <c r="E2781" s="751" t="s">
        <v>861</v>
      </c>
      <c r="F2781" s="751" t="s">
        <v>248</v>
      </c>
      <c r="G2781" s="752">
        <v>1</v>
      </c>
      <c r="H2781" s="753">
        <v>51000</v>
      </c>
      <c r="I2781" s="754">
        <v>48268.95</v>
      </c>
      <c r="J2781" s="754">
        <v>0</v>
      </c>
      <c r="K2781" s="754">
        <v>0</v>
      </c>
      <c r="L2781" s="754">
        <v>14577.21</v>
      </c>
      <c r="M2781" s="754">
        <f t="shared" si="111"/>
        <v>14577.21</v>
      </c>
      <c r="N2781" s="756">
        <v>48268.95</v>
      </c>
      <c r="O2781" s="720">
        <f t="shared" si="112"/>
        <v>0</v>
      </c>
    </row>
    <row r="2782" spans="1:15" x14ac:dyDescent="0.25">
      <c r="A2782" s="207" t="e">
        <f>VLOOKUP(RIGHT(E2782,3)+0,SchLocTable!$A$2:$B$47,2,FALSE)</f>
        <v>#N/A</v>
      </c>
      <c r="B2782" s="207" t="str">
        <f>VLOOKUP(VALUE(D2782),$D$3:F$106,3,FALSE)</f>
        <v>Speech/Language Paras</v>
      </c>
      <c r="C2782" s="755" t="s">
        <v>246</v>
      </c>
      <c r="D2782" s="751" t="s">
        <v>860</v>
      </c>
      <c r="E2782" s="751" t="s">
        <v>861</v>
      </c>
      <c r="F2782" s="751" t="s">
        <v>257</v>
      </c>
      <c r="G2782" s="752" t="s">
        <v>1681</v>
      </c>
      <c r="H2782" s="753">
        <v>51140</v>
      </c>
      <c r="I2782" s="754">
        <v>3930</v>
      </c>
      <c r="J2782" s="754">
        <v>0</v>
      </c>
      <c r="K2782" s="754">
        <v>0</v>
      </c>
      <c r="L2782" s="754">
        <v>0</v>
      </c>
      <c r="M2782" s="754">
        <f t="shared" si="111"/>
        <v>0</v>
      </c>
      <c r="N2782" s="756">
        <v>3930</v>
      </c>
      <c r="O2782" s="720">
        <f t="shared" si="112"/>
        <v>0</v>
      </c>
    </row>
    <row r="2783" spans="1:15" x14ac:dyDescent="0.25">
      <c r="A2783" s="207" t="e">
        <f>VLOOKUP(RIGHT(E2783,3)+0,SchLocTable!$A$2:$B$47,2,FALSE)</f>
        <v>#N/A</v>
      </c>
      <c r="B2783" s="207" t="str">
        <f>VLOOKUP(VALUE(D2783),$D$3:F$106,3,FALSE)</f>
        <v>Speech/Language Paras</v>
      </c>
      <c r="C2783" s="751" t="s">
        <v>246</v>
      </c>
      <c r="D2783" s="751" t="s">
        <v>860</v>
      </c>
      <c r="E2783" s="751" t="s">
        <v>861</v>
      </c>
      <c r="F2783" s="751" t="s">
        <v>252</v>
      </c>
      <c r="G2783" s="752" t="s">
        <v>1681</v>
      </c>
      <c r="H2783" s="753">
        <v>51154</v>
      </c>
      <c r="I2783" s="754">
        <v>0</v>
      </c>
      <c r="J2783" s="754">
        <v>0</v>
      </c>
      <c r="K2783" s="754">
        <v>0</v>
      </c>
      <c r="L2783" s="754">
        <v>0</v>
      </c>
      <c r="M2783" s="754">
        <f t="shared" si="111"/>
        <v>0</v>
      </c>
      <c r="N2783" s="756">
        <v>0</v>
      </c>
      <c r="O2783" s="720">
        <f t="shared" si="112"/>
        <v>0</v>
      </c>
    </row>
    <row r="2784" spans="1:15" x14ac:dyDescent="0.25">
      <c r="A2784" s="207" t="e">
        <f>VLOOKUP(RIGHT(E2784,3)+0,SchLocTable!$A$2:$B$47,2,FALSE)</f>
        <v>#N/A</v>
      </c>
      <c r="B2784" s="207" t="str">
        <f>VLOOKUP(VALUE(D2784),$D$3:F$106,3,FALSE)</f>
        <v>Speech/Language Paras</v>
      </c>
      <c r="C2784" s="751" t="s">
        <v>246</v>
      </c>
      <c r="D2784" s="751" t="s">
        <v>860</v>
      </c>
      <c r="E2784" s="751" t="s">
        <v>861</v>
      </c>
      <c r="F2784" s="751" t="s">
        <v>328</v>
      </c>
      <c r="G2784" s="752" t="s">
        <v>1681</v>
      </c>
      <c r="H2784" s="753">
        <v>51318</v>
      </c>
      <c r="I2784" s="754">
        <v>909.74</v>
      </c>
      <c r="J2784" s="754">
        <v>0</v>
      </c>
      <c r="K2784" s="754">
        <v>0</v>
      </c>
      <c r="L2784" s="754">
        <v>0</v>
      </c>
      <c r="M2784" s="754">
        <f t="shared" si="111"/>
        <v>0</v>
      </c>
      <c r="N2784" s="756">
        <v>909.74</v>
      </c>
      <c r="O2784" s="720">
        <f t="shared" si="112"/>
        <v>0</v>
      </c>
    </row>
    <row r="2785" spans="1:15" x14ac:dyDescent="0.25">
      <c r="A2785" s="207" t="e">
        <f>VLOOKUP(RIGHT(E2785,3)+0,SchLocTable!$A$2:$B$47,2,FALSE)</f>
        <v>#N/A</v>
      </c>
      <c r="B2785" s="207" t="str">
        <f>VLOOKUP(VALUE(D2785),$D$3:F$106,3,FALSE)</f>
        <v>Speech/Language Paras</v>
      </c>
      <c r="C2785" s="751" t="s">
        <v>246</v>
      </c>
      <c r="D2785" s="751" t="s">
        <v>860</v>
      </c>
      <c r="E2785" s="751" t="s">
        <v>861</v>
      </c>
      <c r="F2785" s="751" t="s">
        <v>454</v>
      </c>
      <c r="G2785" s="752" t="s">
        <v>1681</v>
      </c>
      <c r="H2785" s="753">
        <v>51404</v>
      </c>
      <c r="I2785" s="754">
        <v>0</v>
      </c>
      <c r="J2785" s="754">
        <v>0</v>
      </c>
      <c r="K2785" s="754">
        <v>0</v>
      </c>
      <c r="L2785" s="754">
        <v>0</v>
      </c>
      <c r="M2785" s="754">
        <f t="shared" si="111"/>
        <v>0</v>
      </c>
      <c r="N2785" s="756">
        <v>0</v>
      </c>
      <c r="O2785" s="720">
        <f t="shared" si="112"/>
        <v>0</v>
      </c>
    </row>
    <row r="2786" spans="1:15" x14ac:dyDescent="0.25">
      <c r="A2786" s="207" t="e">
        <f>VLOOKUP(RIGHT(E2786,3)+0,SchLocTable!$A$2:$B$47,2,FALSE)</f>
        <v>#N/A</v>
      </c>
      <c r="B2786" s="207" t="str">
        <f>VLOOKUP(VALUE(D2786),$D$3:F$106,3,FALSE)</f>
        <v>Speech/Language Paras</v>
      </c>
      <c r="C2786" s="751" t="s">
        <v>246</v>
      </c>
      <c r="D2786" s="751" t="s">
        <v>860</v>
      </c>
      <c r="E2786" s="751" t="s">
        <v>861</v>
      </c>
      <c r="F2786" s="751" t="s">
        <v>254</v>
      </c>
      <c r="G2786" s="752" t="s">
        <v>1681</v>
      </c>
      <c r="H2786" s="753">
        <v>52360</v>
      </c>
      <c r="I2786" s="754">
        <v>699.9</v>
      </c>
      <c r="J2786" s="754">
        <v>0</v>
      </c>
      <c r="K2786" s="754">
        <v>0</v>
      </c>
      <c r="L2786" s="754">
        <v>211.37</v>
      </c>
      <c r="M2786" s="754">
        <f t="shared" si="111"/>
        <v>211.37</v>
      </c>
      <c r="N2786" s="756">
        <v>699.9</v>
      </c>
      <c r="O2786" s="720">
        <f t="shared" si="112"/>
        <v>0</v>
      </c>
    </row>
    <row r="2787" spans="1:15" x14ac:dyDescent="0.25">
      <c r="A2787" s="207" t="e">
        <f>VLOOKUP(RIGHT(E2787,3)+0,SchLocTable!$A$2:$B$47,2,FALSE)</f>
        <v>#N/A</v>
      </c>
      <c r="B2787" s="207" t="str">
        <f>VLOOKUP(VALUE(D2787),$D$3:F$106,3,FALSE)</f>
        <v>Speech/Language Paras</v>
      </c>
      <c r="C2787" s="751" t="s">
        <v>246</v>
      </c>
      <c r="D2787" s="751" t="s">
        <v>860</v>
      </c>
      <c r="E2787" s="751" t="s">
        <v>861</v>
      </c>
      <c r="F2787" s="751" t="s">
        <v>331</v>
      </c>
      <c r="G2787" s="752" t="s">
        <v>1681</v>
      </c>
      <c r="H2787" s="753">
        <v>52504</v>
      </c>
      <c r="I2787" s="754">
        <v>9938.57</v>
      </c>
      <c r="J2787" s="754">
        <v>0</v>
      </c>
      <c r="K2787" s="754">
        <v>0</v>
      </c>
      <c r="L2787" s="754">
        <v>3001.44</v>
      </c>
      <c r="M2787" s="754">
        <f t="shared" si="111"/>
        <v>3001.44</v>
      </c>
      <c r="N2787" s="756">
        <v>9938.57</v>
      </c>
      <c r="O2787" s="720">
        <f t="shared" si="112"/>
        <v>0</v>
      </c>
    </row>
    <row r="2788" spans="1:15" x14ac:dyDescent="0.25">
      <c r="A2788" s="207" t="e">
        <f>VLOOKUP(RIGHT(E2788,3)+0,SchLocTable!$A$2:$B$47,2,FALSE)</f>
        <v>#N/A</v>
      </c>
      <c r="B2788" s="207" t="str">
        <f>VLOOKUP(VALUE(D2788),$D$3:F$106,3,FALSE)</f>
        <v>Speech/Language Paras</v>
      </c>
      <c r="C2788" s="751" t="s">
        <v>246</v>
      </c>
      <c r="D2788" s="751" t="s">
        <v>860</v>
      </c>
      <c r="E2788" s="751" t="s">
        <v>861</v>
      </c>
      <c r="F2788" s="751" t="s">
        <v>259</v>
      </c>
      <c r="G2788" s="752" t="s">
        <v>1681</v>
      </c>
      <c r="H2788" s="753">
        <v>52917</v>
      </c>
      <c r="I2788" s="754">
        <v>33640.36</v>
      </c>
      <c r="J2788" s="754">
        <v>0</v>
      </c>
      <c r="K2788" s="754">
        <v>0</v>
      </c>
      <c r="L2788" s="754">
        <v>9814.24</v>
      </c>
      <c r="M2788" s="754">
        <f t="shared" si="111"/>
        <v>9814.24</v>
      </c>
      <c r="N2788" s="756">
        <v>33640.36</v>
      </c>
      <c r="O2788" s="720">
        <f t="shared" si="112"/>
        <v>0</v>
      </c>
    </row>
    <row r="2789" spans="1:15" x14ac:dyDescent="0.25">
      <c r="A2789" s="207" t="str">
        <f>VLOOKUP(RIGHT(E2789,3)+0,SchLocTable!$A$2:$B$47,2,FALSE)</f>
        <v>Tisdale</v>
      </c>
      <c r="B2789" s="207" t="str">
        <f>VLOOKUP(VALUE(D2789),$D$3:F$106,3,FALSE)</f>
        <v>Speech/Language Paras</v>
      </c>
      <c r="C2789" s="751" t="s">
        <v>246</v>
      </c>
      <c r="D2789" s="751" t="s">
        <v>860</v>
      </c>
      <c r="E2789" s="751" t="s">
        <v>1620</v>
      </c>
      <c r="F2789" s="751" t="s">
        <v>248</v>
      </c>
      <c r="G2789" s="752">
        <v>1</v>
      </c>
      <c r="H2789" s="753">
        <v>51000</v>
      </c>
      <c r="I2789" s="754">
        <v>48086.64</v>
      </c>
      <c r="J2789" s="754">
        <v>0</v>
      </c>
      <c r="K2789" s="754">
        <v>0</v>
      </c>
      <c r="L2789" s="754">
        <v>11280</v>
      </c>
      <c r="M2789" s="754">
        <f t="shared" si="111"/>
        <v>11280</v>
      </c>
      <c r="N2789" s="756">
        <v>48086.64</v>
      </c>
      <c r="O2789" s="720">
        <f t="shared" si="112"/>
        <v>0</v>
      </c>
    </row>
    <row r="2790" spans="1:15" x14ac:dyDescent="0.25">
      <c r="A2790" s="207" t="str">
        <f>VLOOKUP(RIGHT(E2790,3)+0,SchLocTable!$A$2:$B$47,2,FALSE)</f>
        <v>Tisdale</v>
      </c>
      <c r="B2790" s="207" t="str">
        <f>VLOOKUP(VALUE(D2790),$D$3:F$106,3,FALSE)</f>
        <v>Speech/Language Paras</v>
      </c>
      <c r="C2790" s="751" t="s">
        <v>246</v>
      </c>
      <c r="D2790" s="751" t="s">
        <v>860</v>
      </c>
      <c r="E2790" s="751" t="s">
        <v>1620</v>
      </c>
      <c r="F2790" s="751" t="s">
        <v>257</v>
      </c>
      <c r="G2790" s="752" t="s">
        <v>1681</v>
      </c>
      <c r="H2790" s="753">
        <v>51140</v>
      </c>
      <c r="I2790" s="754">
        <v>1750</v>
      </c>
      <c r="J2790" s="754">
        <v>0</v>
      </c>
      <c r="K2790" s="754">
        <v>0</v>
      </c>
      <c r="L2790" s="754">
        <v>0</v>
      </c>
      <c r="M2790" s="754">
        <f t="shared" si="111"/>
        <v>0</v>
      </c>
      <c r="N2790" s="756">
        <v>1750</v>
      </c>
      <c r="O2790" s="720">
        <f t="shared" si="112"/>
        <v>0</v>
      </c>
    </row>
    <row r="2791" spans="1:15" x14ac:dyDescent="0.25">
      <c r="A2791" s="207" t="str">
        <f>VLOOKUP(RIGHT(E2791,3)+0,SchLocTable!$A$2:$B$47,2,FALSE)</f>
        <v>Tisdale</v>
      </c>
      <c r="B2791" s="207" t="str">
        <f>VLOOKUP(VALUE(D2791),$D$3:F$106,3,FALSE)</f>
        <v>Speech/Language Paras</v>
      </c>
      <c r="C2791" s="755" t="s">
        <v>246</v>
      </c>
      <c r="D2791" s="751" t="s">
        <v>860</v>
      </c>
      <c r="E2791" s="751" t="s">
        <v>1620</v>
      </c>
      <c r="F2791" s="751" t="s">
        <v>254</v>
      </c>
      <c r="G2791" s="752" t="s">
        <v>1681</v>
      </c>
      <c r="H2791" s="753">
        <v>52360</v>
      </c>
      <c r="I2791" s="754">
        <v>697.26</v>
      </c>
      <c r="J2791" s="754">
        <v>0</v>
      </c>
      <c r="K2791" s="754">
        <v>0</v>
      </c>
      <c r="L2791" s="754">
        <v>163.56</v>
      </c>
      <c r="M2791" s="754">
        <f t="shared" si="111"/>
        <v>163.56</v>
      </c>
      <c r="N2791" s="756">
        <v>697.26</v>
      </c>
      <c r="O2791" s="720">
        <f t="shared" si="112"/>
        <v>0</v>
      </c>
    </row>
    <row r="2792" spans="1:15" x14ac:dyDescent="0.25">
      <c r="A2792" s="207" t="str">
        <f>VLOOKUP(RIGHT(E2792,3)+0,SchLocTable!$A$2:$B$47,2,FALSE)</f>
        <v>Tisdale</v>
      </c>
      <c r="B2792" s="207" t="str">
        <f>VLOOKUP(VALUE(D2792),$D$3:F$106,3,FALSE)</f>
        <v>Speech/Language Paras</v>
      </c>
      <c r="C2792" s="751" t="s">
        <v>246</v>
      </c>
      <c r="D2792" s="751" t="s">
        <v>860</v>
      </c>
      <c r="E2792" s="751" t="s">
        <v>1620</v>
      </c>
      <c r="F2792" s="751" t="s">
        <v>331</v>
      </c>
      <c r="G2792" s="752" t="s">
        <v>1681</v>
      </c>
      <c r="H2792" s="753">
        <v>52504</v>
      </c>
      <c r="I2792" s="754">
        <v>9901.0400000000009</v>
      </c>
      <c r="J2792" s="754">
        <v>0</v>
      </c>
      <c r="K2792" s="754">
        <v>0</v>
      </c>
      <c r="L2792" s="754">
        <v>2322.5500000000002</v>
      </c>
      <c r="M2792" s="754">
        <f t="shared" si="111"/>
        <v>2322.5500000000002</v>
      </c>
      <c r="N2792" s="756">
        <v>9901.0400000000009</v>
      </c>
      <c r="O2792" s="720">
        <f t="shared" si="112"/>
        <v>0</v>
      </c>
    </row>
    <row r="2793" spans="1:15" x14ac:dyDescent="0.25">
      <c r="A2793" s="207" t="str">
        <f>VLOOKUP(RIGHT(E2793,3)+0,SchLocTable!$A$2:$B$47,2,FALSE)</f>
        <v>Tisdale</v>
      </c>
      <c r="B2793" s="207" t="str">
        <f>VLOOKUP(VALUE(D2793),$D$3:F$106,3,FALSE)</f>
        <v>Speech/Language Paras</v>
      </c>
      <c r="C2793" s="751" t="s">
        <v>246</v>
      </c>
      <c r="D2793" s="751" t="s">
        <v>860</v>
      </c>
      <c r="E2793" s="751" t="s">
        <v>1620</v>
      </c>
      <c r="F2793" s="751" t="s">
        <v>259</v>
      </c>
      <c r="G2793" s="752" t="s">
        <v>1681</v>
      </c>
      <c r="H2793" s="753">
        <v>52917</v>
      </c>
      <c r="I2793" s="754">
        <v>34332.480000000003</v>
      </c>
      <c r="J2793" s="754">
        <v>0</v>
      </c>
      <c r="K2793" s="754">
        <v>0</v>
      </c>
      <c r="L2793" s="754">
        <v>8174.4</v>
      </c>
      <c r="M2793" s="754">
        <f t="shared" si="111"/>
        <v>8174.4</v>
      </c>
      <c r="N2793" s="756">
        <v>34332.480000000003</v>
      </c>
      <c r="O2793" s="720">
        <f t="shared" si="112"/>
        <v>0</v>
      </c>
    </row>
    <row r="2794" spans="1:15" x14ac:dyDescent="0.25">
      <c r="A2794" s="207" t="str">
        <f>VLOOKUP(RIGHT(E2794,3)+0,SchLocTable!$A$2:$B$47,2,FALSE)</f>
        <v>Columbus</v>
      </c>
      <c r="B2794" s="207" t="str">
        <f>VLOOKUP(VALUE(D2794),$D$3:F$106,3,FALSE)</f>
        <v>School Media Specialists</v>
      </c>
      <c r="C2794" s="751" t="s">
        <v>246</v>
      </c>
      <c r="D2794" s="751" t="s">
        <v>1871</v>
      </c>
      <c r="E2794" s="751" t="s">
        <v>1872</v>
      </c>
      <c r="F2794" s="751" t="s">
        <v>257</v>
      </c>
      <c r="G2794" s="752" t="s">
        <v>1681</v>
      </c>
      <c r="H2794" s="753">
        <v>51140</v>
      </c>
      <c r="I2794" s="754">
        <v>1100</v>
      </c>
      <c r="J2794" s="754">
        <v>0</v>
      </c>
      <c r="K2794" s="754">
        <v>0</v>
      </c>
      <c r="L2794" s="754">
        <v>0</v>
      </c>
      <c r="M2794" s="754">
        <f t="shared" si="111"/>
        <v>0</v>
      </c>
      <c r="N2794" s="756">
        <v>1100</v>
      </c>
      <c r="O2794" s="720">
        <f t="shared" si="112"/>
        <v>0</v>
      </c>
    </row>
    <row r="2795" spans="1:15" x14ac:dyDescent="0.25">
      <c r="A2795" s="207" t="str">
        <f>VLOOKUP(RIGHT(E2795,3)+0,SchLocTable!$A$2:$B$47,2,FALSE)</f>
        <v>Columbus</v>
      </c>
      <c r="B2795" s="207" t="str">
        <f>VLOOKUP(VALUE(D2795),$D$3:F$106,3,FALSE)</f>
        <v>School Media Specialists</v>
      </c>
      <c r="C2795" s="751" t="s">
        <v>246</v>
      </c>
      <c r="D2795" s="751" t="s">
        <v>1871</v>
      </c>
      <c r="E2795" s="751" t="s">
        <v>1872</v>
      </c>
      <c r="F2795" s="751" t="s">
        <v>254</v>
      </c>
      <c r="G2795" s="752" t="s">
        <v>1681</v>
      </c>
      <c r="H2795" s="753">
        <v>52360</v>
      </c>
      <c r="I2795" s="754">
        <v>0</v>
      </c>
      <c r="J2795" s="754">
        <v>0</v>
      </c>
      <c r="K2795" s="754">
        <v>0</v>
      </c>
      <c r="L2795" s="754">
        <v>0</v>
      </c>
      <c r="M2795" s="754">
        <f t="shared" si="111"/>
        <v>0</v>
      </c>
      <c r="N2795" s="756">
        <v>0</v>
      </c>
      <c r="O2795" s="720">
        <f t="shared" si="112"/>
        <v>0</v>
      </c>
    </row>
    <row r="2796" spans="1:15" x14ac:dyDescent="0.25">
      <c r="A2796" s="207" t="str">
        <f>VLOOKUP(RIGHT(E2796,3)+0,SchLocTable!$A$2:$B$47,2,FALSE)</f>
        <v>Hall</v>
      </c>
      <c r="B2796" s="207" t="str">
        <f>VLOOKUP(VALUE(D2796),$D$3:F$106,3,FALSE)</f>
        <v>School Media Specialists</v>
      </c>
      <c r="C2796" s="751" t="s">
        <v>246</v>
      </c>
      <c r="D2796" s="751" t="s">
        <v>1871</v>
      </c>
      <c r="E2796" s="751" t="s">
        <v>1873</v>
      </c>
      <c r="F2796" s="751" t="s">
        <v>257</v>
      </c>
      <c r="G2796" s="752" t="s">
        <v>1681</v>
      </c>
      <c r="H2796" s="753">
        <v>51140</v>
      </c>
      <c r="I2796" s="754">
        <v>1100</v>
      </c>
      <c r="J2796" s="754">
        <v>0</v>
      </c>
      <c r="K2796" s="754">
        <v>0</v>
      </c>
      <c r="L2796" s="754">
        <v>0</v>
      </c>
      <c r="M2796" s="754">
        <f t="shared" si="111"/>
        <v>0</v>
      </c>
      <c r="N2796" s="756">
        <v>1100</v>
      </c>
      <c r="O2796" s="720">
        <f t="shared" si="112"/>
        <v>0</v>
      </c>
    </row>
    <row r="2797" spans="1:15" x14ac:dyDescent="0.25">
      <c r="A2797" s="207" t="str">
        <f>VLOOKUP(RIGHT(E2797,3)+0,SchLocTable!$A$2:$B$47,2,FALSE)</f>
        <v>Batalla</v>
      </c>
      <c r="B2797" s="207" t="str">
        <f>VLOOKUP(VALUE(D2797),$D$3:F$106,3,FALSE)</f>
        <v>School Media Specialists</v>
      </c>
      <c r="C2797" s="751" t="s">
        <v>246</v>
      </c>
      <c r="D2797" s="751" t="s">
        <v>1871</v>
      </c>
      <c r="E2797" s="751" t="s">
        <v>1874</v>
      </c>
      <c r="F2797" s="751" t="s">
        <v>257</v>
      </c>
      <c r="G2797" s="752" t="s">
        <v>1681</v>
      </c>
      <c r="H2797" s="753">
        <v>51140</v>
      </c>
      <c r="I2797" s="754">
        <v>900</v>
      </c>
      <c r="J2797" s="754">
        <v>0</v>
      </c>
      <c r="K2797" s="754">
        <v>0</v>
      </c>
      <c r="L2797" s="754">
        <v>0</v>
      </c>
      <c r="M2797" s="754">
        <f t="shared" si="111"/>
        <v>0</v>
      </c>
      <c r="N2797" s="756">
        <v>900</v>
      </c>
      <c r="O2797" s="720">
        <f t="shared" si="112"/>
        <v>0</v>
      </c>
    </row>
    <row r="2798" spans="1:15" x14ac:dyDescent="0.25">
      <c r="A2798" s="207" t="str">
        <f>VLOOKUP(RIGHT(E2798,3)+0,SchLocTable!$A$2:$B$47,2,FALSE)</f>
        <v>Batalla</v>
      </c>
      <c r="B2798" s="207" t="str">
        <f>VLOOKUP(VALUE(D2798),$D$3:F$106,3,FALSE)</f>
        <v>School Media Specialists</v>
      </c>
      <c r="C2798" s="751" t="s">
        <v>246</v>
      </c>
      <c r="D2798" s="751" t="s">
        <v>1871</v>
      </c>
      <c r="E2798" s="751" t="s">
        <v>1874</v>
      </c>
      <c r="F2798" s="751" t="s">
        <v>254</v>
      </c>
      <c r="G2798" s="752" t="s">
        <v>1681</v>
      </c>
      <c r="H2798" s="753">
        <v>52360</v>
      </c>
      <c r="I2798" s="754">
        <v>0</v>
      </c>
      <c r="J2798" s="754">
        <v>0</v>
      </c>
      <c r="K2798" s="754">
        <v>0</v>
      </c>
      <c r="L2798" s="754">
        <v>0</v>
      </c>
      <c r="M2798" s="754">
        <f t="shared" si="111"/>
        <v>0</v>
      </c>
      <c r="N2798" s="756">
        <v>0</v>
      </c>
      <c r="O2798" s="720">
        <f t="shared" si="112"/>
        <v>0</v>
      </c>
    </row>
    <row r="2799" spans="1:15" x14ac:dyDescent="0.25">
      <c r="A2799" s="207" t="str">
        <f>VLOOKUP(RIGHT(E2799,3)+0,SchLocTable!$A$2:$B$47,2,FALSE)</f>
        <v>Park City Magnet</v>
      </c>
      <c r="B2799" s="207" t="str">
        <f>VLOOKUP(VALUE(D2799),$D$3:F$106,3,FALSE)</f>
        <v>School Media Specialists</v>
      </c>
      <c r="C2799" s="755" t="s">
        <v>246</v>
      </c>
      <c r="D2799" s="751" t="s">
        <v>1871</v>
      </c>
      <c r="E2799" s="751" t="s">
        <v>1875</v>
      </c>
      <c r="F2799" s="751" t="s">
        <v>257</v>
      </c>
      <c r="G2799" s="752" t="s">
        <v>1681</v>
      </c>
      <c r="H2799" s="753">
        <v>51140</v>
      </c>
      <c r="I2799" s="754">
        <v>1200</v>
      </c>
      <c r="J2799" s="754">
        <v>0</v>
      </c>
      <c r="K2799" s="754">
        <v>0</v>
      </c>
      <c r="L2799" s="754">
        <v>0</v>
      </c>
      <c r="M2799" s="754">
        <f t="shared" si="111"/>
        <v>0</v>
      </c>
      <c r="N2799" s="756">
        <v>1200</v>
      </c>
      <c r="O2799" s="720">
        <f t="shared" si="112"/>
        <v>0</v>
      </c>
    </row>
    <row r="2800" spans="1:15" x14ac:dyDescent="0.25">
      <c r="A2800" s="207" t="str">
        <f>VLOOKUP(RIGHT(E2800,3)+0,SchLocTable!$A$2:$B$47,2,FALSE)</f>
        <v>Park City Magnet</v>
      </c>
      <c r="B2800" s="207" t="str">
        <f>VLOOKUP(VALUE(D2800),$D$3:F$106,3,FALSE)</f>
        <v>School Media Specialists</v>
      </c>
      <c r="C2800" s="751" t="s">
        <v>246</v>
      </c>
      <c r="D2800" s="751" t="s">
        <v>1871</v>
      </c>
      <c r="E2800" s="751" t="s">
        <v>1875</v>
      </c>
      <c r="F2800" s="751" t="s">
        <v>254</v>
      </c>
      <c r="G2800" s="752" t="s">
        <v>1681</v>
      </c>
      <c r="H2800" s="753">
        <v>52360</v>
      </c>
      <c r="I2800" s="754">
        <v>0</v>
      </c>
      <c r="J2800" s="754">
        <v>0</v>
      </c>
      <c r="K2800" s="754">
        <v>0</v>
      </c>
      <c r="L2800" s="754">
        <v>0</v>
      </c>
      <c r="M2800" s="754">
        <f t="shared" si="111"/>
        <v>0</v>
      </c>
      <c r="N2800" s="756">
        <v>0</v>
      </c>
      <c r="O2800" s="720">
        <f t="shared" si="112"/>
        <v>0</v>
      </c>
    </row>
    <row r="2801" spans="1:15" x14ac:dyDescent="0.25">
      <c r="A2801" s="207" t="str">
        <f>VLOOKUP(RIGHT(E2801,3)+0,SchLocTable!$A$2:$B$47,2,FALSE)</f>
        <v>Roosevelt</v>
      </c>
      <c r="B2801" s="207" t="str">
        <f>VLOOKUP(VALUE(D2801),$D$3:F$106,3,FALSE)</f>
        <v>School Media Specialists</v>
      </c>
      <c r="C2801" s="751" t="s">
        <v>246</v>
      </c>
      <c r="D2801" s="751" t="s">
        <v>1871</v>
      </c>
      <c r="E2801" s="751" t="s">
        <v>1876</v>
      </c>
      <c r="F2801" s="751" t="s">
        <v>257</v>
      </c>
      <c r="G2801" s="752" t="s">
        <v>1681</v>
      </c>
      <c r="H2801" s="753">
        <v>51140</v>
      </c>
      <c r="I2801" s="754">
        <v>900</v>
      </c>
      <c r="J2801" s="754">
        <v>0</v>
      </c>
      <c r="K2801" s="754">
        <v>0</v>
      </c>
      <c r="L2801" s="754">
        <v>0</v>
      </c>
      <c r="M2801" s="754">
        <f t="shared" si="111"/>
        <v>0</v>
      </c>
      <c r="N2801" s="756">
        <v>900</v>
      </c>
      <c r="O2801" s="720">
        <f t="shared" si="112"/>
        <v>0</v>
      </c>
    </row>
    <row r="2802" spans="1:15" x14ac:dyDescent="0.25">
      <c r="A2802" s="207" t="str">
        <f>VLOOKUP(RIGHT(E2802,3)+0,SchLocTable!$A$2:$B$47,2,FALSE)</f>
        <v>Roosevelt</v>
      </c>
      <c r="B2802" s="207" t="str">
        <f>VLOOKUP(VALUE(D2802),$D$3:F$106,3,FALSE)</f>
        <v>School Media Specialists</v>
      </c>
      <c r="C2802" s="755" t="s">
        <v>246</v>
      </c>
      <c r="D2802" s="751" t="s">
        <v>1871</v>
      </c>
      <c r="E2802" s="751" t="s">
        <v>1876</v>
      </c>
      <c r="F2802" s="751" t="s">
        <v>254</v>
      </c>
      <c r="G2802" s="752" t="s">
        <v>1681</v>
      </c>
      <c r="H2802" s="753">
        <v>52360</v>
      </c>
      <c r="I2802" s="754">
        <v>0</v>
      </c>
      <c r="J2802" s="754">
        <v>0</v>
      </c>
      <c r="K2802" s="754">
        <v>0</v>
      </c>
      <c r="L2802" s="754">
        <v>0</v>
      </c>
      <c r="M2802" s="754">
        <f t="shared" si="111"/>
        <v>0</v>
      </c>
      <c r="N2802" s="756">
        <v>0</v>
      </c>
      <c r="O2802" s="720">
        <f t="shared" si="112"/>
        <v>0</v>
      </c>
    </row>
    <row r="2803" spans="1:15" x14ac:dyDescent="0.25">
      <c r="A2803" s="207" t="str">
        <f>VLOOKUP(RIGHT(E2803,3)+0,SchLocTable!$A$2:$B$47,2,FALSE)</f>
        <v>Johnson</v>
      </c>
      <c r="B2803" s="207" t="str">
        <f>VLOOKUP(VALUE(D2803),$D$3:F$106,3,FALSE)</f>
        <v>School Media Specialists</v>
      </c>
      <c r="C2803" s="751" t="s">
        <v>246</v>
      </c>
      <c r="D2803" s="751" t="s">
        <v>1871</v>
      </c>
      <c r="E2803" s="751" t="s">
        <v>1877</v>
      </c>
      <c r="F2803" s="751" t="s">
        <v>257</v>
      </c>
      <c r="G2803" s="752" t="s">
        <v>1681</v>
      </c>
      <c r="H2803" s="753">
        <v>51140</v>
      </c>
      <c r="I2803" s="754">
        <v>900</v>
      </c>
      <c r="J2803" s="754">
        <v>0</v>
      </c>
      <c r="K2803" s="754">
        <v>0</v>
      </c>
      <c r="L2803" s="754">
        <v>0</v>
      </c>
      <c r="M2803" s="754">
        <f t="shared" si="111"/>
        <v>0</v>
      </c>
      <c r="N2803" s="756">
        <v>900</v>
      </c>
      <c r="O2803" s="720">
        <f t="shared" si="112"/>
        <v>0</v>
      </c>
    </row>
    <row r="2804" spans="1:15" x14ac:dyDescent="0.25">
      <c r="A2804" s="207" t="str">
        <f>VLOOKUP(RIGHT(E2804,3)+0,SchLocTable!$A$2:$B$47,2,FALSE)</f>
        <v>Johnson</v>
      </c>
      <c r="B2804" s="207" t="str">
        <f>VLOOKUP(VALUE(D2804),$D$3:F$106,3,FALSE)</f>
        <v>School Media Specialists</v>
      </c>
      <c r="C2804" s="751" t="s">
        <v>246</v>
      </c>
      <c r="D2804" s="751" t="s">
        <v>1871</v>
      </c>
      <c r="E2804" s="751" t="s">
        <v>1877</v>
      </c>
      <c r="F2804" s="751" t="s">
        <v>254</v>
      </c>
      <c r="G2804" s="752" t="s">
        <v>1681</v>
      </c>
      <c r="H2804" s="753">
        <v>52360</v>
      </c>
      <c r="I2804" s="754">
        <v>0</v>
      </c>
      <c r="J2804" s="754">
        <v>0</v>
      </c>
      <c r="K2804" s="754">
        <v>0</v>
      </c>
      <c r="L2804" s="754">
        <v>0</v>
      </c>
      <c r="M2804" s="754">
        <f t="shared" si="111"/>
        <v>0</v>
      </c>
      <c r="N2804" s="756">
        <v>0</v>
      </c>
      <c r="O2804" s="720">
        <f t="shared" si="112"/>
        <v>0</v>
      </c>
    </row>
    <row r="2805" spans="1:15" x14ac:dyDescent="0.25">
      <c r="A2805" s="207" t="str">
        <f>VLOOKUP(RIGHT(E2805,3)+0,SchLocTable!$A$2:$B$47,2,FALSE)</f>
        <v>Winthrop</v>
      </c>
      <c r="B2805" s="207" t="str">
        <f>VLOOKUP(VALUE(D2805),$D$3:F$106,3,FALSE)</f>
        <v>School Media Specialists</v>
      </c>
      <c r="C2805" s="751" t="s">
        <v>246</v>
      </c>
      <c r="D2805" s="751" t="s">
        <v>1871</v>
      </c>
      <c r="E2805" s="751" t="s">
        <v>2131</v>
      </c>
      <c r="F2805" s="751" t="s">
        <v>257</v>
      </c>
      <c r="G2805" s="752" t="s">
        <v>1681</v>
      </c>
      <c r="H2805" s="753">
        <v>51140</v>
      </c>
      <c r="I2805" s="754">
        <v>900</v>
      </c>
      <c r="J2805" s="754">
        <v>0</v>
      </c>
      <c r="K2805" s="754">
        <v>0</v>
      </c>
      <c r="L2805" s="754">
        <v>0</v>
      </c>
      <c r="M2805" s="754">
        <f t="shared" si="111"/>
        <v>0</v>
      </c>
      <c r="N2805" s="756">
        <v>900</v>
      </c>
      <c r="O2805" s="720">
        <f t="shared" si="112"/>
        <v>0</v>
      </c>
    </row>
    <row r="2806" spans="1:15" x14ac:dyDescent="0.25">
      <c r="A2806" s="207" t="str">
        <f>VLOOKUP(RIGHT(E2806,3)+0,SchLocTable!$A$2:$B$47,2,FALSE)</f>
        <v>Winthrop</v>
      </c>
      <c r="B2806" s="207" t="str">
        <f>VLOOKUP(VALUE(D2806),$D$3:F$106,3,FALSE)</f>
        <v>School Media Specialists</v>
      </c>
      <c r="C2806" s="751" t="s">
        <v>246</v>
      </c>
      <c r="D2806" s="751" t="s">
        <v>1871</v>
      </c>
      <c r="E2806" s="751" t="s">
        <v>2131</v>
      </c>
      <c r="F2806" s="751" t="s">
        <v>254</v>
      </c>
      <c r="G2806" s="752" t="s">
        <v>1681</v>
      </c>
      <c r="H2806" s="753">
        <v>52360</v>
      </c>
      <c r="I2806" s="754">
        <v>0</v>
      </c>
      <c r="J2806" s="754">
        <v>0</v>
      </c>
      <c r="K2806" s="754">
        <v>0</v>
      </c>
      <c r="L2806" s="754">
        <v>0</v>
      </c>
      <c r="M2806" s="754">
        <f t="shared" si="111"/>
        <v>0</v>
      </c>
      <c r="N2806" s="756">
        <v>0</v>
      </c>
      <c r="O2806" s="720">
        <f t="shared" si="112"/>
        <v>0</v>
      </c>
    </row>
    <row r="2807" spans="1:15" x14ac:dyDescent="0.25">
      <c r="A2807" s="207" t="str">
        <f>VLOOKUP(RIGHT(E2807,3)+0,SchLocTable!$A$2:$B$47,2,FALSE)</f>
        <v>Central HS</v>
      </c>
      <c r="B2807" s="207" t="str">
        <f>VLOOKUP(VALUE(D2807),$D$3:F$106,3,FALSE)</f>
        <v>School Media Specialists</v>
      </c>
      <c r="C2807" s="751" t="s">
        <v>246</v>
      </c>
      <c r="D2807" s="751" t="s">
        <v>1871</v>
      </c>
      <c r="E2807" s="751" t="s">
        <v>2189</v>
      </c>
      <c r="F2807" s="751" t="s">
        <v>248</v>
      </c>
      <c r="G2807" s="752">
        <v>1</v>
      </c>
      <c r="H2807" s="753">
        <v>51000</v>
      </c>
      <c r="I2807" s="754">
        <v>93652.800000000003</v>
      </c>
      <c r="J2807" s="754">
        <v>0</v>
      </c>
      <c r="K2807" s="754">
        <v>0</v>
      </c>
      <c r="L2807" s="754">
        <v>17941.150000000001</v>
      </c>
      <c r="M2807" s="754">
        <f t="shared" si="111"/>
        <v>17941.150000000001</v>
      </c>
      <c r="N2807" s="756">
        <v>93652.800000000003</v>
      </c>
      <c r="O2807" s="720">
        <f t="shared" si="112"/>
        <v>0</v>
      </c>
    </row>
    <row r="2808" spans="1:15" x14ac:dyDescent="0.25">
      <c r="A2808" s="207" t="str">
        <f>VLOOKUP(RIGHT(E2808,3)+0,SchLocTable!$A$2:$B$47,2,FALSE)</f>
        <v>Central HS</v>
      </c>
      <c r="B2808" s="207" t="str">
        <f>VLOOKUP(VALUE(D2808),$D$3:F$106,3,FALSE)</f>
        <v>School Media Specialists</v>
      </c>
      <c r="C2808" s="751" t="s">
        <v>246</v>
      </c>
      <c r="D2808" s="751" t="s">
        <v>1871</v>
      </c>
      <c r="E2808" s="751" t="s">
        <v>2189</v>
      </c>
      <c r="F2808" s="751" t="s">
        <v>254</v>
      </c>
      <c r="G2808" s="752" t="s">
        <v>1681</v>
      </c>
      <c r="H2808" s="753">
        <v>52360</v>
      </c>
      <c r="I2808" s="754">
        <v>250.52</v>
      </c>
      <c r="J2808" s="754">
        <v>0</v>
      </c>
      <c r="K2808" s="754">
        <v>0</v>
      </c>
      <c r="L2808" s="754">
        <v>250.52</v>
      </c>
      <c r="M2808" s="754">
        <f t="shared" si="111"/>
        <v>250.52</v>
      </c>
      <c r="N2808" s="756">
        <v>250.52</v>
      </c>
      <c r="O2808" s="720">
        <f t="shared" si="112"/>
        <v>0</v>
      </c>
    </row>
    <row r="2809" spans="1:15" x14ac:dyDescent="0.25">
      <c r="A2809" s="207" t="str">
        <f>VLOOKUP(RIGHT(E2809,3)+0,SchLocTable!$A$2:$B$47,2,FALSE)</f>
        <v>Central HS</v>
      </c>
      <c r="B2809" s="207" t="str">
        <f>VLOOKUP(VALUE(D2809),$D$3:F$106,3,FALSE)</f>
        <v>School Media Specialists</v>
      </c>
      <c r="C2809" s="751" t="s">
        <v>246</v>
      </c>
      <c r="D2809" s="751" t="s">
        <v>1871</v>
      </c>
      <c r="E2809" s="751" t="s">
        <v>2189</v>
      </c>
      <c r="F2809" s="751" t="s">
        <v>259</v>
      </c>
      <c r="G2809" s="752" t="s">
        <v>1681</v>
      </c>
      <c r="H2809" s="753">
        <v>52917</v>
      </c>
      <c r="I2809" s="754">
        <v>2256</v>
      </c>
      <c r="J2809" s="754">
        <v>0</v>
      </c>
      <c r="K2809" s="754">
        <v>0</v>
      </c>
      <c r="L2809" s="754">
        <v>2256</v>
      </c>
      <c r="M2809" s="754">
        <f t="shared" si="111"/>
        <v>2256</v>
      </c>
      <c r="N2809" s="756">
        <v>2256</v>
      </c>
      <c r="O2809" s="720">
        <f t="shared" si="112"/>
        <v>0</v>
      </c>
    </row>
    <row r="2810" spans="1:15" x14ac:dyDescent="0.25">
      <c r="A2810" s="207" t="str">
        <f>VLOOKUP(RIGHT(E2810,3)+0,SchLocTable!$A$2:$B$47,2,FALSE)</f>
        <v>Harding HS</v>
      </c>
      <c r="B2810" s="207" t="str">
        <f>VLOOKUP(VALUE(D2810),$D$3:F$106,3,FALSE)</f>
        <v>School Media Specialists</v>
      </c>
      <c r="C2810" s="751" t="s">
        <v>246</v>
      </c>
      <c r="D2810" s="751" t="s">
        <v>1871</v>
      </c>
      <c r="E2810" s="751" t="s">
        <v>1878</v>
      </c>
      <c r="F2810" s="751" t="s">
        <v>257</v>
      </c>
      <c r="G2810" s="752" t="s">
        <v>1681</v>
      </c>
      <c r="H2810" s="753">
        <v>51140</v>
      </c>
      <c r="I2810" s="754">
        <v>900</v>
      </c>
      <c r="J2810" s="754">
        <v>0</v>
      </c>
      <c r="K2810" s="754">
        <v>0</v>
      </c>
      <c r="L2810" s="754">
        <v>0</v>
      </c>
      <c r="M2810" s="754">
        <f t="shared" si="111"/>
        <v>0</v>
      </c>
      <c r="N2810" s="756">
        <v>900</v>
      </c>
      <c r="O2810" s="720">
        <f t="shared" si="112"/>
        <v>0</v>
      </c>
    </row>
    <row r="2811" spans="1:15" x14ac:dyDescent="0.25">
      <c r="A2811" s="207" t="str">
        <f>VLOOKUP(RIGHT(E2811,3)+0,SchLocTable!$A$2:$B$47,2,FALSE)</f>
        <v>Harding HS</v>
      </c>
      <c r="B2811" s="207" t="str">
        <f>VLOOKUP(VALUE(D2811),$D$3:F$106,3,FALSE)</f>
        <v>School Media Specialists</v>
      </c>
      <c r="C2811" s="751" t="s">
        <v>246</v>
      </c>
      <c r="D2811" s="751" t="s">
        <v>1871</v>
      </c>
      <c r="E2811" s="751" t="s">
        <v>1878</v>
      </c>
      <c r="F2811" s="751" t="s">
        <v>254</v>
      </c>
      <c r="G2811" s="752" t="s">
        <v>1681</v>
      </c>
      <c r="H2811" s="753">
        <v>52360</v>
      </c>
      <c r="I2811" s="754">
        <v>0</v>
      </c>
      <c r="J2811" s="754">
        <v>0</v>
      </c>
      <c r="K2811" s="754">
        <v>0</v>
      </c>
      <c r="L2811" s="754">
        <v>0</v>
      </c>
      <c r="M2811" s="754">
        <f t="shared" si="111"/>
        <v>0</v>
      </c>
      <c r="N2811" s="756">
        <v>0</v>
      </c>
      <c r="O2811" s="720">
        <f t="shared" si="112"/>
        <v>0</v>
      </c>
    </row>
    <row r="2812" spans="1:15" x14ac:dyDescent="0.25">
      <c r="A2812" s="207" t="e">
        <f>VLOOKUP(RIGHT(E2812,3)+0,SchLocTable!$A$2:$B$47,2,FALSE)</f>
        <v>#N/A</v>
      </c>
      <c r="B2812" s="207" t="str">
        <f>VLOOKUP(VALUE(D2812),$D$3:F$106,3,FALSE)</f>
        <v>School Nurses</v>
      </c>
      <c r="C2812" s="751" t="s">
        <v>246</v>
      </c>
      <c r="D2812" s="751" t="s">
        <v>862</v>
      </c>
      <c r="E2812" s="751" t="s">
        <v>863</v>
      </c>
      <c r="F2812" s="751" t="s">
        <v>248</v>
      </c>
      <c r="G2812" s="752">
        <v>3</v>
      </c>
      <c r="H2812" s="753">
        <v>51000</v>
      </c>
      <c r="I2812" s="754">
        <v>318460.98</v>
      </c>
      <c r="J2812" s="754">
        <v>0</v>
      </c>
      <c r="K2812" s="754">
        <v>0</v>
      </c>
      <c r="L2812" s="754">
        <v>94129.61</v>
      </c>
      <c r="M2812" s="754">
        <f t="shared" si="111"/>
        <v>94129.61</v>
      </c>
      <c r="N2812" s="756">
        <v>318460.98</v>
      </c>
      <c r="O2812" s="720">
        <f t="shared" si="112"/>
        <v>0</v>
      </c>
    </row>
    <row r="2813" spans="1:15" x14ac:dyDescent="0.25">
      <c r="A2813" s="207" t="e">
        <f>VLOOKUP(RIGHT(E2813,3)+0,SchLocTable!$A$2:$B$47,2,FALSE)</f>
        <v>#N/A</v>
      </c>
      <c r="B2813" s="207" t="str">
        <f>VLOOKUP(VALUE(D2813),$D$3:F$106,3,FALSE)</f>
        <v>School Nurses</v>
      </c>
      <c r="C2813" s="751" t="s">
        <v>246</v>
      </c>
      <c r="D2813" s="751" t="s">
        <v>862</v>
      </c>
      <c r="E2813" s="751" t="s">
        <v>863</v>
      </c>
      <c r="F2813" s="751" t="s">
        <v>250</v>
      </c>
      <c r="G2813" s="752" t="s">
        <v>1681</v>
      </c>
      <c r="H2813" s="753">
        <v>51100</v>
      </c>
      <c r="I2813" s="754">
        <v>0</v>
      </c>
      <c r="J2813" s="754">
        <v>0</v>
      </c>
      <c r="K2813" s="754">
        <v>0</v>
      </c>
      <c r="L2813" s="754">
        <v>0</v>
      </c>
      <c r="M2813" s="754">
        <f t="shared" si="111"/>
        <v>0</v>
      </c>
      <c r="N2813" s="756">
        <v>0</v>
      </c>
      <c r="O2813" s="720">
        <f t="shared" si="112"/>
        <v>0</v>
      </c>
    </row>
    <row r="2814" spans="1:15" x14ac:dyDescent="0.25">
      <c r="A2814" s="207" t="e">
        <f>VLOOKUP(RIGHT(E2814,3)+0,SchLocTable!$A$2:$B$47,2,FALSE)</f>
        <v>#N/A</v>
      </c>
      <c r="B2814" s="207" t="str">
        <f>VLOOKUP(VALUE(D2814),$D$3:F$106,3,FALSE)</f>
        <v>School Nurses</v>
      </c>
      <c r="C2814" s="751" t="s">
        <v>246</v>
      </c>
      <c r="D2814" s="751" t="s">
        <v>862</v>
      </c>
      <c r="E2814" s="751" t="s">
        <v>863</v>
      </c>
      <c r="F2814" s="751" t="s">
        <v>257</v>
      </c>
      <c r="G2814" s="752" t="s">
        <v>1681</v>
      </c>
      <c r="H2814" s="753">
        <v>51140</v>
      </c>
      <c r="I2814" s="754">
        <v>3550</v>
      </c>
      <c r="J2814" s="754">
        <v>0</v>
      </c>
      <c r="K2814" s="754">
        <v>0</v>
      </c>
      <c r="L2814" s="754">
        <v>0</v>
      </c>
      <c r="M2814" s="754">
        <f t="shared" si="111"/>
        <v>0</v>
      </c>
      <c r="N2814" s="756">
        <v>3550</v>
      </c>
      <c r="O2814" s="720">
        <f t="shared" si="112"/>
        <v>0</v>
      </c>
    </row>
    <row r="2815" spans="1:15" x14ac:dyDescent="0.25">
      <c r="A2815" s="207" t="e">
        <f>VLOOKUP(RIGHT(E2815,3)+0,SchLocTable!$A$2:$B$47,2,FALSE)</f>
        <v>#N/A</v>
      </c>
      <c r="B2815" s="207" t="str">
        <f>VLOOKUP(VALUE(D2815),$D$3:F$106,3,FALSE)</f>
        <v>School Nurses</v>
      </c>
      <c r="C2815" s="751" t="s">
        <v>246</v>
      </c>
      <c r="D2815" s="751" t="s">
        <v>862</v>
      </c>
      <c r="E2815" s="751" t="s">
        <v>863</v>
      </c>
      <c r="F2815" s="751" t="s">
        <v>797</v>
      </c>
      <c r="G2815" s="752" t="s">
        <v>1681</v>
      </c>
      <c r="H2815" s="753">
        <v>51156</v>
      </c>
      <c r="I2815" s="754">
        <v>0</v>
      </c>
      <c r="J2815" s="754">
        <v>0</v>
      </c>
      <c r="K2815" s="754">
        <v>0</v>
      </c>
      <c r="L2815" s="754">
        <v>0</v>
      </c>
      <c r="M2815" s="754">
        <f t="shared" ref="M2815:M2878" si="113">SUM(J2815:L2815)</f>
        <v>0</v>
      </c>
      <c r="N2815" s="756">
        <v>0</v>
      </c>
      <c r="O2815" s="720">
        <f t="shared" ref="O2815:O2878" si="114">I2815-N2815</f>
        <v>0</v>
      </c>
    </row>
    <row r="2816" spans="1:15" x14ac:dyDescent="0.25">
      <c r="A2816" s="207" t="e">
        <f>VLOOKUP(RIGHT(E2816,3)+0,SchLocTable!$A$2:$B$47,2,FALSE)</f>
        <v>#N/A</v>
      </c>
      <c r="B2816" s="207" t="str">
        <f>VLOOKUP(VALUE(D2816),$D$3:F$106,3,FALSE)</f>
        <v>School Nurses</v>
      </c>
      <c r="C2816" s="751" t="s">
        <v>246</v>
      </c>
      <c r="D2816" s="751" t="s">
        <v>862</v>
      </c>
      <c r="E2816" s="751" t="s">
        <v>863</v>
      </c>
      <c r="F2816" s="751" t="s">
        <v>454</v>
      </c>
      <c r="G2816" s="752" t="s">
        <v>1681</v>
      </c>
      <c r="H2816" s="753">
        <v>51404</v>
      </c>
      <c r="I2816" s="754">
        <v>200</v>
      </c>
      <c r="J2816" s="754">
        <v>0</v>
      </c>
      <c r="K2816" s="754">
        <v>0</v>
      </c>
      <c r="L2816" s="754">
        <v>200</v>
      </c>
      <c r="M2816" s="754">
        <f t="shared" si="113"/>
        <v>200</v>
      </c>
      <c r="N2816" s="756">
        <v>200</v>
      </c>
      <c r="O2816" s="720">
        <f t="shared" si="114"/>
        <v>0</v>
      </c>
    </row>
    <row r="2817" spans="1:15" x14ac:dyDescent="0.25">
      <c r="A2817" s="207" t="e">
        <f>VLOOKUP(RIGHT(E2817,3)+0,SchLocTable!$A$2:$B$47,2,FALSE)</f>
        <v>#N/A</v>
      </c>
      <c r="B2817" s="207" t="str">
        <f>VLOOKUP(VALUE(D2817),$D$3:F$106,3,FALSE)</f>
        <v>School Nurses</v>
      </c>
      <c r="C2817" s="751" t="s">
        <v>246</v>
      </c>
      <c r="D2817" s="751" t="s">
        <v>862</v>
      </c>
      <c r="E2817" s="751" t="s">
        <v>863</v>
      </c>
      <c r="F2817" s="751" t="s">
        <v>254</v>
      </c>
      <c r="G2817" s="752" t="s">
        <v>1681</v>
      </c>
      <c r="H2817" s="753">
        <v>52360</v>
      </c>
      <c r="I2817" s="754">
        <v>4554.93</v>
      </c>
      <c r="J2817" s="754">
        <v>0</v>
      </c>
      <c r="K2817" s="754">
        <v>0</v>
      </c>
      <c r="L2817" s="754">
        <v>1302.1300000000001</v>
      </c>
      <c r="M2817" s="754">
        <f t="shared" si="113"/>
        <v>1302.1300000000001</v>
      </c>
      <c r="N2817" s="756">
        <v>4554.93</v>
      </c>
      <c r="O2817" s="720">
        <f t="shared" si="114"/>
        <v>0</v>
      </c>
    </row>
    <row r="2818" spans="1:15" x14ac:dyDescent="0.25">
      <c r="A2818" s="207" t="e">
        <f>VLOOKUP(RIGHT(E2818,3)+0,SchLocTable!$A$2:$B$47,2,FALSE)</f>
        <v>#N/A</v>
      </c>
      <c r="B2818" s="207" t="str">
        <f>VLOOKUP(VALUE(D2818),$D$3:F$106,3,FALSE)</f>
        <v>School Nurses</v>
      </c>
      <c r="C2818" s="751" t="s">
        <v>246</v>
      </c>
      <c r="D2818" s="751" t="s">
        <v>862</v>
      </c>
      <c r="E2818" s="751" t="s">
        <v>863</v>
      </c>
      <c r="F2818" s="751" t="s">
        <v>292</v>
      </c>
      <c r="G2818" s="752" t="s">
        <v>1681</v>
      </c>
      <c r="H2818" s="753">
        <v>52385</v>
      </c>
      <c r="I2818" s="754">
        <v>0</v>
      </c>
      <c r="J2818" s="754">
        <v>0</v>
      </c>
      <c r="K2818" s="754">
        <v>0</v>
      </c>
      <c r="L2818" s="754">
        <v>0</v>
      </c>
      <c r="M2818" s="754">
        <f t="shared" si="113"/>
        <v>0</v>
      </c>
      <c r="N2818" s="756">
        <v>0</v>
      </c>
      <c r="O2818" s="720">
        <f t="shared" si="114"/>
        <v>0</v>
      </c>
    </row>
    <row r="2819" spans="1:15" x14ac:dyDescent="0.25">
      <c r="A2819" s="207" t="e">
        <f>VLOOKUP(RIGHT(E2819,3)+0,SchLocTable!$A$2:$B$47,2,FALSE)</f>
        <v>#N/A</v>
      </c>
      <c r="B2819" s="207" t="str">
        <f>VLOOKUP(VALUE(D2819),$D$3:F$106,3,FALSE)</f>
        <v>School Nurses</v>
      </c>
      <c r="C2819" s="751" t="s">
        <v>246</v>
      </c>
      <c r="D2819" s="751" t="s">
        <v>862</v>
      </c>
      <c r="E2819" s="751" t="s">
        <v>863</v>
      </c>
      <c r="F2819" s="751" t="s">
        <v>331</v>
      </c>
      <c r="G2819" s="752" t="s">
        <v>1681</v>
      </c>
      <c r="H2819" s="753">
        <v>52504</v>
      </c>
      <c r="I2819" s="754">
        <v>65571.06</v>
      </c>
      <c r="J2819" s="754">
        <v>0</v>
      </c>
      <c r="K2819" s="754">
        <v>0</v>
      </c>
      <c r="L2819" s="754">
        <v>19381.23</v>
      </c>
      <c r="M2819" s="754">
        <f t="shared" si="113"/>
        <v>19381.23</v>
      </c>
      <c r="N2819" s="756">
        <v>65571.06</v>
      </c>
      <c r="O2819" s="720">
        <f t="shared" si="114"/>
        <v>0</v>
      </c>
    </row>
    <row r="2820" spans="1:15" x14ac:dyDescent="0.25">
      <c r="A2820" s="207" t="e">
        <f>VLOOKUP(RIGHT(E2820,3)+0,SchLocTable!$A$2:$B$47,2,FALSE)</f>
        <v>#N/A</v>
      </c>
      <c r="B2820" s="207" t="str">
        <f>VLOOKUP(VALUE(D2820),$D$3:F$106,3,FALSE)</f>
        <v>School Nurses</v>
      </c>
      <c r="C2820" s="751" t="s">
        <v>246</v>
      </c>
      <c r="D2820" s="751" t="s">
        <v>862</v>
      </c>
      <c r="E2820" s="751" t="s">
        <v>863</v>
      </c>
      <c r="F2820" s="751" t="s">
        <v>259</v>
      </c>
      <c r="G2820" s="752" t="s">
        <v>1681</v>
      </c>
      <c r="H2820" s="753">
        <v>52917</v>
      </c>
      <c r="I2820" s="754">
        <v>75192.31</v>
      </c>
      <c r="J2820" s="754">
        <v>0</v>
      </c>
      <c r="K2820" s="754">
        <v>0</v>
      </c>
      <c r="L2820" s="754">
        <v>20824.98</v>
      </c>
      <c r="M2820" s="754">
        <f t="shared" si="113"/>
        <v>20824.98</v>
      </c>
      <c r="N2820" s="756">
        <v>75192.31</v>
      </c>
      <c r="O2820" s="720">
        <f t="shared" si="114"/>
        <v>0</v>
      </c>
    </row>
    <row r="2821" spans="1:15" x14ac:dyDescent="0.25">
      <c r="A2821" s="207" t="e">
        <f>VLOOKUP(RIGHT(E2821,3)+0,SchLocTable!$A$2:$B$47,2,FALSE)</f>
        <v>#N/A</v>
      </c>
      <c r="B2821" s="207" t="str">
        <f>VLOOKUP(VALUE(D2821),$D$3:F$106,3,FALSE)</f>
        <v>School Nurses</v>
      </c>
      <c r="C2821" s="751" t="s">
        <v>246</v>
      </c>
      <c r="D2821" s="751" t="s">
        <v>862</v>
      </c>
      <c r="E2821" s="751" t="s">
        <v>863</v>
      </c>
      <c r="F2821" s="751" t="s">
        <v>333</v>
      </c>
      <c r="G2821" s="752" t="s">
        <v>1681</v>
      </c>
      <c r="H2821" s="753">
        <v>52920</v>
      </c>
      <c r="I2821" s="754">
        <v>7333.38</v>
      </c>
      <c r="J2821" s="754">
        <v>0</v>
      </c>
      <c r="K2821" s="754">
        <v>0</v>
      </c>
      <c r="L2821" s="754">
        <v>0</v>
      </c>
      <c r="M2821" s="754">
        <f t="shared" si="113"/>
        <v>0</v>
      </c>
      <c r="N2821" s="756">
        <v>7333.38</v>
      </c>
      <c r="O2821" s="720">
        <f t="shared" si="114"/>
        <v>0</v>
      </c>
    </row>
    <row r="2822" spans="1:15" x14ac:dyDescent="0.25">
      <c r="A2822" s="207" t="e">
        <f>VLOOKUP(RIGHT(E2822,3)+0,SchLocTable!$A$2:$B$47,2,FALSE)</f>
        <v>#N/A</v>
      </c>
      <c r="B2822" s="207" t="str">
        <f>VLOOKUP(VALUE(D2822),$D$3:F$106,3,FALSE)</f>
        <v>School Nurses</v>
      </c>
      <c r="C2822" s="751" t="s">
        <v>246</v>
      </c>
      <c r="D2822" s="751" t="s">
        <v>862</v>
      </c>
      <c r="E2822" s="751" t="s">
        <v>863</v>
      </c>
      <c r="F2822" s="751" t="s">
        <v>864</v>
      </c>
      <c r="G2822" s="752" t="s">
        <v>1681</v>
      </c>
      <c r="H2822" s="753">
        <v>53905</v>
      </c>
      <c r="I2822" s="754">
        <v>2400</v>
      </c>
      <c r="J2822" s="754">
        <v>0</v>
      </c>
      <c r="K2822" s="754">
        <v>0</v>
      </c>
      <c r="L2822" s="754">
        <v>2050</v>
      </c>
      <c r="M2822" s="754">
        <f t="shared" si="113"/>
        <v>2050</v>
      </c>
      <c r="N2822" s="756">
        <v>2400</v>
      </c>
      <c r="O2822" s="720">
        <f t="shared" si="114"/>
        <v>0</v>
      </c>
    </row>
    <row r="2823" spans="1:15" x14ac:dyDescent="0.25">
      <c r="A2823" s="207" t="e">
        <f>VLOOKUP(RIGHT(E2823,3)+0,SchLocTable!$A$2:$B$47,2,FALSE)</f>
        <v>#N/A</v>
      </c>
      <c r="B2823" s="207" t="str">
        <f>VLOOKUP(VALUE(D2823),$D$3:F$106,3,FALSE)</f>
        <v>School Nurses</v>
      </c>
      <c r="C2823" s="751" t="s">
        <v>246</v>
      </c>
      <c r="D2823" s="751" t="s">
        <v>862</v>
      </c>
      <c r="E2823" s="751" t="s">
        <v>863</v>
      </c>
      <c r="F2823" s="751" t="s">
        <v>764</v>
      </c>
      <c r="G2823" s="752" t="s">
        <v>1681</v>
      </c>
      <c r="H2823" s="753">
        <v>54670</v>
      </c>
      <c r="I2823" s="754">
        <v>15206.69</v>
      </c>
      <c r="J2823" s="754">
        <v>1026.49</v>
      </c>
      <c r="K2823" s="754">
        <v>0</v>
      </c>
      <c r="L2823" s="754">
        <v>13158.31</v>
      </c>
      <c r="M2823" s="754">
        <f t="shared" si="113"/>
        <v>14184.8</v>
      </c>
      <c r="N2823" s="756">
        <v>15206.69</v>
      </c>
      <c r="O2823" s="720">
        <f t="shared" si="114"/>
        <v>0</v>
      </c>
    </row>
    <row r="2824" spans="1:15" x14ac:dyDescent="0.25">
      <c r="A2824" s="207" t="e">
        <f>VLOOKUP(RIGHT(E2824,3)+0,SchLocTable!$A$2:$B$47,2,FALSE)</f>
        <v>#N/A</v>
      </c>
      <c r="B2824" s="207" t="str">
        <f>VLOOKUP(VALUE(D2824),$D$3:F$106,3,FALSE)</f>
        <v>School Nurses</v>
      </c>
      <c r="C2824" s="751" t="s">
        <v>246</v>
      </c>
      <c r="D2824" s="751" t="s">
        <v>862</v>
      </c>
      <c r="E2824" s="751" t="s">
        <v>863</v>
      </c>
      <c r="F2824" s="751" t="s">
        <v>372</v>
      </c>
      <c r="G2824" s="752" t="s">
        <v>1681</v>
      </c>
      <c r="H2824" s="753">
        <v>54675</v>
      </c>
      <c r="I2824" s="754">
        <v>7388.49</v>
      </c>
      <c r="J2824" s="754">
        <v>519.98</v>
      </c>
      <c r="K2824" s="754">
        <v>0</v>
      </c>
      <c r="L2824" s="754">
        <v>6868.51</v>
      </c>
      <c r="M2824" s="754">
        <f t="shared" si="113"/>
        <v>7388.49</v>
      </c>
      <c r="N2824" s="756">
        <v>7388.49</v>
      </c>
      <c r="O2824" s="720">
        <f t="shared" si="114"/>
        <v>0</v>
      </c>
    </row>
    <row r="2825" spans="1:15" x14ac:dyDescent="0.25">
      <c r="A2825" s="207" t="e">
        <f>VLOOKUP(RIGHT(E2825,3)+0,SchLocTable!$A$2:$B$47,2,FALSE)</f>
        <v>#N/A</v>
      </c>
      <c r="B2825" s="207" t="str">
        <f>VLOOKUP(VALUE(D2825),$D$3:F$106,3,FALSE)</f>
        <v>School Nurses</v>
      </c>
      <c r="C2825" s="751" t="s">
        <v>246</v>
      </c>
      <c r="D2825" s="751" t="s">
        <v>862</v>
      </c>
      <c r="E2825" s="751" t="s">
        <v>863</v>
      </c>
      <c r="F2825" s="751" t="s">
        <v>323</v>
      </c>
      <c r="G2825" s="752" t="s">
        <v>1681</v>
      </c>
      <c r="H2825" s="753">
        <v>56115</v>
      </c>
      <c r="I2825" s="754">
        <v>400000</v>
      </c>
      <c r="J2825" s="754">
        <v>258789.37</v>
      </c>
      <c r="K2825" s="754">
        <v>0</v>
      </c>
      <c r="L2825" s="754">
        <v>141210.63</v>
      </c>
      <c r="M2825" s="754">
        <f t="shared" si="113"/>
        <v>400000</v>
      </c>
      <c r="N2825" s="756">
        <v>925335.26</v>
      </c>
      <c r="O2825" s="720">
        <f t="shared" si="114"/>
        <v>-525335.26</v>
      </c>
    </row>
    <row r="2826" spans="1:15" x14ac:dyDescent="0.25">
      <c r="A2826" s="207" t="e">
        <f>VLOOKUP(RIGHT(E2826,3)+0,SchLocTable!$A$2:$B$47,2,FALSE)</f>
        <v>#N/A</v>
      </c>
      <c r="B2826" s="207" t="str">
        <f>VLOOKUP(VALUE(D2826),$D$3:F$106,3,FALSE)</f>
        <v>School Nurses</v>
      </c>
      <c r="C2826" s="751" t="s">
        <v>246</v>
      </c>
      <c r="D2826" s="751" t="s">
        <v>862</v>
      </c>
      <c r="E2826" s="751" t="s">
        <v>863</v>
      </c>
      <c r="F2826" s="751" t="s">
        <v>382</v>
      </c>
      <c r="G2826" s="752" t="s">
        <v>1681</v>
      </c>
      <c r="H2826" s="753">
        <v>56180</v>
      </c>
      <c r="I2826" s="754">
        <v>61556.51</v>
      </c>
      <c r="J2826" s="754">
        <v>0</v>
      </c>
      <c r="K2826" s="754">
        <v>0</v>
      </c>
      <c r="L2826" s="754">
        <v>0</v>
      </c>
      <c r="M2826" s="754">
        <f t="shared" si="113"/>
        <v>0</v>
      </c>
      <c r="N2826" s="756">
        <v>61556.51</v>
      </c>
      <c r="O2826" s="720">
        <f t="shared" si="114"/>
        <v>0</v>
      </c>
    </row>
    <row r="2827" spans="1:15" x14ac:dyDescent="0.25">
      <c r="A2827" s="207" t="e">
        <f>VLOOKUP(RIGHT(E2827,3)+0,SchLocTable!$A$2:$B$47,2,FALSE)</f>
        <v>#N/A</v>
      </c>
      <c r="B2827" s="207" t="str">
        <f>VLOOKUP(VALUE(D2827),$D$3:F$106,3,FALSE)</f>
        <v>School Nurses</v>
      </c>
      <c r="C2827" s="751" t="s">
        <v>246</v>
      </c>
      <c r="D2827" s="751" t="s">
        <v>862</v>
      </c>
      <c r="E2827" s="751" t="s">
        <v>866</v>
      </c>
      <c r="F2827" s="751" t="s">
        <v>248</v>
      </c>
      <c r="G2827" s="752" t="s">
        <v>1681</v>
      </c>
      <c r="H2827" s="753">
        <v>51000</v>
      </c>
      <c r="I2827" s="754">
        <v>0</v>
      </c>
      <c r="J2827" s="754">
        <v>0</v>
      </c>
      <c r="K2827" s="754">
        <v>0</v>
      </c>
      <c r="L2827" s="754">
        <v>0</v>
      </c>
      <c r="M2827" s="754">
        <f t="shared" si="113"/>
        <v>0</v>
      </c>
      <c r="N2827" s="756">
        <v>0</v>
      </c>
      <c r="O2827" s="720">
        <f t="shared" si="114"/>
        <v>0</v>
      </c>
    </row>
    <row r="2828" spans="1:15" x14ac:dyDescent="0.25">
      <c r="A2828" s="207" t="e">
        <f>VLOOKUP(RIGHT(E2828,3)+0,SchLocTable!$A$2:$B$47,2,FALSE)</f>
        <v>#N/A</v>
      </c>
      <c r="B2828" s="207" t="str">
        <f>VLOOKUP(VALUE(D2828),$D$3:F$106,3,FALSE)</f>
        <v>School Nurses</v>
      </c>
      <c r="C2828" s="751" t="s">
        <v>246</v>
      </c>
      <c r="D2828" s="751" t="s">
        <v>862</v>
      </c>
      <c r="E2828" s="751" t="s">
        <v>866</v>
      </c>
      <c r="F2828" s="751" t="s">
        <v>257</v>
      </c>
      <c r="G2828" s="752" t="s">
        <v>1681</v>
      </c>
      <c r="H2828" s="753">
        <v>51140</v>
      </c>
      <c r="I2828" s="754">
        <v>0</v>
      </c>
      <c r="J2828" s="754">
        <v>0</v>
      </c>
      <c r="K2828" s="754">
        <v>0</v>
      </c>
      <c r="L2828" s="754">
        <v>0</v>
      </c>
      <c r="M2828" s="754">
        <f t="shared" si="113"/>
        <v>0</v>
      </c>
      <c r="N2828" s="756">
        <v>0</v>
      </c>
      <c r="O2828" s="720">
        <f t="shared" si="114"/>
        <v>0</v>
      </c>
    </row>
    <row r="2829" spans="1:15" x14ac:dyDescent="0.25">
      <c r="A2829" s="207" t="e">
        <f>VLOOKUP(RIGHT(E2829,3)+0,SchLocTable!$A$2:$B$47,2,FALSE)</f>
        <v>#N/A</v>
      </c>
      <c r="B2829" s="207" t="str">
        <f>VLOOKUP(VALUE(D2829),$D$3:F$106,3,FALSE)</f>
        <v>School Nurses</v>
      </c>
      <c r="C2829" s="751" t="s">
        <v>246</v>
      </c>
      <c r="D2829" s="751" t="s">
        <v>862</v>
      </c>
      <c r="E2829" s="751" t="s">
        <v>866</v>
      </c>
      <c r="F2829" s="751" t="s">
        <v>254</v>
      </c>
      <c r="G2829" s="752" t="s">
        <v>1681</v>
      </c>
      <c r="H2829" s="753">
        <v>52360</v>
      </c>
      <c r="I2829" s="754">
        <v>0</v>
      </c>
      <c r="J2829" s="754">
        <v>0</v>
      </c>
      <c r="K2829" s="754">
        <v>0</v>
      </c>
      <c r="L2829" s="754">
        <v>0</v>
      </c>
      <c r="M2829" s="754">
        <f t="shared" si="113"/>
        <v>0</v>
      </c>
      <c r="N2829" s="756">
        <v>0</v>
      </c>
      <c r="O2829" s="720">
        <f t="shared" si="114"/>
        <v>0</v>
      </c>
    </row>
    <row r="2830" spans="1:15" x14ac:dyDescent="0.25">
      <c r="A2830" s="207" t="e">
        <f>VLOOKUP(RIGHT(E2830,3)+0,SchLocTable!$A$2:$B$47,2,FALSE)</f>
        <v>#N/A</v>
      </c>
      <c r="B2830" s="207" t="str">
        <f>VLOOKUP(VALUE(D2830),$D$3:F$106,3,FALSE)</f>
        <v>School Nurses</v>
      </c>
      <c r="C2830" s="751" t="s">
        <v>246</v>
      </c>
      <c r="D2830" s="751" t="s">
        <v>862</v>
      </c>
      <c r="E2830" s="751" t="s">
        <v>866</v>
      </c>
      <c r="F2830" s="751" t="s">
        <v>331</v>
      </c>
      <c r="G2830" s="752" t="s">
        <v>1681</v>
      </c>
      <c r="H2830" s="753">
        <v>52504</v>
      </c>
      <c r="I2830" s="754">
        <v>0</v>
      </c>
      <c r="J2830" s="754">
        <v>0</v>
      </c>
      <c r="K2830" s="754">
        <v>0</v>
      </c>
      <c r="L2830" s="754">
        <v>0</v>
      </c>
      <c r="M2830" s="754">
        <f t="shared" si="113"/>
        <v>0</v>
      </c>
      <c r="N2830" s="756">
        <v>0</v>
      </c>
      <c r="O2830" s="720">
        <f t="shared" si="114"/>
        <v>0</v>
      </c>
    </row>
    <row r="2831" spans="1:15" x14ac:dyDescent="0.25">
      <c r="A2831" s="207" t="e">
        <f>VLOOKUP(RIGHT(E2831,3)+0,SchLocTable!$A$2:$B$47,2,FALSE)</f>
        <v>#N/A</v>
      </c>
      <c r="B2831" s="207" t="str">
        <f>VLOOKUP(VALUE(D2831),$D$3:F$106,3,FALSE)</f>
        <v>School Nurses</v>
      </c>
      <c r="C2831" s="755" t="s">
        <v>246</v>
      </c>
      <c r="D2831" s="751" t="s">
        <v>862</v>
      </c>
      <c r="E2831" s="751" t="s">
        <v>866</v>
      </c>
      <c r="F2831" s="751" t="s">
        <v>259</v>
      </c>
      <c r="G2831" s="752" t="s">
        <v>1681</v>
      </c>
      <c r="H2831" s="753">
        <v>52917</v>
      </c>
      <c r="I2831" s="754">
        <v>0</v>
      </c>
      <c r="J2831" s="754">
        <v>0</v>
      </c>
      <c r="K2831" s="754">
        <v>0</v>
      </c>
      <c r="L2831" s="754">
        <v>0</v>
      </c>
      <c r="M2831" s="754">
        <f t="shared" si="113"/>
        <v>0</v>
      </c>
      <c r="N2831" s="756">
        <v>0</v>
      </c>
      <c r="O2831" s="720">
        <f t="shared" si="114"/>
        <v>0</v>
      </c>
    </row>
    <row r="2832" spans="1:15" x14ac:dyDescent="0.25">
      <c r="A2832" s="207" t="e">
        <f>VLOOKUP(RIGHT(E2832,3)+0,SchLocTable!$A$2:$B$47,2,FALSE)</f>
        <v>#N/A</v>
      </c>
      <c r="B2832" s="207" t="str">
        <f>VLOOKUP(VALUE(D2832),$D$3:F$106,3,FALSE)</f>
        <v>School Nurses</v>
      </c>
      <c r="C2832" s="751" t="s">
        <v>246</v>
      </c>
      <c r="D2832" s="751" t="s">
        <v>862</v>
      </c>
      <c r="E2832" s="751" t="s">
        <v>866</v>
      </c>
      <c r="F2832" s="751" t="s">
        <v>864</v>
      </c>
      <c r="G2832" s="752" t="s">
        <v>1681</v>
      </c>
      <c r="H2832" s="753">
        <v>53905</v>
      </c>
      <c r="I2832" s="754">
        <v>1540</v>
      </c>
      <c r="J2832" s="754">
        <v>0</v>
      </c>
      <c r="K2832" s="754">
        <v>0</v>
      </c>
      <c r="L2832" s="754">
        <v>0</v>
      </c>
      <c r="M2832" s="754">
        <f t="shared" si="113"/>
        <v>0</v>
      </c>
      <c r="N2832" s="756">
        <v>1540</v>
      </c>
      <c r="O2832" s="720">
        <f t="shared" si="114"/>
        <v>0</v>
      </c>
    </row>
    <row r="2833" spans="1:15" x14ac:dyDescent="0.25">
      <c r="A2833" s="207" t="str">
        <f>VLOOKUP(RIGHT(E2833,3)+0,SchLocTable!$A$2:$B$47,2,FALSE)</f>
        <v>Barnum</v>
      </c>
      <c r="B2833" s="207" t="str">
        <f>VLOOKUP(VALUE(D2833),$D$3:F$106,3,FALSE)</f>
        <v>School Nurses</v>
      </c>
      <c r="C2833" s="751" t="s">
        <v>246</v>
      </c>
      <c r="D2833" s="751" t="s">
        <v>862</v>
      </c>
      <c r="E2833" s="751" t="s">
        <v>867</v>
      </c>
      <c r="F2833" s="751" t="s">
        <v>248</v>
      </c>
      <c r="G2833" s="752">
        <v>1</v>
      </c>
      <c r="H2833" s="753">
        <v>51000</v>
      </c>
      <c r="I2833" s="754">
        <v>56135.87</v>
      </c>
      <c r="J2833" s="754">
        <v>0</v>
      </c>
      <c r="K2833" s="754">
        <v>0</v>
      </c>
      <c r="L2833" s="754">
        <v>9527.65</v>
      </c>
      <c r="M2833" s="754">
        <f t="shared" si="113"/>
        <v>9527.65</v>
      </c>
      <c r="N2833" s="756">
        <v>56135.87</v>
      </c>
      <c r="O2833" s="720">
        <f t="shared" si="114"/>
        <v>0</v>
      </c>
    </row>
    <row r="2834" spans="1:15" x14ac:dyDescent="0.25">
      <c r="A2834" s="207" t="str">
        <f>VLOOKUP(RIGHT(E2834,3)+0,SchLocTable!$A$2:$B$47,2,FALSE)</f>
        <v>Barnum</v>
      </c>
      <c r="B2834" s="207" t="str">
        <f>VLOOKUP(VALUE(D2834),$D$3:F$106,3,FALSE)</f>
        <v>School Nurses</v>
      </c>
      <c r="C2834" s="755" t="s">
        <v>246</v>
      </c>
      <c r="D2834" s="751" t="s">
        <v>862</v>
      </c>
      <c r="E2834" s="751" t="s">
        <v>867</v>
      </c>
      <c r="F2834" s="751" t="s">
        <v>257</v>
      </c>
      <c r="G2834" s="752" t="s">
        <v>1681</v>
      </c>
      <c r="H2834" s="753">
        <v>51140</v>
      </c>
      <c r="I2834" s="754">
        <v>2496.67</v>
      </c>
      <c r="J2834" s="754">
        <v>0</v>
      </c>
      <c r="K2834" s="754">
        <v>0</v>
      </c>
      <c r="L2834" s="754">
        <v>0</v>
      </c>
      <c r="M2834" s="754">
        <f t="shared" si="113"/>
        <v>0</v>
      </c>
      <c r="N2834" s="756">
        <v>2496.67</v>
      </c>
      <c r="O2834" s="720">
        <f t="shared" si="114"/>
        <v>0</v>
      </c>
    </row>
    <row r="2835" spans="1:15" x14ac:dyDescent="0.25">
      <c r="A2835" s="207" t="str">
        <f>VLOOKUP(RIGHT(E2835,3)+0,SchLocTable!$A$2:$B$47,2,FALSE)</f>
        <v>Barnum</v>
      </c>
      <c r="B2835" s="207" t="str">
        <f>VLOOKUP(VALUE(D2835),$D$3:F$106,3,FALSE)</f>
        <v>School Nurses</v>
      </c>
      <c r="C2835" s="751" t="s">
        <v>246</v>
      </c>
      <c r="D2835" s="751" t="s">
        <v>862</v>
      </c>
      <c r="E2835" s="751" t="s">
        <v>867</v>
      </c>
      <c r="F2835" s="751" t="s">
        <v>254</v>
      </c>
      <c r="G2835" s="752" t="s">
        <v>1681</v>
      </c>
      <c r="H2835" s="753">
        <v>52360</v>
      </c>
      <c r="I2835" s="754">
        <v>805.58</v>
      </c>
      <c r="J2835" s="754">
        <v>0</v>
      </c>
      <c r="K2835" s="754">
        <v>0</v>
      </c>
      <c r="L2835" s="754">
        <v>129.76</v>
      </c>
      <c r="M2835" s="754">
        <f t="shared" si="113"/>
        <v>129.76</v>
      </c>
      <c r="N2835" s="756">
        <v>805.58</v>
      </c>
      <c r="O2835" s="720">
        <f t="shared" si="114"/>
        <v>0</v>
      </c>
    </row>
    <row r="2836" spans="1:15" x14ac:dyDescent="0.25">
      <c r="A2836" s="207" t="str">
        <f>VLOOKUP(RIGHT(E2836,3)+0,SchLocTable!$A$2:$B$47,2,FALSE)</f>
        <v>Barnum</v>
      </c>
      <c r="B2836" s="207" t="str">
        <f>VLOOKUP(VALUE(D2836),$D$3:F$106,3,FALSE)</f>
        <v>School Nurses</v>
      </c>
      <c r="C2836" s="751" t="s">
        <v>246</v>
      </c>
      <c r="D2836" s="751" t="s">
        <v>862</v>
      </c>
      <c r="E2836" s="751" t="s">
        <v>867</v>
      </c>
      <c r="F2836" s="751" t="s">
        <v>292</v>
      </c>
      <c r="G2836" s="752" t="s">
        <v>1681</v>
      </c>
      <c r="H2836" s="753">
        <v>52385</v>
      </c>
      <c r="I2836" s="754">
        <v>554.82000000000005</v>
      </c>
      <c r="J2836" s="754">
        <v>0</v>
      </c>
      <c r="K2836" s="754">
        <v>0</v>
      </c>
      <c r="L2836" s="754">
        <v>554.82000000000005</v>
      </c>
      <c r="M2836" s="754">
        <f t="shared" si="113"/>
        <v>554.82000000000005</v>
      </c>
      <c r="N2836" s="756">
        <v>554.82000000000005</v>
      </c>
      <c r="O2836" s="720">
        <f t="shared" si="114"/>
        <v>0</v>
      </c>
    </row>
    <row r="2837" spans="1:15" x14ac:dyDescent="0.25">
      <c r="A2837" s="207" t="str">
        <f>VLOOKUP(RIGHT(E2837,3)+0,SchLocTable!$A$2:$B$47,2,FALSE)</f>
        <v>Barnum</v>
      </c>
      <c r="B2837" s="207" t="str">
        <f>VLOOKUP(VALUE(D2837),$D$3:F$106,3,FALSE)</f>
        <v>School Nurses</v>
      </c>
      <c r="C2837" s="751" t="s">
        <v>246</v>
      </c>
      <c r="D2837" s="751" t="s">
        <v>862</v>
      </c>
      <c r="E2837" s="751" t="s">
        <v>867</v>
      </c>
      <c r="F2837" s="751" t="s">
        <v>331</v>
      </c>
      <c r="G2837" s="752" t="s">
        <v>1681</v>
      </c>
      <c r="H2837" s="753">
        <v>52504</v>
      </c>
      <c r="I2837" s="754">
        <v>9596.6299999999992</v>
      </c>
      <c r="J2837" s="754">
        <v>0</v>
      </c>
      <c r="K2837" s="754">
        <v>0</v>
      </c>
      <c r="L2837" s="754">
        <v>0</v>
      </c>
      <c r="M2837" s="754">
        <f t="shared" si="113"/>
        <v>0</v>
      </c>
      <c r="N2837" s="756">
        <v>9596.6299999999992</v>
      </c>
      <c r="O2837" s="720">
        <f t="shared" si="114"/>
        <v>0</v>
      </c>
    </row>
    <row r="2838" spans="1:15" x14ac:dyDescent="0.25">
      <c r="A2838" s="207" t="str">
        <f>VLOOKUP(RIGHT(E2838,3)+0,SchLocTable!$A$2:$B$47,2,FALSE)</f>
        <v>Barnum</v>
      </c>
      <c r="B2838" s="207" t="str">
        <f>VLOOKUP(VALUE(D2838),$D$3:F$106,3,FALSE)</f>
        <v>School Nurses</v>
      </c>
      <c r="C2838" s="751" t="s">
        <v>246</v>
      </c>
      <c r="D2838" s="751" t="s">
        <v>862</v>
      </c>
      <c r="E2838" s="751" t="s">
        <v>867</v>
      </c>
      <c r="F2838" s="751" t="s">
        <v>259</v>
      </c>
      <c r="G2838" s="752" t="s">
        <v>1681</v>
      </c>
      <c r="H2838" s="753">
        <v>52917</v>
      </c>
      <c r="I2838" s="754">
        <v>20127.240000000002</v>
      </c>
      <c r="J2838" s="754">
        <v>0</v>
      </c>
      <c r="K2838" s="754">
        <v>0</v>
      </c>
      <c r="L2838" s="754">
        <v>1540.35</v>
      </c>
      <c r="M2838" s="754">
        <f t="shared" si="113"/>
        <v>1540.35</v>
      </c>
      <c r="N2838" s="756">
        <v>20127.240000000002</v>
      </c>
      <c r="O2838" s="720">
        <f t="shared" si="114"/>
        <v>0</v>
      </c>
    </row>
    <row r="2839" spans="1:15" x14ac:dyDescent="0.25">
      <c r="A2839" s="207" t="str">
        <f>VLOOKUP(RIGHT(E2839,3)+0,SchLocTable!$A$2:$B$47,2,FALSE)</f>
        <v>Barnum</v>
      </c>
      <c r="B2839" s="207" t="str">
        <f>VLOOKUP(VALUE(D2839),$D$3:F$106,3,FALSE)</f>
        <v>School Nurses</v>
      </c>
      <c r="C2839" s="751" t="s">
        <v>246</v>
      </c>
      <c r="D2839" s="751" t="s">
        <v>862</v>
      </c>
      <c r="E2839" s="751" t="s">
        <v>867</v>
      </c>
      <c r="F2839" s="751" t="s">
        <v>864</v>
      </c>
      <c r="G2839" s="752" t="s">
        <v>1681</v>
      </c>
      <c r="H2839" s="753">
        <v>53905</v>
      </c>
      <c r="I2839" s="754">
        <v>350</v>
      </c>
      <c r="J2839" s="754">
        <v>0</v>
      </c>
      <c r="K2839" s="754">
        <v>0</v>
      </c>
      <c r="L2839" s="754">
        <v>0</v>
      </c>
      <c r="M2839" s="754">
        <f t="shared" si="113"/>
        <v>0</v>
      </c>
      <c r="N2839" s="756">
        <v>350</v>
      </c>
      <c r="O2839" s="720">
        <f t="shared" si="114"/>
        <v>0</v>
      </c>
    </row>
    <row r="2840" spans="1:15" x14ac:dyDescent="0.25">
      <c r="A2840" s="207" t="str">
        <f>VLOOKUP(RIGHT(E2840,3)+0,SchLocTable!$A$2:$B$47,2,FALSE)</f>
        <v>Beardsley</v>
      </c>
      <c r="B2840" s="207" t="str">
        <f>VLOOKUP(VALUE(D2840),$D$3:F$106,3,FALSE)</f>
        <v>School Nurses</v>
      </c>
      <c r="C2840" s="751" t="s">
        <v>246</v>
      </c>
      <c r="D2840" s="751" t="s">
        <v>862</v>
      </c>
      <c r="E2840" s="751" t="s">
        <v>868</v>
      </c>
      <c r="F2840" s="751" t="s">
        <v>248</v>
      </c>
      <c r="G2840" s="752" t="s">
        <v>1681</v>
      </c>
      <c r="H2840" s="753">
        <v>51000</v>
      </c>
      <c r="I2840" s="754">
        <v>28559.08</v>
      </c>
      <c r="J2840" s="754">
        <v>0</v>
      </c>
      <c r="K2840" s="754">
        <v>0</v>
      </c>
      <c r="L2840" s="754">
        <v>28559.08</v>
      </c>
      <c r="M2840" s="754">
        <f t="shared" si="113"/>
        <v>28559.08</v>
      </c>
      <c r="N2840" s="756">
        <v>28559.08</v>
      </c>
      <c r="O2840" s="720">
        <f t="shared" si="114"/>
        <v>0</v>
      </c>
    </row>
    <row r="2841" spans="1:15" x14ac:dyDescent="0.25">
      <c r="A2841" s="207" t="str">
        <f>VLOOKUP(RIGHT(E2841,3)+0,SchLocTable!$A$2:$B$47,2,FALSE)</f>
        <v>Beardsley</v>
      </c>
      <c r="B2841" s="207" t="str">
        <f>VLOOKUP(VALUE(D2841),$D$3:F$106,3,FALSE)</f>
        <v>School Nurses</v>
      </c>
      <c r="C2841" s="751" t="s">
        <v>246</v>
      </c>
      <c r="D2841" s="751" t="s">
        <v>862</v>
      </c>
      <c r="E2841" s="751" t="s">
        <v>868</v>
      </c>
      <c r="F2841" s="751" t="s">
        <v>257</v>
      </c>
      <c r="G2841" s="752" t="s">
        <v>1681</v>
      </c>
      <c r="H2841" s="753">
        <v>51140</v>
      </c>
      <c r="I2841" s="754">
        <v>1680</v>
      </c>
      <c r="J2841" s="754">
        <v>0</v>
      </c>
      <c r="K2841" s="754">
        <v>0</v>
      </c>
      <c r="L2841" s="754">
        <v>1604.17</v>
      </c>
      <c r="M2841" s="754">
        <f t="shared" si="113"/>
        <v>1604.17</v>
      </c>
      <c r="N2841" s="756">
        <v>1680</v>
      </c>
      <c r="O2841" s="720">
        <f t="shared" si="114"/>
        <v>0</v>
      </c>
    </row>
    <row r="2842" spans="1:15" x14ac:dyDescent="0.25">
      <c r="A2842" s="207" t="str">
        <f>VLOOKUP(RIGHT(E2842,3)+0,SchLocTable!$A$2:$B$47,2,FALSE)</f>
        <v>Beardsley</v>
      </c>
      <c r="B2842" s="207" t="str">
        <f>VLOOKUP(VALUE(D2842),$D$3:F$106,3,FALSE)</f>
        <v>School Nurses</v>
      </c>
      <c r="C2842" s="751" t="s">
        <v>246</v>
      </c>
      <c r="D2842" s="751" t="s">
        <v>862</v>
      </c>
      <c r="E2842" s="751" t="s">
        <v>868</v>
      </c>
      <c r="F2842" s="751" t="s">
        <v>254</v>
      </c>
      <c r="G2842" s="752" t="s">
        <v>1681</v>
      </c>
      <c r="H2842" s="753">
        <v>52360</v>
      </c>
      <c r="I2842" s="754">
        <v>429.11</v>
      </c>
      <c r="J2842" s="754">
        <v>0</v>
      </c>
      <c r="K2842" s="754">
        <v>0</v>
      </c>
      <c r="L2842" s="754">
        <v>429.11</v>
      </c>
      <c r="M2842" s="754">
        <f t="shared" si="113"/>
        <v>429.11</v>
      </c>
      <c r="N2842" s="756">
        <v>429.11</v>
      </c>
      <c r="O2842" s="720">
        <f t="shared" si="114"/>
        <v>0</v>
      </c>
    </row>
    <row r="2843" spans="1:15" x14ac:dyDescent="0.25">
      <c r="A2843" s="207" t="str">
        <f>VLOOKUP(RIGHT(E2843,3)+0,SchLocTable!$A$2:$B$47,2,FALSE)</f>
        <v>Beardsley</v>
      </c>
      <c r="B2843" s="207" t="str">
        <f>VLOOKUP(VALUE(D2843),$D$3:F$106,3,FALSE)</f>
        <v>School Nurses</v>
      </c>
      <c r="C2843" s="751" t="s">
        <v>246</v>
      </c>
      <c r="D2843" s="751" t="s">
        <v>862</v>
      </c>
      <c r="E2843" s="751" t="s">
        <v>868</v>
      </c>
      <c r="F2843" s="751" t="s">
        <v>331</v>
      </c>
      <c r="G2843" s="752" t="s">
        <v>1681</v>
      </c>
      <c r="H2843" s="753">
        <v>52504</v>
      </c>
      <c r="I2843" s="754">
        <v>2419.4699999999998</v>
      </c>
      <c r="J2843" s="754">
        <v>0</v>
      </c>
      <c r="K2843" s="754">
        <v>0</v>
      </c>
      <c r="L2843" s="754">
        <v>2419.4699999999998</v>
      </c>
      <c r="M2843" s="754">
        <f t="shared" si="113"/>
        <v>2419.4699999999998</v>
      </c>
      <c r="N2843" s="756">
        <v>2419.4699999999998</v>
      </c>
      <c r="O2843" s="720">
        <f t="shared" si="114"/>
        <v>0</v>
      </c>
    </row>
    <row r="2844" spans="1:15" x14ac:dyDescent="0.25">
      <c r="A2844" s="207" t="str">
        <f>VLOOKUP(RIGHT(E2844,3)+0,SchLocTable!$A$2:$B$47,2,FALSE)</f>
        <v>Beardsley</v>
      </c>
      <c r="B2844" s="207" t="str">
        <f>VLOOKUP(VALUE(D2844),$D$3:F$106,3,FALSE)</f>
        <v>School Nurses</v>
      </c>
      <c r="C2844" s="751" t="s">
        <v>246</v>
      </c>
      <c r="D2844" s="751" t="s">
        <v>862</v>
      </c>
      <c r="E2844" s="751" t="s">
        <v>868</v>
      </c>
      <c r="F2844" s="751" t="s">
        <v>259</v>
      </c>
      <c r="G2844" s="752" t="s">
        <v>1681</v>
      </c>
      <c r="H2844" s="753">
        <v>52917</v>
      </c>
      <c r="I2844" s="754">
        <v>1846.32</v>
      </c>
      <c r="J2844" s="754">
        <v>0</v>
      </c>
      <c r="K2844" s="754">
        <v>0</v>
      </c>
      <c r="L2844" s="754">
        <v>1846.32</v>
      </c>
      <c r="M2844" s="754">
        <f t="shared" si="113"/>
        <v>1846.32</v>
      </c>
      <c r="N2844" s="756">
        <v>1846.32</v>
      </c>
      <c r="O2844" s="720">
        <f t="shared" si="114"/>
        <v>0</v>
      </c>
    </row>
    <row r="2845" spans="1:15" x14ac:dyDescent="0.25">
      <c r="A2845" s="207" t="str">
        <f>VLOOKUP(RIGHT(E2845,3)+0,SchLocTable!$A$2:$B$47,2,FALSE)</f>
        <v>Black Rock</v>
      </c>
      <c r="B2845" s="207" t="str">
        <f>VLOOKUP(VALUE(D2845),$D$3:F$106,3,FALSE)</f>
        <v>School Nurses</v>
      </c>
      <c r="C2845" s="755" t="s">
        <v>246</v>
      </c>
      <c r="D2845" s="751" t="s">
        <v>862</v>
      </c>
      <c r="E2845" s="751" t="s">
        <v>869</v>
      </c>
      <c r="F2845" s="751" t="s">
        <v>248</v>
      </c>
      <c r="G2845" s="752">
        <v>1</v>
      </c>
      <c r="H2845" s="753">
        <v>51000</v>
      </c>
      <c r="I2845" s="754">
        <v>71574.03</v>
      </c>
      <c r="J2845" s="754">
        <v>0</v>
      </c>
      <c r="K2845" s="754">
        <v>0</v>
      </c>
      <c r="L2845" s="754">
        <v>21938.400000000001</v>
      </c>
      <c r="M2845" s="754">
        <f t="shared" si="113"/>
        <v>21938.400000000001</v>
      </c>
      <c r="N2845" s="756">
        <v>71574.03</v>
      </c>
      <c r="O2845" s="720">
        <f t="shared" si="114"/>
        <v>0</v>
      </c>
    </row>
    <row r="2846" spans="1:15" x14ac:dyDescent="0.25">
      <c r="A2846" s="207" t="str">
        <f>VLOOKUP(RIGHT(E2846,3)+0,SchLocTable!$A$2:$B$47,2,FALSE)</f>
        <v>Black Rock</v>
      </c>
      <c r="B2846" s="207" t="str">
        <f>VLOOKUP(VALUE(D2846),$D$3:F$106,3,FALSE)</f>
        <v>School Nurses</v>
      </c>
      <c r="C2846" s="751" t="s">
        <v>246</v>
      </c>
      <c r="D2846" s="751" t="s">
        <v>862</v>
      </c>
      <c r="E2846" s="751" t="s">
        <v>869</v>
      </c>
      <c r="F2846" s="751" t="s">
        <v>257</v>
      </c>
      <c r="G2846" s="752" t="s">
        <v>1681</v>
      </c>
      <c r="H2846" s="753">
        <v>51140</v>
      </c>
      <c r="I2846" s="754">
        <v>630</v>
      </c>
      <c r="J2846" s="754">
        <v>0</v>
      </c>
      <c r="K2846" s="754">
        <v>0</v>
      </c>
      <c r="L2846" s="754">
        <v>0</v>
      </c>
      <c r="M2846" s="754">
        <f t="shared" si="113"/>
        <v>0</v>
      </c>
      <c r="N2846" s="756">
        <v>630</v>
      </c>
      <c r="O2846" s="720">
        <f t="shared" si="114"/>
        <v>0</v>
      </c>
    </row>
    <row r="2847" spans="1:15" x14ac:dyDescent="0.25">
      <c r="A2847" s="207" t="str">
        <f>VLOOKUP(RIGHT(E2847,3)+0,SchLocTable!$A$2:$B$47,2,FALSE)</f>
        <v>Black Rock</v>
      </c>
      <c r="B2847" s="207" t="str">
        <f>VLOOKUP(VALUE(D2847),$D$3:F$106,3,FALSE)</f>
        <v>School Nurses</v>
      </c>
      <c r="C2847" s="755" t="s">
        <v>246</v>
      </c>
      <c r="D2847" s="751" t="s">
        <v>862</v>
      </c>
      <c r="E2847" s="751" t="s">
        <v>869</v>
      </c>
      <c r="F2847" s="751" t="s">
        <v>254</v>
      </c>
      <c r="G2847" s="752" t="s">
        <v>1681</v>
      </c>
      <c r="H2847" s="753">
        <v>52360</v>
      </c>
      <c r="I2847" s="754">
        <v>1020.41</v>
      </c>
      <c r="J2847" s="754">
        <v>0</v>
      </c>
      <c r="K2847" s="754">
        <v>0</v>
      </c>
      <c r="L2847" s="754">
        <v>300.69</v>
      </c>
      <c r="M2847" s="754">
        <f t="shared" si="113"/>
        <v>300.69</v>
      </c>
      <c r="N2847" s="756">
        <v>1020.41</v>
      </c>
      <c r="O2847" s="720">
        <f t="shared" si="114"/>
        <v>0</v>
      </c>
    </row>
    <row r="2848" spans="1:15" x14ac:dyDescent="0.25">
      <c r="A2848" s="207" t="str">
        <f>VLOOKUP(RIGHT(E2848,3)+0,SchLocTable!$A$2:$B$47,2,FALSE)</f>
        <v>Black Rock</v>
      </c>
      <c r="B2848" s="207" t="str">
        <f>VLOOKUP(VALUE(D2848),$D$3:F$106,3,FALSE)</f>
        <v>School Nurses</v>
      </c>
      <c r="C2848" s="751" t="s">
        <v>246</v>
      </c>
      <c r="D2848" s="751" t="s">
        <v>862</v>
      </c>
      <c r="E2848" s="751" t="s">
        <v>869</v>
      </c>
      <c r="F2848" s="751" t="s">
        <v>331</v>
      </c>
      <c r="G2848" s="752" t="s">
        <v>1681</v>
      </c>
      <c r="H2848" s="753">
        <v>52504</v>
      </c>
      <c r="I2848" s="754">
        <v>14737.1</v>
      </c>
      <c r="J2848" s="754">
        <v>0</v>
      </c>
      <c r="K2848" s="754">
        <v>0</v>
      </c>
      <c r="L2848" s="754">
        <v>4517.12</v>
      </c>
      <c r="M2848" s="754">
        <f t="shared" si="113"/>
        <v>4517.12</v>
      </c>
      <c r="N2848" s="756">
        <v>14737.1</v>
      </c>
      <c r="O2848" s="720">
        <f t="shared" si="114"/>
        <v>0</v>
      </c>
    </row>
    <row r="2849" spans="1:15" x14ac:dyDescent="0.25">
      <c r="A2849" s="207" t="str">
        <f>VLOOKUP(RIGHT(E2849,3)+0,SchLocTable!$A$2:$B$47,2,FALSE)</f>
        <v>Black Rock</v>
      </c>
      <c r="B2849" s="207" t="str">
        <f>VLOOKUP(VALUE(D2849),$D$3:F$106,3,FALSE)</f>
        <v>School Nurses</v>
      </c>
      <c r="C2849" s="751" t="s">
        <v>246</v>
      </c>
      <c r="D2849" s="751" t="s">
        <v>862</v>
      </c>
      <c r="E2849" s="751" t="s">
        <v>869</v>
      </c>
      <c r="F2849" s="751" t="s">
        <v>259</v>
      </c>
      <c r="G2849" s="752" t="s">
        <v>1681</v>
      </c>
      <c r="H2849" s="753">
        <v>52917</v>
      </c>
      <c r="I2849" s="754">
        <v>11043.43</v>
      </c>
      <c r="J2849" s="754">
        <v>0</v>
      </c>
      <c r="K2849" s="754">
        <v>0</v>
      </c>
      <c r="L2849" s="754">
        <v>3384.96</v>
      </c>
      <c r="M2849" s="754">
        <f t="shared" si="113"/>
        <v>3384.96</v>
      </c>
      <c r="N2849" s="756">
        <v>11043.43</v>
      </c>
      <c r="O2849" s="720">
        <f t="shared" si="114"/>
        <v>0</v>
      </c>
    </row>
    <row r="2850" spans="1:15" x14ac:dyDescent="0.25">
      <c r="A2850" s="207" t="str">
        <f>VLOOKUP(RIGHT(E2850,3)+0,SchLocTable!$A$2:$B$47,2,FALSE)</f>
        <v>Black Rock</v>
      </c>
      <c r="B2850" s="207" t="str">
        <f>VLOOKUP(VALUE(D2850),$D$3:F$106,3,FALSE)</f>
        <v>School Nurses</v>
      </c>
      <c r="C2850" s="751" t="s">
        <v>246</v>
      </c>
      <c r="D2850" s="751" t="s">
        <v>862</v>
      </c>
      <c r="E2850" s="751" t="s">
        <v>869</v>
      </c>
      <c r="F2850" s="751" t="s">
        <v>864</v>
      </c>
      <c r="G2850" s="752" t="s">
        <v>1681</v>
      </c>
      <c r="H2850" s="753">
        <v>53905</v>
      </c>
      <c r="I2850" s="754">
        <v>0</v>
      </c>
      <c r="J2850" s="754">
        <v>0</v>
      </c>
      <c r="K2850" s="754">
        <v>0</v>
      </c>
      <c r="L2850" s="754">
        <v>0</v>
      </c>
      <c r="M2850" s="754">
        <f t="shared" si="113"/>
        <v>0</v>
      </c>
      <c r="N2850" s="756">
        <v>0</v>
      </c>
      <c r="O2850" s="720">
        <f t="shared" si="114"/>
        <v>0</v>
      </c>
    </row>
    <row r="2851" spans="1:15" x14ac:dyDescent="0.25">
      <c r="A2851" s="207" t="str">
        <f>VLOOKUP(RIGHT(E2851,3)+0,SchLocTable!$A$2:$B$47,2,FALSE)</f>
        <v>Bryant</v>
      </c>
      <c r="B2851" s="207" t="str">
        <f>VLOOKUP(VALUE(D2851),$D$3:F$106,3,FALSE)</f>
        <v>School Nurses</v>
      </c>
      <c r="C2851" s="751" t="s">
        <v>246</v>
      </c>
      <c r="D2851" s="751" t="s">
        <v>862</v>
      </c>
      <c r="E2851" s="751" t="s">
        <v>2011</v>
      </c>
      <c r="F2851" s="751" t="s">
        <v>248</v>
      </c>
      <c r="G2851" s="752">
        <v>1</v>
      </c>
      <c r="H2851" s="753">
        <v>51000</v>
      </c>
      <c r="I2851" s="754">
        <v>68687.37</v>
      </c>
      <c r="J2851" s="754">
        <v>0</v>
      </c>
      <c r="K2851" s="754">
        <v>0</v>
      </c>
      <c r="L2851" s="754">
        <v>21053.599999999999</v>
      </c>
      <c r="M2851" s="754">
        <f t="shared" si="113"/>
        <v>21053.599999999999</v>
      </c>
      <c r="N2851" s="756">
        <v>68687.37</v>
      </c>
      <c r="O2851" s="720">
        <f t="shared" si="114"/>
        <v>0</v>
      </c>
    </row>
    <row r="2852" spans="1:15" x14ac:dyDescent="0.25">
      <c r="A2852" s="207" t="str">
        <f>VLOOKUP(RIGHT(E2852,3)+0,SchLocTable!$A$2:$B$47,2,FALSE)</f>
        <v>Bryant</v>
      </c>
      <c r="B2852" s="207" t="str">
        <f>VLOOKUP(VALUE(D2852),$D$3:F$106,3,FALSE)</f>
        <v>School Nurses</v>
      </c>
      <c r="C2852" s="751" t="s">
        <v>246</v>
      </c>
      <c r="D2852" s="751" t="s">
        <v>862</v>
      </c>
      <c r="E2852" s="751" t="s">
        <v>2011</v>
      </c>
      <c r="F2852" s="751" t="s">
        <v>254</v>
      </c>
      <c r="G2852" s="752" t="s">
        <v>1681</v>
      </c>
      <c r="H2852" s="753">
        <v>52360</v>
      </c>
      <c r="I2852" s="754">
        <v>978.55</v>
      </c>
      <c r="J2852" s="754">
        <v>0</v>
      </c>
      <c r="K2852" s="754">
        <v>0</v>
      </c>
      <c r="L2852" s="754">
        <v>287.86</v>
      </c>
      <c r="M2852" s="754">
        <f t="shared" si="113"/>
        <v>287.86</v>
      </c>
      <c r="N2852" s="756">
        <v>978.55</v>
      </c>
      <c r="O2852" s="720">
        <f t="shared" si="114"/>
        <v>0</v>
      </c>
    </row>
    <row r="2853" spans="1:15" x14ac:dyDescent="0.25">
      <c r="A2853" s="207" t="str">
        <f>VLOOKUP(RIGHT(E2853,3)+0,SchLocTable!$A$2:$B$47,2,FALSE)</f>
        <v>Bryant</v>
      </c>
      <c r="B2853" s="207" t="str">
        <f>VLOOKUP(VALUE(D2853),$D$3:F$106,3,FALSE)</f>
        <v>School Nurses</v>
      </c>
      <c r="C2853" s="751" t="s">
        <v>246</v>
      </c>
      <c r="D2853" s="751" t="s">
        <v>862</v>
      </c>
      <c r="E2853" s="751" t="s">
        <v>2011</v>
      </c>
      <c r="F2853" s="751" t="s">
        <v>331</v>
      </c>
      <c r="G2853" s="752" t="s">
        <v>1681</v>
      </c>
      <c r="H2853" s="753">
        <v>52504</v>
      </c>
      <c r="I2853" s="754">
        <v>14142.67</v>
      </c>
      <c r="J2853" s="754">
        <v>0</v>
      </c>
      <c r="K2853" s="754">
        <v>0</v>
      </c>
      <c r="L2853" s="754">
        <v>4334.88</v>
      </c>
      <c r="M2853" s="754">
        <f t="shared" si="113"/>
        <v>4334.88</v>
      </c>
      <c r="N2853" s="756">
        <v>14142.67</v>
      </c>
      <c r="O2853" s="720">
        <f t="shared" si="114"/>
        <v>0</v>
      </c>
    </row>
    <row r="2854" spans="1:15" x14ac:dyDescent="0.25">
      <c r="A2854" s="207" t="str">
        <f>VLOOKUP(RIGHT(E2854,3)+0,SchLocTable!$A$2:$B$47,2,FALSE)</f>
        <v>Bryant</v>
      </c>
      <c r="B2854" s="207" t="str">
        <f>VLOOKUP(VALUE(D2854),$D$3:F$106,3,FALSE)</f>
        <v>School Nurses</v>
      </c>
      <c r="C2854" s="751" t="s">
        <v>246</v>
      </c>
      <c r="D2854" s="751" t="s">
        <v>862</v>
      </c>
      <c r="E2854" s="751" t="s">
        <v>2011</v>
      </c>
      <c r="F2854" s="751" t="s">
        <v>259</v>
      </c>
      <c r="G2854" s="752" t="s">
        <v>1681</v>
      </c>
      <c r="H2854" s="753">
        <v>52917</v>
      </c>
      <c r="I2854" s="754">
        <v>11043.43</v>
      </c>
      <c r="J2854" s="754">
        <v>0</v>
      </c>
      <c r="K2854" s="754">
        <v>0</v>
      </c>
      <c r="L2854" s="754">
        <v>3384.96</v>
      </c>
      <c r="M2854" s="754">
        <f t="shared" si="113"/>
        <v>3384.96</v>
      </c>
      <c r="N2854" s="756">
        <v>11043.43</v>
      </c>
      <c r="O2854" s="720">
        <f t="shared" si="114"/>
        <v>0</v>
      </c>
    </row>
    <row r="2855" spans="1:15" x14ac:dyDescent="0.25">
      <c r="A2855" s="207" t="str">
        <f>VLOOKUP(RIGHT(E2855,3)+0,SchLocTable!$A$2:$B$47,2,FALSE)</f>
        <v>Bryant</v>
      </c>
      <c r="B2855" s="207" t="str">
        <f>VLOOKUP(VALUE(D2855),$D$3:F$106,3,FALSE)</f>
        <v>School Nurses</v>
      </c>
      <c r="C2855" s="751" t="s">
        <v>246</v>
      </c>
      <c r="D2855" s="751" t="s">
        <v>862</v>
      </c>
      <c r="E2855" s="751" t="s">
        <v>2011</v>
      </c>
      <c r="F2855" s="751" t="s">
        <v>333</v>
      </c>
      <c r="G2855" s="752" t="s">
        <v>1681</v>
      </c>
      <c r="H2855" s="753">
        <v>52920</v>
      </c>
      <c r="I2855" s="754">
        <v>0</v>
      </c>
      <c r="J2855" s="754">
        <v>0</v>
      </c>
      <c r="K2855" s="754">
        <v>0</v>
      </c>
      <c r="L2855" s="754">
        <v>0</v>
      </c>
      <c r="M2855" s="754">
        <f t="shared" si="113"/>
        <v>0</v>
      </c>
      <c r="N2855" s="756">
        <v>0</v>
      </c>
      <c r="O2855" s="720">
        <f t="shared" si="114"/>
        <v>0</v>
      </c>
    </row>
    <row r="2856" spans="1:15" x14ac:dyDescent="0.25">
      <c r="A2856" s="207" t="str">
        <f>VLOOKUP(RIGHT(E2856,3)+0,SchLocTable!$A$2:$B$47,2,FALSE)</f>
        <v>Columbus</v>
      </c>
      <c r="B2856" s="207" t="str">
        <f>VLOOKUP(VALUE(D2856),$D$3:F$106,3,FALSE)</f>
        <v>School Nurses</v>
      </c>
      <c r="C2856" s="751" t="s">
        <v>246</v>
      </c>
      <c r="D2856" s="751" t="s">
        <v>862</v>
      </c>
      <c r="E2856" s="751" t="s">
        <v>870</v>
      </c>
      <c r="F2856" s="751" t="s">
        <v>257</v>
      </c>
      <c r="G2856" s="752" t="s">
        <v>1681</v>
      </c>
      <c r="H2856" s="753">
        <v>51140</v>
      </c>
      <c r="I2856" s="754">
        <v>0</v>
      </c>
      <c r="J2856" s="754">
        <v>0</v>
      </c>
      <c r="K2856" s="754">
        <v>0</v>
      </c>
      <c r="L2856" s="754">
        <v>0</v>
      </c>
      <c r="M2856" s="754">
        <f t="shared" si="113"/>
        <v>0</v>
      </c>
      <c r="N2856" s="756">
        <v>0</v>
      </c>
      <c r="O2856" s="720">
        <f t="shared" si="114"/>
        <v>0</v>
      </c>
    </row>
    <row r="2857" spans="1:15" x14ac:dyDescent="0.25">
      <c r="A2857" s="207" t="str">
        <f>VLOOKUP(RIGHT(E2857,3)+0,SchLocTable!$A$2:$B$47,2,FALSE)</f>
        <v>Columbus</v>
      </c>
      <c r="B2857" s="207" t="str">
        <f>VLOOKUP(VALUE(D2857),$D$3:F$106,3,FALSE)</f>
        <v>School Nurses</v>
      </c>
      <c r="C2857" s="751" t="s">
        <v>246</v>
      </c>
      <c r="D2857" s="751" t="s">
        <v>862</v>
      </c>
      <c r="E2857" s="751" t="s">
        <v>870</v>
      </c>
      <c r="F2857" s="751" t="s">
        <v>254</v>
      </c>
      <c r="G2857" s="752" t="s">
        <v>1681</v>
      </c>
      <c r="H2857" s="753">
        <v>52360</v>
      </c>
      <c r="I2857" s="754">
        <v>0</v>
      </c>
      <c r="J2857" s="754">
        <v>0</v>
      </c>
      <c r="K2857" s="754">
        <v>0</v>
      </c>
      <c r="L2857" s="754">
        <v>0</v>
      </c>
      <c r="M2857" s="754">
        <f t="shared" si="113"/>
        <v>0</v>
      </c>
      <c r="N2857" s="756">
        <v>0</v>
      </c>
      <c r="O2857" s="720">
        <f t="shared" si="114"/>
        <v>0</v>
      </c>
    </row>
    <row r="2858" spans="1:15" x14ac:dyDescent="0.25">
      <c r="A2858" s="207" t="str">
        <f>VLOOKUP(RIGHT(E2858,3)+0,SchLocTable!$A$2:$B$47,2,FALSE)</f>
        <v>Columbus</v>
      </c>
      <c r="B2858" s="207" t="str">
        <f>VLOOKUP(VALUE(D2858),$D$3:F$106,3,FALSE)</f>
        <v>School Nurses</v>
      </c>
      <c r="C2858" s="751" t="s">
        <v>246</v>
      </c>
      <c r="D2858" s="751" t="s">
        <v>862</v>
      </c>
      <c r="E2858" s="751" t="s">
        <v>870</v>
      </c>
      <c r="F2858" s="751" t="s">
        <v>331</v>
      </c>
      <c r="G2858" s="752" t="s">
        <v>1681</v>
      </c>
      <c r="H2858" s="753">
        <v>52504</v>
      </c>
      <c r="I2858" s="754">
        <v>0</v>
      </c>
      <c r="J2858" s="754">
        <v>0</v>
      </c>
      <c r="K2858" s="754">
        <v>0</v>
      </c>
      <c r="L2858" s="754">
        <v>0</v>
      </c>
      <c r="M2858" s="754">
        <f t="shared" si="113"/>
        <v>0</v>
      </c>
      <c r="N2858" s="756">
        <v>0</v>
      </c>
      <c r="O2858" s="720">
        <f t="shared" si="114"/>
        <v>0</v>
      </c>
    </row>
    <row r="2859" spans="1:15" x14ac:dyDescent="0.25">
      <c r="A2859" s="207" t="str">
        <f>VLOOKUP(RIGHT(E2859,3)+0,SchLocTable!$A$2:$B$47,2,FALSE)</f>
        <v>Edison</v>
      </c>
      <c r="B2859" s="207" t="str">
        <f>VLOOKUP(VALUE(D2859),$D$3:F$106,3,FALSE)</f>
        <v>School Nurses</v>
      </c>
      <c r="C2859" s="751" t="s">
        <v>246</v>
      </c>
      <c r="D2859" s="751" t="s">
        <v>862</v>
      </c>
      <c r="E2859" s="751" t="s">
        <v>871</v>
      </c>
      <c r="F2859" s="751" t="s">
        <v>248</v>
      </c>
      <c r="G2859" s="752" t="s">
        <v>1681</v>
      </c>
      <c r="H2859" s="753">
        <v>51000</v>
      </c>
      <c r="I2859" s="754">
        <v>0</v>
      </c>
      <c r="J2859" s="754">
        <v>0</v>
      </c>
      <c r="K2859" s="754">
        <v>0</v>
      </c>
      <c r="L2859" s="754">
        <v>0</v>
      </c>
      <c r="M2859" s="754">
        <f t="shared" si="113"/>
        <v>0</v>
      </c>
      <c r="N2859" s="756">
        <v>0</v>
      </c>
      <c r="O2859" s="720">
        <f t="shared" si="114"/>
        <v>0</v>
      </c>
    </row>
    <row r="2860" spans="1:15" x14ac:dyDescent="0.25">
      <c r="A2860" s="207" t="str">
        <f>VLOOKUP(RIGHT(E2860,3)+0,SchLocTable!$A$2:$B$47,2,FALSE)</f>
        <v>Edison</v>
      </c>
      <c r="B2860" s="207" t="str">
        <f>VLOOKUP(VALUE(D2860),$D$3:F$106,3,FALSE)</f>
        <v>School Nurses</v>
      </c>
      <c r="C2860" s="751" t="s">
        <v>246</v>
      </c>
      <c r="D2860" s="751" t="s">
        <v>862</v>
      </c>
      <c r="E2860" s="751" t="s">
        <v>871</v>
      </c>
      <c r="F2860" s="751" t="s">
        <v>257</v>
      </c>
      <c r="G2860" s="752" t="s">
        <v>1681</v>
      </c>
      <c r="H2860" s="753">
        <v>51140</v>
      </c>
      <c r="I2860" s="754">
        <v>0</v>
      </c>
      <c r="J2860" s="754">
        <v>0</v>
      </c>
      <c r="K2860" s="754">
        <v>0</v>
      </c>
      <c r="L2860" s="754">
        <v>0</v>
      </c>
      <c r="M2860" s="754">
        <f t="shared" si="113"/>
        <v>0</v>
      </c>
      <c r="N2860" s="756">
        <v>0</v>
      </c>
      <c r="O2860" s="720">
        <f t="shared" si="114"/>
        <v>0</v>
      </c>
    </row>
    <row r="2861" spans="1:15" x14ac:dyDescent="0.25">
      <c r="A2861" s="207" t="str">
        <f>VLOOKUP(RIGHT(E2861,3)+0,SchLocTable!$A$2:$B$47,2,FALSE)</f>
        <v>Edison</v>
      </c>
      <c r="B2861" s="207" t="str">
        <f>VLOOKUP(VALUE(D2861),$D$3:F$106,3,FALSE)</f>
        <v>School Nurses</v>
      </c>
      <c r="C2861" s="751" t="s">
        <v>246</v>
      </c>
      <c r="D2861" s="751" t="s">
        <v>862</v>
      </c>
      <c r="E2861" s="751" t="s">
        <v>871</v>
      </c>
      <c r="F2861" s="751" t="s">
        <v>254</v>
      </c>
      <c r="G2861" s="752" t="s">
        <v>1681</v>
      </c>
      <c r="H2861" s="753">
        <v>52360</v>
      </c>
      <c r="I2861" s="754">
        <v>0</v>
      </c>
      <c r="J2861" s="754">
        <v>0</v>
      </c>
      <c r="K2861" s="754">
        <v>0</v>
      </c>
      <c r="L2861" s="754">
        <v>0</v>
      </c>
      <c r="M2861" s="754">
        <f t="shared" si="113"/>
        <v>0</v>
      </c>
      <c r="N2861" s="756">
        <v>0</v>
      </c>
      <c r="O2861" s="720">
        <f t="shared" si="114"/>
        <v>0</v>
      </c>
    </row>
    <row r="2862" spans="1:15" x14ac:dyDescent="0.25">
      <c r="A2862" s="207" t="str">
        <f>VLOOKUP(RIGHT(E2862,3)+0,SchLocTable!$A$2:$B$47,2,FALSE)</f>
        <v>Edison</v>
      </c>
      <c r="B2862" s="207" t="str">
        <f>VLOOKUP(VALUE(D2862),$D$3:F$106,3,FALSE)</f>
        <v>School Nurses</v>
      </c>
      <c r="C2862" s="751" t="s">
        <v>246</v>
      </c>
      <c r="D2862" s="751" t="s">
        <v>862</v>
      </c>
      <c r="E2862" s="751" t="s">
        <v>871</v>
      </c>
      <c r="F2862" s="751" t="s">
        <v>331</v>
      </c>
      <c r="G2862" s="752" t="s">
        <v>1681</v>
      </c>
      <c r="H2862" s="753">
        <v>52504</v>
      </c>
      <c r="I2862" s="754">
        <v>0</v>
      </c>
      <c r="J2862" s="754">
        <v>0</v>
      </c>
      <c r="K2862" s="754">
        <v>0</v>
      </c>
      <c r="L2862" s="754">
        <v>0</v>
      </c>
      <c r="M2862" s="754">
        <f t="shared" si="113"/>
        <v>0</v>
      </c>
      <c r="N2862" s="756">
        <v>0</v>
      </c>
      <c r="O2862" s="720">
        <f t="shared" si="114"/>
        <v>0</v>
      </c>
    </row>
    <row r="2863" spans="1:15" x14ac:dyDescent="0.25">
      <c r="A2863" s="207" t="str">
        <f>VLOOKUP(RIGHT(E2863,3)+0,SchLocTable!$A$2:$B$47,2,FALSE)</f>
        <v>Edison</v>
      </c>
      <c r="B2863" s="207" t="str">
        <f>VLOOKUP(VALUE(D2863),$D$3:F$106,3,FALSE)</f>
        <v>School Nurses</v>
      </c>
      <c r="C2863" s="755" t="s">
        <v>246</v>
      </c>
      <c r="D2863" s="751" t="s">
        <v>862</v>
      </c>
      <c r="E2863" s="751" t="s">
        <v>871</v>
      </c>
      <c r="F2863" s="751" t="s">
        <v>259</v>
      </c>
      <c r="G2863" s="752" t="s">
        <v>1681</v>
      </c>
      <c r="H2863" s="753">
        <v>52917</v>
      </c>
      <c r="I2863" s="754">
        <v>0</v>
      </c>
      <c r="J2863" s="754">
        <v>0</v>
      </c>
      <c r="K2863" s="754">
        <v>0</v>
      </c>
      <c r="L2863" s="754">
        <v>0</v>
      </c>
      <c r="M2863" s="754">
        <f t="shared" si="113"/>
        <v>0</v>
      </c>
      <c r="N2863" s="756">
        <v>0</v>
      </c>
      <c r="O2863" s="720">
        <f t="shared" si="114"/>
        <v>0</v>
      </c>
    </row>
    <row r="2864" spans="1:15" x14ac:dyDescent="0.25">
      <c r="A2864" s="207" t="str">
        <f>VLOOKUP(RIGHT(E2864,3)+0,SchLocTable!$A$2:$B$47,2,FALSE)</f>
        <v>Marin</v>
      </c>
      <c r="B2864" s="207" t="str">
        <f>VLOOKUP(VALUE(D2864),$D$3:F$106,3,FALSE)</f>
        <v>School Nurses</v>
      </c>
      <c r="C2864" s="751" t="s">
        <v>246</v>
      </c>
      <c r="D2864" s="751" t="s">
        <v>862</v>
      </c>
      <c r="E2864" s="751" t="s">
        <v>1625</v>
      </c>
      <c r="F2864" s="751" t="s">
        <v>248</v>
      </c>
      <c r="G2864" s="752">
        <v>1</v>
      </c>
      <c r="H2864" s="753">
        <v>51000</v>
      </c>
      <c r="I2864" s="754">
        <v>319922.82</v>
      </c>
      <c r="J2864" s="754">
        <v>0</v>
      </c>
      <c r="K2864" s="754">
        <v>0</v>
      </c>
      <c r="L2864" s="754">
        <v>24236.51</v>
      </c>
      <c r="M2864" s="754">
        <f t="shared" si="113"/>
        <v>24236.51</v>
      </c>
      <c r="N2864" s="756">
        <v>319922.82</v>
      </c>
      <c r="O2864" s="720">
        <f t="shared" si="114"/>
        <v>0</v>
      </c>
    </row>
    <row r="2865" spans="1:15" x14ac:dyDescent="0.25">
      <c r="A2865" s="207" t="str">
        <f>VLOOKUP(RIGHT(E2865,3)+0,SchLocTable!$A$2:$B$47,2,FALSE)</f>
        <v>Marin</v>
      </c>
      <c r="B2865" s="207" t="str">
        <f>VLOOKUP(VALUE(D2865),$D$3:F$106,3,FALSE)</f>
        <v>School Nurses</v>
      </c>
      <c r="C2865" s="751" t="s">
        <v>246</v>
      </c>
      <c r="D2865" s="751" t="s">
        <v>862</v>
      </c>
      <c r="E2865" s="751" t="s">
        <v>1625</v>
      </c>
      <c r="F2865" s="751" t="s">
        <v>257</v>
      </c>
      <c r="G2865" s="752" t="s">
        <v>1681</v>
      </c>
      <c r="H2865" s="753">
        <v>51140</v>
      </c>
      <c r="I2865" s="754">
        <v>0</v>
      </c>
      <c r="J2865" s="754">
        <v>0</v>
      </c>
      <c r="K2865" s="754">
        <v>0</v>
      </c>
      <c r="L2865" s="754">
        <v>0</v>
      </c>
      <c r="M2865" s="754">
        <f t="shared" si="113"/>
        <v>0</v>
      </c>
      <c r="N2865" s="756">
        <v>0</v>
      </c>
      <c r="O2865" s="720">
        <f t="shared" si="114"/>
        <v>0</v>
      </c>
    </row>
    <row r="2866" spans="1:15" x14ac:dyDescent="0.25">
      <c r="A2866" s="207" t="str">
        <f>VLOOKUP(RIGHT(E2866,3)+0,SchLocTable!$A$2:$B$47,2,FALSE)</f>
        <v>Marin</v>
      </c>
      <c r="B2866" s="207" t="str">
        <f>VLOOKUP(VALUE(D2866),$D$3:F$106,3,FALSE)</f>
        <v>School Nurses</v>
      </c>
      <c r="C2866" s="751" t="s">
        <v>246</v>
      </c>
      <c r="D2866" s="751" t="s">
        <v>862</v>
      </c>
      <c r="E2866" s="751" t="s">
        <v>1625</v>
      </c>
      <c r="F2866" s="751" t="s">
        <v>254</v>
      </c>
      <c r="G2866" s="752" t="s">
        <v>1681</v>
      </c>
      <c r="H2866" s="753">
        <v>52360</v>
      </c>
      <c r="I2866" s="754">
        <v>4638.88</v>
      </c>
      <c r="J2866" s="754">
        <v>0</v>
      </c>
      <c r="K2866" s="754">
        <v>0</v>
      </c>
      <c r="L2866" s="754">
        <v>351.43</v>
      </c>
      <c r="M2866" s="754">
        <f t="shared" si="113"/>
        <v>351.43</v>
      </c>
      <c r="N2866" s="756">
        <v>4638.88</v>
      </c>
      <c r="O2866" s="720">
        <f t="shared" si="114"/>
        <v>0</v>
      </c>
    </row>
    <row r="2867" spans="1:15" x14ac:dyDescent="0.25">
      <c r="A2867" s="207" t="str">
        <f>VLOOKUP(RIGHT(E2867,3)+0,SchLocTable!$A$2:$B$47,2,FALSE)</f>
        <v>Marin</v>
      </c>
      <c r="B2867" s="207" t="str">
        <f>VLOOKUP(VALUE(D2867),$D$3:F$106,3,FALSE)</f>
        <v>School Nurses</v>
      </c>
      <c r="C2867" s="751" t="s">
        <v>246</v>
      </c>
      <c r="D2867" s="751" t="s">
        <v>862</v>
      </c>
      <c r="E2867" s="751" t="s">
        <v>1625</v>
      </c>
      <c r="F2867" s="751" t="s">
        <v>292</v>
      </c>
      <c r="G2867" s="752" t="s">
        <v>1681</v>
      </c>
      <c r="H2867" s="753">
        <v>52385</v>
      </c>
      <c r="I2867" s="754">
        <v>79.83</v>
      </c>
      <c r="J2867" s="754">
        <v>0</v>
      </c>
      <c r="K2867" s="754">
        <v>0</v>
      </c>
      <c r="L2867" s="754">
        <v>79.83</v>
      </c>
      <c r="M2867" s="754">
        <f t="shared" si="113"/>
        <v>79.83</v>
      </c>
      <c r="N2867" s="756">
        <v>79.83</v>
      </c>
      <c r="O2867" s="720">
        <f t="shared" si="114"/>
        <v>0</v>
      </c>
    </row>
    <row r="2868" spans="1:15" x14ac:dyDescent="0.25">
      <c r="A2868" s="207" t="str">
        <f>VLOOKUP(RIGHT(E2868,3)+0,SchLocTable!$A$2:$B$47,2,FALSE)</f>
        <v>Marin</v>
      </c>
      <c r="B2868" s="207" t="str">
        <f>VLOOKUP(VALUE(D2868),$D$3:F$106,3,FALSE)</f>
        <v>School Nurses</v>
      </c>
      <c r="C2868" s="751" t="s">
        <v>246</v>
      </c>
      <c r="D2868" s="751" t="s">
        <v>862</v>
      </c>
      <c r="E2868" s="751" t="s">
        <v>1625</v>
      </c>
      <c r="F2868" s="751" t="s">
        <v>331</v>
      </c>
      <c r="G2868" s="752" t="s">
        <v>1681</v>
      </c>
      <c r="H2868" s="753">
        <v>52504</v>
      </c>
      <c r="I2868" s="754">
        <v>65341.9</v>
      </c>
      <c r="J2868" s="754">
        <v>0</v>
      </c>
      <c r="K2868" s="754">
        <v>0</v>
      </c>
      <c r="L2868" s="754">
        <v>4460.09</v>
      </c>
      <c r="M2868" s="754">
        <f t="shared" si="113"/>
        <v>4460.09</v>
      </c>
      <c r="N2868" s="756">
        <v>65341.9</v>
      </c>
      <c r="O2868" s="720">
        <f t="shared" si="114"/>
        <v>0</v>
      </c>
    </row>
    <row r="2869" spans="1:15" x14ac:dyDescent="0.25">
      <c r="A2869" s="207" t="str">
        <f>VLOOKUP(RIGHT(E2869,3)+0,SchLocTable!$A$2:$B$47,2,FALSE)</f>
        <v>Marin</v>
      </c>
      <c r="B2869" s="207" t="str">
        <f>VLOOKUP(VALUE(D2869),$D$3:F$106,3,FALSE)</f>
        <v>School Nurses</v>
      </c>
      <c r="C2869" s="755" t="s">
        <v>246</v>
      </c>
      <c r="D2869" s="751" t="s">
        <v>862</v>
      </c>
      <c r="E2869" s="751" t="s">
        <v>1625</v>
      </c>
      <c r="F2869" s="751" t="s">
        <v>259</v>
      </c>
      <c r="G2869" s="752" t="s">
        <v>1681</v>
      </c>
      <c r="H2869" s="753">
        <v>52917</v>
      </c>
      <c r="I2869" s="754">
        <v>0</v>
      </c>
      <c r="J2869" s="754">
        <v>0</v>
      </c>
      <c r="K2869" s="754">
        <v>0</v>
      </c>
      <c r="L2869" s="754">
        <v>0</v>
      </c>
      <c r="M2869" s="754">
        <f t="shared" si="113"/>
        <v>0</v>
      </c>
      <c r="N2869" s="756">
        <v>0</v>
      </c>
      <c r="O2869" s="720">
        <f t="shared" si="114"/>
        <v>0</v>
      </c>
    </row>
    <row r="2870" spans="1:15" x14ac:dyDescent="0.25">
      <c r="A2870" s="207" t="str">
        <f>VLOOKUP(RIGHT(E2870,3)+0,SchLocTable!$A$2:$B$47,2,FALSE)</f>
        <v>Marin</v>
      </c>
      <c r="B2870" s="207" t="str">
        <f>VLOOKUP(VALUE(D2870),$D$3:F$106,3,FALSE)</f>
        <v>School Nurses</v>
      </c>
      <c r="C2870" s="751" t="s">
        <v>246</v>
      </c>
      <c r="D2870" s="751" t="s">
        <v>862</v>
      </c>
      <c r="E2870" s="751" t="s">
        <v>1625</v>
      </c>
      <c r="F2870" s="751" t="s">
        <v>333</v>
      </c>
      <c r="G2870" s="752" t="s">
        <v>1681</v>
      </c>
      <c r="H2870" s="753">
        <v>52920</v>
      </c>
      <c r="I2870" s="754">
        <v>0</v>
      </c>
      <c r="J2870" s="754">
        <v>0</v>
      </c>
      <c r="K2870" s="754">
        <v>0</v>
      </c>
      <c r="L2870" s="754">
        <v>0</v>
      </c>
      <c r="M2870" s="754">
        <f t="shared" si="113"/>
        <v>0</v>
      </c>
      <c r="N2870" s="756">
        <v>0</v>
      </c>
      <c r="O2870" s="720">
        <f t="shared" si="114"/>
        <v>0</v>
      </c>
    </row>
    <row r="2871" spans="1:15" x14ac:dyDescent="0.25">
      <c r="A2871" s="207" t="str">
        <f>VLOOKUP(RIGHT(E2871,3)+0,SchLocTable!$A$2:$B$47,2,FALSE)</f>
        <v>Hall</v>
      </c>
      <c r="B2871" s="207" t="str">
        <f>VLOOKUP(VALUE(D2871),$D$3:F$106,3,FALSE)</f>
        <v>School Nurses</v>
      </c>
      <c r="C2871" s="751" t="s">
        <v>246</v>
      </c>
      <c r="D2871" s="751" t="s">
        <v>862</v>
      </c>
      <c r="E2871" s="751" t="s">
        <v>872</v>
      </c>
      <c r="F2871" s="751" t="s">
        <v>248</v>
      </c>
      <c r="G2871" s="752">
        <v>1</v>
      </c>
      <c r="H2871" s="753">
        <v>51000</v>
      </c>
      <c r="I2871" s="754">
        <v>71574.03</v>
      </c>
      <c r="J2871" s="754">
        <v>0</v>
      </c>
      <c r="K2871" s="754">
        <v>0</v>
      </c>
      <c r="L2871" s="754">
        <v>21938.400000000001</v>
      </c>
      <c r="M2871" s="754">
        <f t="shared" si="113"/>
        <v>21938.400000000001</v>
      </c>
      <c r="N2871" s="756">
        <v>71574.03</v>
      </c>
      <c r="O2871" s="720">
        <f t="shared" si="114"/>
        <v>0</v>
      </c>
    </row>
    <row r="2872" spans="1:15" x14ac:dyDescent="0.25">
      <c r="A2872" s="207" t="str">
        <f>VLOOKUP(RIGHT(E2872,3)+0,SchLocTable!$A$2:$B$47,2,FALSE)</f>
        <v>Hall</v>
      </c>
      <c r="B2872" s="207" t="str">
        <f>VLOOKUP(VALUE(D2872),$D$3:F$106,3,FALSE)</f>
        <v>School Nurses</v>
      </c>
      <c r="C2872" s="751" t="s">
        <v>246</v>
      </c>
      <c r="D2872" s="751" t="s">
        <v>862</v>
      </c>
      <c r="E2872" s="751" t="s">
        <v>872</v>
      </c>
      <c r="F2872" s="751" t="s">
        <v>257</v>
      </c>
      <c r="G2872" s="752" t="s">
        <v>1681</v>
      </c>
      <c r="H2872" s="753">
        <v>51140</v>
      </c>
      <c r="I2872" s="754">
        <v>1190</v>
      </c>
      <c r="J2872" s="754">
        <v>0</v>
      </c>
      <c r="K2872" s="754">
        <v>0</v>
      </c>
      <c r="L2872" s="754">
        <v>0</v>
      </c>
      <c r="M2872" s="754">
        <f t="shared" si="113"/>
        <v>0</v>
      </c>
      <c r="N2872" s="756">
        <v>1190</v>
      </c>
      <c r="O2872" s="720">
        <f t="shared" si="114"/>
        <v>0</v>
      </c>
    </row>
    <row r="2873" spans="1:15" x14ac:dyDescent="0.25">
      <c r="A2873" s="207" t="str">
        <f>VLOOKUP(RIGHT(E2873,3)+0,SchLocTable!$A$2:$B$47,2,FALSE)</f>
        <v>Hall</v>
      </c>
      <c r="B2873" s="207" t="str">
        <f>VLOOKUP(VALUE(D2873),$D$3:F$106,3,FALSE)</f>
        <v>School Nurses</v>
      </c>
      <c r="C2873" s="751" t="s">
        <v>246</v>
      </c>
      <c r="D2873" s="751" t="s">
        <v>862</v>
      </c>
      <c r="E2873" s="751" t="s">
        <v>872</v>
      </c>
      <c r="F2873" s="751" t="s">
        <v>254</v>
      </c>
      <c r="G2873" s="752" t="s">
        <v>1681</v>
      </c>
      <c r="H2873" s="753">
        <v>52360</v>
      </c>
      <c r="I2873" s="754">
        <v>1005.1</v>
      </c>
      <c r="J2873" s="754">
        <v>0</v>
      </c>
      <c r="K2873" s="754">
        <v>0</v>
      </c>
      <c r="L2873" s="754">
        <v>285.38</v>
      </c>
      <c r="M2873" s="754">
        <f t="shared" si="113"/>
        <v>285.38</v>
      </c>
      <c r="N2873" s="756">
        <v>1005.1</v>
      </c>
      <c r="O2873" s="720">
        <f t="shared" si="114"/>
        <v>0</v>
      </c>
    </row>
    <row r="2874" spans="1:15" x14ac:dyDescent="0.25">
      <c r="A2874" s="207" t="str">
        <f>VLOOKUP(RIGHT(E2874,3)+0,SchLocTable!$A$2:$B$47,2,FALSE)</f>
        <v>Hall</v>
      </c>
      <c r="B2874" s="207" t="str">
        <f>VLOOKUP(VALUE(D2874),$D$3:F$106,3,FALSE)</f>
        <v>School Nurses</v>
      </c>
      <c r="C2874" s="751" t="s">
        <v>246</v>
      </c>
      <c r="D2874" s="751" t="s">
        <v>862</v>
      </c>
      <c r="E2874" s="751" t="s">
        <v>872</v>
      </c>
      <c r="F2874" s="751" t="s">
        <v>331</v>
      </c>
      <c r="G2874" s="752" t="s">
        <v>1681</v>
      </c>
      <c r="H2874" s="753">
        <v>52504</v>
      </c>
      <c r="I2874" s="754">
        <v>14737.1</v>
      </c>
      <c r="J2874" s="754">
        <v>0</v>
      </c>
      <c r="K2874" s="754">
        <v>0</v>
      </c>
      <c r="L2874" s="754">
        <v>4517.12</v>
      </c>
      <c r="M2874" s="754">
        <f t="shared" si="113"/>
        <v>4517.12</v>
      </c>
      <c r="N2874" s="756">
        <v>14737.1</v>
      </c>
      <c r="O2874" s="720">
        <f t="shared" si="114"/>
        <v>0</v>
      </c>
    </row>
    <row r="2875" spans="1:15" x14ac:dyDescent="0.25">
      <c r="A2875" s="207" t="str">
        <f>VLOOKUP(RIGHT(E2875,3)+0,SchLocTable!$A$2:$B$47,2,FALSE)</f>
        <v>Hall</v>
      </c>
      <c r="B2875" s="207" t="str">
        <f>VLOOKUP(VALUE(D2875),$D$3:F$106,3,FALSE)</f>
        <v>School Nurses</v>
      </c>
      <c r="C2875" s="751" t="s">
        <v>246</v>
      </c>
      <c r="D2875" s="751" t="s">
        <v>862</v>
      </c>
      <c r="E2875" s="751" t="s">
        <v>872</v>
      </c>
      <c r="F2875" s="751" t="s">
        <v>259</v>
      </c>
      <c r="G2875" s="752" t="s">
        <v>1681</v>
      </c>
      <c r="H2875" s="753">
        <v>52917</v>
      </c>
      <c r="I2875" s="754">
        <v>27881.59</v>
      </c>
      <c r="J2875" s="754">
        <v>0</v>
      </c>
      <c r="K2875" s="754">
        <v>0</v>
      </c>
      <c r="L2875" s="754">
        <v>8546.08</v>
      </c>
      <c r="M2875" s="754">
        <f t="shared" si="113"/>
        <v>8546.08</v>
      </c>
      <c r="N2875" s="756">
        <v>27881.59</v>
      </c>
      <c r="O2875" s="720">
        <f t="shared" si="114"/>
        <v>0</v>
      </c>
    </row>
    <row r="2876" spans="1:15" x14ac:dyDescent="0.25">
      <c r="A2876" s="207" t="str">
        <f>VLOOKUP(RIGHT(E2876,3)+0,SchLocTable!$A$2:$B$47,2,FALSE)</f>
        <v>Hall</v>
      </c>
      <c r="B2876" s="207" t="str">
        <f>VLOOKUP(VALUE(D2876),$D$3:F$106,3,FALSE)</f>
        <v>School Nurses</v>
      </c>
      <c r="C2876" s="751" t="s">
        <v>246</v>
      </c>
      <c r="D2876" s="751" t="s">
        <v>862</v>
      </c>
      <c r="E2876" s="751" t="s">
        <v>872</v>
      </c>
      <c r="F2876" s="751" t="s">
        <v>864</v>
      </c>
      <c r="G2876" s="752" t="s">
        <v>1681</v>
      </c>
      <c r="H2876" s="751">
        <v>53905</v>
      </c>
      <c r="I2876" s="754">
        <v>500</v>
      </c>
      <c r="J2876" s="754">
        <v>0</v>
      </c>
      <c r="K2876" s="754">
        <v>0</v>
      </c>
      <c r="L2876" s="754">
        <v>500</v>
      </c>
      <c r="M2876" s="754">
        <f t="shared" si="113"/>
        <v>500</v>
      </c>
      <c r="N2876" s="756">
        <v>500</v>
      </c>
      <c r="O2876" s="720">
        <f t="shared" si="114"/>
        <v>0</v>
      </c>
    </row>
    <row r="2877" spans="1:15" x14ac:dyDescent="0.25">
      <c r="A2877" s="207" t="str">
        <f>VLOOKUP(RIGHT(E2877,3)+0,SchLocTable!$A$2:$B$47,2,FALSE)</f>
        <v>Hallen</v>
      </c>
      <c r="B2877" s="207" t="str">
        <f>VLOOKUP(VALUE(D2877),$D$3:F$106,3,FALSE)</f>
        <v>School Nurses</v>
      </c>
      <c r="C2877" s="751" t="s">
        <v>246</v>
      </c>
      <c r="D2877" s="751" t="s">
        <v>862</v>
      </c>
      <c r="E2877" s="751" t="s">
        <v>873</v>
      </c>
      <c r="F2877" s="751" t="s">
        <v>248</v>
      </c>
      <c r="G2877" s="752" t="s">
        <v>1681</v>
      </c>
      <c r="H2877" s="753">
        <v>51000</v>
      </c>
      <c r="I2877" s="754">
        <v>0</v>
      </c>
      <c r="J2877" s="754">
        <v>0</v>
      </c>
      <c r="K2877" s="754">
        <v>0</v>
      </c>
      <c r="L2877" s="754">
        <v>0</v>
      </c>
      <c r="M2877" s="754">
        <f t="shared" si="113"/>
        <v>0</v>
      </c>
      <c r="N2877" s="756">
        <v>0</v>
      </c>
      <c r="O2877" s="720">
        <f t="shared" si="114"/>
        <v>0</v>
      </c>
    </row>
    <row r="2878" spans="1:15" x14ac:dyDescent="0.25">
      <c r="A2878" s="207" t="str">
        <f>VLOOKUP(RIGHT(E2878,3)+0,SchLocTable!$A$2:$B$47,2,FALSE)</f>
        <v>Hallen</v>
      </c>
      <c r="B2878" s="207" t="str">
        <f>VLOOKUP(VALUE(D2878),$D$3:F$106,3,FALSE)</f>
        <v>School Nurses</v>
      </c>
      <c r="C2878" s="751" t="s">
        <v>246</v>
      </c>
      <c r="D2878" s="751" t="s">
        <v>862</v>
      </c>
      <c r="E2878" s="751" t="s">
        <v>873</v>
      </c>
      <c r="F2878" s="751" t="s">
        <v>328</v>
      </c>
      <c r="G2878" s="752" t="s">
        <v>1681</v>
      </c>
      <c r="H2878" s="753">
        <v>51318</v>
      </c>
      <c r="I2878" s="754">
        <v>0</v>
      </c>
      <c r="J2878" s="754">
        <v>0</v>
      </c>
      <c r="K2878" s="754">
        <v>0</v>
      </c>
      <c r="L2878" s="754">
        <v>0</v>
      </c>
      <c r="M2878" s="754">
        <f t="shared" si="113"/>
        <v>0</v>
      </c>
      <c r="N2878" s="756">
        <v>0</v>
      </c>
      <c r="O2878" s="720">
        <f t="shared" si="114"/>
        <v>0</v>
      </c>
    </row>
    <row r="2879" spans="1:15" x14ac:dyDescent="0.25">
      <c r="A2879" s="207" t="str">
        <f>VLOOKUP(RIGHT(E2879,3)+0,SchLocTable!$A$2:$B$47,2,FALSE)</f>
        <v>Hallen</v>
      </c>
      <c r="B2879" s="207" t="str">
        <f>VLOOKUP(VALUE(D2879),$D$3:F$106,3,FALSE)</f>
        <v>School Nurses</v>
      </c>
      <c r="C2879" s="751" t="s">
        <v>246</v>
      </c>
      <c r="D2879" s="751" t="s">
        <v>862</v>
      </c>
      <c r="E2879" s="751" t="s">
        <v>873</v>
      </c>
      <c r="F2879" s="751" t="s">
        <v>254</v>
      </c>
      <c r="G2879" s="752" t="s">
        <v>1681</v>
      </c>
      <c r="H2879" s="753">
        <v>52360</v>
      </c>
      <c r="I2879" s="754">
        <v>0</v>
      </c>
      <c r="J2879" s="754">
        <v>0</v>
      </c>
      <c r="K2879" s="754">
        <v>0</v>
      </c>
      <c r="L2879" s="754">
        <v>0</v>
      </c>
      <c r="M2879" s="754">
        <f t="shared" ref="M2879:M2942" si="115">SUM(J2879:L2879)</f>
        <v>0</v>
      </c>
      <c r="N2879" s="756">
        <v>0</v>
      </c>
      <c r="O2879" s="720">
        <f t="shared" ref="O2879:O2942" si="116">I2879-N2879</f>
        <v>0</v>
      </c>
    </row>
    <row r="2880" spans="1:15" x14ac:dyDescent="0.25">
      <c r="A2880" s="207" t="str">
        <f>VLOOKUP(RIGHT(E2880,3)+0,SchLocTable!$A$2:$B$47,2,FALSE)</f>
        <v>Hallen</v>
      </c>
      <c r="B2880" s="207" t="str">
        <f>VLOOKUP(VALUE(D2880),$D$3:F$106,3,FALSE)</f>
        <v>School Nurses</v>
      </c>
      <c r="C2880" s="751" t="s">
        <v>246</v>
      </c>
      <c r="D2880" s="751" t="s">
        <v>862</v>
      </c>
      <c r="E2880" s="751" t="s">
        <v>873</v>
      </c>
      <c r="F2880" s="751" t="s">
        <v>331</v>
      </c>
      <c r="G2880" s="752" t="s">
        <v>1681</v>
      </c>
      <c r="H2880" s="753">
        <v>52504</v>
      </c>
      <c r="I2880" s="754">
        <v>0</v>
      </c>
      <c r="J2880" s="754">
        <v>0</v>
      </c>
      <c r="K2880" s="754">
        <v>0</v>
      </c>
      <c r="L2880" s="754">
        <v>0</v>
      </c>
      <c r="M2880" s="754">
        <f t="shared" si="115"/>
        <v>0</v>
      </c>
      <c r="N2880" s="756">
        <v>0</v>
      </c>
      <c r="O2880" s="720">
        <f t="shared" si="116"/>
        <v>0</v>
      </c>
    </row>
    <row r="2881" spans="1:15" x14ac:dyDescent="0.25">
      <c r="A2881" s="207" t="str">
        <f>VLOOKUP(RIGHT(E2881,3)+0,SchLocTable!$A$2:$B$47,2,FALSE)</f>
        <v>Hallen</v>
      </c>
      <c r="B2881" s="207" t="str">
        <f>VLOOKUP(VALUE(D2881),$D$3:F$106,3,FALSE)</f>
        <v>School Nurses</v>
      </c>
      <c r="C2881" s="751" t="s">
        <v>246</v>
      </c>
      <c r="D2881" s="751" t="s">
        <v>862</v>
      </c>
      <c r="E2881" s="751" t="s">
        <v>873</v>
      </c>
      <c r="F2881" s="751" t="s">
        <v>259</v>
      </c>
      <c r="G2881" s="752" t="s">
        <v>1681</v>
      </c>
      <c r="H2881" s="753">
        <v>52917</v>
      </c>
      <c r="I2881" s="754">
        <v>0</v>
      </c>
      <c r="J2881" s="754">
        <v>0</v>
      </c>
      <c r="K2881" s="754">
        <v>0</v>
      </c>
      <c r="L2881" s="754">
        <v>0</v>
      </c>
      <c r="M2881" s="754">
        <f t="shared" si="115"/>
        <v>0</v>
      </c>
      <c r="N2881" s="756">
        <v>0</v>
      </c>
      <c r="O2881" s="720">
        <f t="shared" si="116"/>
        <v>0</v>
      </c>
    </row>
    <row r="2882" spans="1:15" x14ac:dyDescent="0.25">
      <c r="A2882" s="207" t="str">
        <f>VLOOKUP(RIGHT(E2882,3)+0,SchLocTable!$A$2:$B$47,2,FALSE)</f>
        <v>Hooker</v>
      </c>
      <c r="B2882" s="207" t="str">
        <f>VLOOKUP(VALUE(D2882),$D$3:F$106,3,FALSE)</f>
        <v>School Nurses</v>
      </c>
      <c r="C2882" s="751" t="s">
        <v>246</v>
      </c>
      <c r="D2882" s="751" t="s">
        <v>862</v>
      </c>
      <c r="E2882" s="751" t="s">
        <v>874</v>
      </c>
      <c r="F2882" s="751" t="s">
        <v>248</v>
      </c>
      <c r="G2882" s="752">
        <v>1</v>
      </c>
      <c r="H2882" s="753">
        <v>51000</v>
      </c>
      <c r="I2882" s="754">
        <v>68687.37</v>
      </c>
      <c r="J2882" s="754">
        <v>0</v>
      </c>
      <c r="K2882" s="754">
        <v>0</v>
      </c>
      <c r="L2882" s="754">
        <v>21053.599999999999</v>
      </c>
      <c r="M2882" s="754">
        <f t="shared" si="115"/>
        <v>21053.599999999999</v>
      </c>
      <c r="N2882" s="756">
        <v>68687.37</v>
      </c>
      <c r="O2882" s="720">
        <f t="shared" si="116"/>
        <v>0</v>
      </c>
    </row>
    <row r="2883" spans="1:15" x14ac:dyDescent="0.25">
      <c r="A2883" s="207" t="str">
        <f>VLOOKUP(RIGHT(E2883,3)+0,SchLocTable!$A$2:$B$47,2,FALSE)</f>
        <v>Hooker</v>
      </c>
      <c r="B2883" s="207" t="str">
        <f>VLOOKUP(VALUE(D2883),$D$3:F$106,3,FALSE)</f>
        <v>School Nurses</v>
      </c>
      <c r="C2883" s="751" t="s">
        <v>246</v>
      </c>
      <c r="D2883" s="751" t="s">
        <v>862</v>
      </c>
      <c r="E2883" s="751" t="s">
        <v>874</v>
      </c>
      <c r="F2883" s="751" t="s">
        <v>257</v>
      </c>
      <c r="G2883" s="752" t="s">
        <v>1681</v>
      </c>
      <c r="H2883" s="753">
        <v>51140</v>
      </c>
      <c r="I2883" s="754">
        <v>0</v>
      </c>
      <c r="J2883" s="754">
        <v>0</v>
      </c>
      <c r="K2883" s="754">
        <v>0</v>
      </c>
      <c r="L2883" s="754">
        <v>0</v>
      </c>
      <c r="M2883" s="754">
        <f t="shared" si="115"/>
        <v>0</v>
      </c>
      <c r="N2883" s="756">
        <v>0</v>
      </c>
      <c r="O2883" s="720">
        <f t="shared" si="116"/>
        <v>0</v>
      </c>
    </row>
    <row r="2884" spans="1:15" x14ac:dyDescent="0.25">
      <c r="A2884" s="207" t="str">
        <f>VLOOKUP(RIGHT(E2884,3)+0,SchLocTable!$A$2:$B$47,2,FALSE)</f>
        <v>Hooker</v>
      </c>
      <c r="B2884" s="207" t="str">
        <f>VLOOKUP(VALUE(D2884),$D$3:F$106,3,FALSE)</f>
        <v>School Nurses</v>
      </c>
      <c r="C2884" s="751" t="s">
        <v>246</v>
      </c>
      <c r="D2884" s="751" t="s">
        <v>862</v>
      </c>
      <c r="E2884" s="751" t="s">
        <v>874</v>
      </c>
      <c r="F2884" s="751" t="s">
        <v>254</v>
      </c>
      <c r="G2884" s="752" t="s">
        <v>1681</v>
      </c>
      <c r="H2884" s="753">
        <v>52360</v>
      </c>
      <c r="I2884" s="754">
        <v>985.94</v>
      </c>
      <c r="J2884" s="754">
        <v>0</v>
      </c>
      <c r="K2884" s="754">
        <v>0</v>
      </c>
      <c r="L2884" s="754">
        <v>295.25</v>
      </c>
      <c r="M2884" s="754">
        <f t="shared" si="115"/>
        <v>295.25</v>
      </c>
      <c r="N2884" s="756">
        <v>985.94</v>
      </c>
      <c r="O2884" s="720">
        <f t="shared" si="116"/>
        <v>0</v>
      </c>
    </row>
    <row r="2885" spans="1:15" x14ac:dyDescent="0.25">
      <c r="A2885" s="207" t="str">
        <f>VLOOKUP(RIGHT(E2885,3)+0,SchLocTable!$A$2:$B$47,2,FALSE)</f>
        <v>Hooker</v>
      </c>
      <c r="B2885" s="207" t="str">
        <f>VLOOKUP(VALUE(D2885),$D$3:F$106,3,FALSE)</f>
        <v>School Nurses</v>
      </c>
      <c r="C2885" s="751" t="s">
        <v>246</v>
      </c>
      <c r="D2885" s="751" t="s">
        <v>862</v>
      </c>
      <c r="E2885" s="751" t="s">
        <v>874</v>
      </c>
      <c r="F2885" s="751" t="s">
        <v>331</v>
      </c>
      <c r="G2885" s="752" t="s">
        <v>1681</v>
      </c>
      <c r="H2885" s="753">
        <v>52504</v>
      </c>
      <c r="I2885" s="754">
        <v>14142.67</v>
      </c>
      <c r="J2885" s="754">
        <v>0</v>
      </c>
      <c r="K2885" s="754">
        <v>0</v>
      </c>
      <c r="L2885" s="754">
        <v>4334.88</v>
      </c>
      <c r="M2885" s="754">
        <f t="shared" si="115"/>
        <v>4334.88</v>
      </c>
      <c r="N2885" s="756">
        <v>14142.67</v>
      </c>
      <c r="O2885" s="720">
        <f t="shared" si="116"/>
        <v>0</v>
      </c>
    </row>
    <row r="2886" spans="1:15" x14ac:dyDescent="0.25">
      <c r="A2886" s="207" t="str">
        <f>VLOOKUP(RIGHT(E2886,3)+0,SchLocTable!$A$2:$B$47,2,FALSE)</f>
        <v>Hooker</v>
      </c>
      <c r="B2886" s="207" t="str">
        <f>VLOOKUP(VALUE(D2886),$D$3:F$106,3,FALSE)</f>
        <v>School Nurses</v>
      </c>
      <c r="C2886" s="751" t="s">
        <v>246</v>
      </c>
      <c r="D2886" s="751" t="s">
        <v>862</v>
      </c>
      <c r="E2886" s="751" t="s">
        <v>874</v>
      </c>
      <c r="F2886" s="751" t="s">
        <v>259</v>
      </c>
      <c r="G2886" s="752" t="s">
        <v>1681</v>
      </c>
      <c r="H2886" s="753">
        <v>52917</v>
      </c>
      <c r="I2886" s="754">
        <v>11043.43</v>
      </c>
      <c r="J2886" s="754">
        <v>0</v>
      </c>
      <c r="K2886" s="754">
        <v>0</v>
      </c>
      <c r="L2886" s="754">
        <v>3384.96</v>
      </c>
      <c r="M2886" s="754">
        <f t="shared" si="115"/>
        <v>3384.96</v>
      </c>
      <c r="N2886" s="756">
        <v>11043.43</v>
      </c>
      <c r="O2886" s="720">
        <f t="shared" si="116"/>
        <v>0</v>
      </c>
    </row>
    <row r="2887" spans="1:15" x14ac:dyDescent="0.25">
      <c r="A2887" s="207" t="str">
        <f>VLOOKUP(RIGHT(E2887,3)+0,SchLocTable!$A$2:$B$47,2,FALSE)</f>
        <v>Hooker</v>
      </c>
      <c r="B2887" s="207" t="str">
        <f>VLOOKUP(VALUE(D2887),$D$3:F$106,3,FALSE)</f>
        <v>School Nurses</v>
      </c>
      <c r="C2887" s="751" t="s">
        <v>246</v>
      </c>
      <c r="D2887" s="751" t="s">
        <v>862</v>
      </c>
      <c r="E2887" s="751" t="s">
        <v>874</v>
      </c>
      <c r="F2887" s="751" t="s">
        <v>864</v>
      </c>
      <c r="G2887" s="752" t="s">
        <v>1681</v>
      </c>
      <c r="H2887" s="753">
        <v>53905</v>
      </c>
      <c r="I2887" s="754">
        <v>500</v>
      </c>
      <c r="J2887" s="754">
        <v>0</v>
      </c>
      <c r="K2887" s="754">
        <v>0</v>
      </c>
      <c r="L2887" s="754">
        <v>0</v>
      </c>
      <c r="M2887" s="754">
        <f t="shared" si="115"/>
        <v>0</v>
      </c>
      <c r="N2887" s="756">
        <v>500</v>
      </c>
      <c r="O2887" s="720">
        <f t="shared" si="116"/>
        <v>0</v>
      </c>
    </row>
    <row r="2888" spans="1:15" x14ac:dyDescent="0.25">
      <c r="A2888" s="207" t="str">
        <f>VLOOKUP(RIGHT(E2888,3)+0,SchLocTable!$A$2:$B$47,2,FALSE)</f>
        <v>Batalla</v>
      </c>
      <c r="B2888" s="207" t="str">
        <f>VLOOKUP(VALUE(D2888),$D$3:F$106,3,FALSE)</f>
        <v>School Nurses</v>
      </c>
      <c r="C2888" s="751" t="s">
        <v>246</v>
      </c>
      <c r="D2888" s="751" t="s">
        <v>862</v>
      </c>
      <c r="E2888" s="751" t="s">
        <v>875</v>
      </c>
      <c r="F2888" s="751" t="s">
        <v>248</v>
      </c>
      <c r="G2888" s="752" t="s">
        <v>1681</v>
      </c>
      <c r="H2888" s="753">
        <v>51000</v>
      </c>
      <c r="I2888" s="754">
        <v>0</v>
      </c>
      <c r="J2888" s="754">
        <v>0</v>
      </c>
      <c r="K2888" s="754">
        <v>0</v>
      </c>
      <c r="L2888" s="754">
        <v>0</v>
      </c>
      <c r="M2888" s="754">
        <f t="shared" si="115"/>
        <v>0</v>
      </c>
      <c r="N2888" s="756">
        <v>0</v>
      </c>
      <c r="O2888" s="720">
        <f t="shared" si="116"/>
        <v>0</v>
      </c>
    </row>
    <row r="2889" spans="1:15" x14ac:dyDescent="0.25">
      <c r="A2889" s="207" t="str">
        <f>VLOOKUP(RIGHT(E2889,3)+0,SchLocTable!$A$2:$B$47,2,FALSE)</f>
        <v>Batalla</v>
      </c>
      <c r="B2889" s="207" t="str">
        <f>VLOOKUP(VALUE(D2889),$D$3:F$106,3,FALSE)</f>
        <v>School Nurses</v>
      </c>
      <c r="C2889" s="751" t="s">
        <v>246</v>
      </c>
      <c r="D2889" s="751" t="s">
        <v>862</v>
      </c>
      <c r="E2889" s="751" t="s">
        <v>875</v>
      </c>
      <c r="F2889" s="751" t="s">
        <v>257</v>
      </c>
      <c r="G2889" s="752" t="s">
        <v>1681</v>
      </c>
      <c r="H2889" s="753">
        <v>51140</v>
      </c>
      <c r="I2889" s="754">
        <v>0</v>
      </c>
      <c r="J2889" s="754">
        <v>0</v>
      </c>
      <c r="K2889" s="754">
        <v>0</v>
      </c>
      <c r="L2889" s="754">
        <v>0</v>
      </c>
      <c r="M2889" s="754">
        <f t="shared" si="115"/>
        <v>0</v>
      </c>
      <c r="N2889" s="756">
        <v>0</v>
      </c>
      <c r="O2889" s="720">
        <f t="shared" si="116"/>
        <v>0</v>
      </c>
    </row>
    <row r="2890" spans="1:15" x14ac:dyDescent="0.25">
      <c r="A2890" s="207" t="str">
        <f>VLOOKUP(RIGHT(E2890,3)+0,SchLocTable!$A$2:$B$47,2,FALSE)</f>
        <v>Batalla</v>
      </c>
      <c r="B2890" s="207" t="str">
        <f>VLOOKUP(VALUE(D2890),$D$3:F$106,3,FALSE)</f>
        <v>School Nurses</v>
      </c>
      <c r="C2890" s="751" t="s">
        <v>246</v>
      </c>
      <c r="D2890" s="751" t="s">
        <v>862</v>
      </c>
      <c r="E2890" s="751" t="s">
        <v>875</v>
      </c>
      <c r="F2890" s="751" t="s">
        <v>254</v>
      </c>
      <c r="G2890" s="752" t="s">
        <v>1681</v>
      </c>
      <c r="H2890" s="753">
        <v>52360</v>
      </c>
      <c r="I2890" s="754">
        <v>7.25</v>
      </c>
      <c r="J2890" s="754">
        <v>0</v>
      </c>
      <c r="K2890" s="754">
        <v>0</v>
      </c>
      <c r="L2890" s="754">
        <v>7.25</v>
      </c>
      <c r="M2890" s="754">
        <f t="shared" si="115"/>
        <v>7.25</v>
      </c>
      <c r="N2890" s="756">
        <v>7.25</v>
      </c>
      <c r="O2890" s="720">
        <f t="shared" si="116"/>
        <v>0</v>
      </c>
    </row>
    <row r="2891" spans="1:15" x14ac:dyDescent="0.25">
      <c r="A2891" s="207" t="str">
        <f>VLOOKUP(RIGHT(E2891,3)+0,SchLocTable!$A$2:$B$47,2,FALSE)</f>
        <v>Batalla</v>
      </c>
      <c r="B2891" s="207" t="str">
        <f>VLOOKUP(VALUE(D2891),$D$3:F$106,3,FALSE)</f>
        <v>School Nurses</v>
      </c>
      <c r="C2891" s="755" t="s">
        <v>246</v>
      </c>
      <c r="D2891" s="751" t="s">
        <v>862</v>
      </c>
      <c r="E2891" s="751" t="s">
        <v>875</v>
      </c>
      <c r="F2891" s="751" t="s">
        <v>331</v>
      </c>
      <c r="G2891" s="752" t="s">
        <v>1681</v>
      </c>
      <c r="H2891" s="753">
        <v>52504</v>
      </c>
      <c r="I2891" s="754">
        <v>0</v>
      </c>
      <c r="J2891" s="754">
        <v>0</v>
      </c>
      <c r="K2891" s="754">
        <v>0</v>
      </c>
      <c r="L2891" s="754">
        <v>0</v>
      </c>
      <c r="M2891" s="754">
        <f t="shared" si="115"/>
        <v>0</v>
      </c>
      <c r="N2891" s="756">
        <v>0</v>
      </c>
      <c r="O2891" s="720">
        <f t="shared" si="116"/>
        <v>0</v>
      </c>
    </row>
    <row r="2892" spans="1:15" x14ac:dyDescent="0.25">
      <c r="A2892" s="207" t="str">
        <f>VLOOKUP(RIGHT(E2892,3)+0,SchLocTable!$A$2:$B$47,2,FALSE)</f>
        <v>Batalla</v>
      </c>
      <c r="B2892" s="207" t="str">
        <f>VLOOKUP(VALUE(D2892),$D$3:F$106,3,FALSE)</f>
        <v>School Nurses</v>
      </c>
      <c r="C2892" s="751" t="s">
        <v>246</v>
      </c>
      <c r="D2892" s="751" t="s">
        <v>862</v>
      </c>
      <c r="E2892" s="751" t="s">
        <v>875</v>
      </c>
      <c r="F2892" s="751" t="s">
        <v>259</v>
      </c>
      <c r="G2892" s="752" t="s">
        <v>1681</v>
      </c>
      <c r="H2892" s="753">
        <v>52917</v>
      </c>
      <c r="I2892" s="754">
        <v>0</v>
      </c>
      <c r="J2892" s="754">
        <v>0</v>
      </c>
      <c r="K2892" s="754">
        <v>0</v>
      </c>
      <c r="L2892" s="754">
        <v>0</v>
      </c>
      <c r="M2892" s="754">
        <f t="shared" si="115"/>
        <v>0</v>
      </c>
      <c r="N2892" s="756">
        <v>0</v>
      </c>
      <c r="O2892" s="720">
        <f t="shared" si="116"/>
        <v>0</v>
      </c>
    </row>
    <row r="2893" spans="1:15" x14ac:dyDescent="0.25">
      <c r="A2893" s="207" t="str">
        <f>VLOOKUP(RIGHT(E2893,3)+0,SchLocTable!$A$2:$B$47,2,FALSE)</f>
        <v>Batalla</v>
      </c>
      <c r="B2893" s="207" t="str">
        <f>VLOOKUP(VALUE(D2893),$D$3:F$106,3,FALSE)</f>
        <v>School Nurses</v>
      </c>
      <c r="C2893" s="751" t="s">
        <v>246</v>
      </c>
      <c r="D2893" s="751" t="s">
        <v>862</v>
      </c>
      <c r="E2893" s="751" t="s">
        <v>875</v>
      </c>
      <c r="F2893" s="751" t="s">
        <v>864</v>
      </c>
      <c r="G2893" s="752" t="s">
        <v>1681</v>
      </c>
      <c r="H2893" s="753">
        <v>53905</v>
      </c>
      <c r="I2893" s="754">
        <v>500</v>
      </c>
      <c r="J2893" s="754">
        <v>0</v>
      </c>
      <c r="K2893" s="754">
        <v>0</v>
      </c>
      <c r="L2893" s="754">
        <v>500</v>
      </c>
      <c r="M2893" s="754">
        <f t="shared" si="115"/>
        <v>500</v>
      </c>
      <c r="N2893" s="756">
        <v>500</v>
      </c>
      <c r="O2893" s="720">
        <f t="shared" si="116"/>
        <v>0</v>
      </c>
    </row>
    <row r="2894" spans="1:15" x14ac:dyDescent="0.25">
      <c r="A2894" s="207" t="str">
        <f>VLOOKUP(RIGHT(E2894,3)+0,SchLocTable!$A$2:$B$47,2,FALSE)</f>
        <v>BMA HS</v>
      </c>
      <c r="B2894" s="207" t="str">
        <f>VLOOKUP(VALUE(D2894),$D$3:F$106,3,FALSE)</f>
        <v>School Nurses</v>
      </c>
      <c r="C2894" s="751" t="s">
        <v>246</v>
      </c>
      <c r="D2894" s="751" t="s">
        <v>862</v>
      </c>
      <c r="E2894" s="751" t="s">
        <v>876</v>
      </c>
      <c r="F2894" s="751" t="s">
        <v>248</v>
      </c>
      <c r="G2894" s="752">
        <v>1</v>
      </c>
      <c r="H2894" s="753">
        <v>51000</v>
      </c>
      <c r="I2894" s="754">
        <v>71574.03</v>
      </c>
      <c r="J2894" s="754">
        <v>0</v>
      </c>
      <c r="K2894" s="754">
        <v>0</v>
      </c>
      <c r="L2894" s="754">
        <v>21938.400000000001</v>
      </c>
      <c r="M2894" s="754">
        <f t="shared" si="115"/>
        <v>21938.400000000001</v>
      </c>
      <c r="N2894" s="756">
        <v>71574.03</v>
      </c>
      <c r="O2894" s="720">
        <f t="shared" si="116"/>
        <v>0</v>
      </c>
    </row>
    <row r="2895" spans="1:15" x14ac:dyDescent="0.25">
      <c r="A2895" s="207" t="str">
        <f>VLOOKUP(RIGHT(E2895,3)+0,SchLocTable!$A$2:$B$47,2,FALSE)</f>
        <v>BMA HS</v>
      </c>
      <c r="B2895" s="207" t="str">
        <f>VLOOKUP(VALUE(D2895),$D$3:F$106,3,FALSE)</f>
        <v>School Nurses</v>
      </c>
      <c r="C2895" s="751" t="s">
        <v>246</v>
      </c>
      <c r="D2895" s="751" t="s">
        <v>862</v>
      </c>
      <c r="E2895" s="751" t="s">
        <v>876</v>
      </c>
      <c r="F2895" s="751" t="s">
        <v>250</v>
      </c>
      <c r="G2895" s="752" t="s">
        <v>1681</v>
      </c>
      <c r="H2895" s="753">
        <v>51100</v>
      </c>
      <c r="I2895" s="754">
        <v>0</v>
      </c>
      <c r="J2895" s="754">
        <v>0</v>
      </c>
      <c r="K2895" s="754">
        <v>0</v>
      </c>
      <c r="L2895" s="754">
        <v>0</v>
      </c>
      <c r="M2895" s="754">
        <f t="shared" si="115"/>
        <v>0</v>
      </c>
      <c r="N2895" s="756">
        <v>0</v>
      </c>
      <c r="O2895" s="720">
        <f t="shared" si="116"/>
        <v>0</v>
      </c>
    </row>
    <row r="2896" spans="1:15" x14ac:dyDescent="0.25">
      <c r="A2896" s="207" t="str">
        <f>VLOOKUP(RIGHT(E2896,3)+0,SchLocTable!$A$2:$B$47,2,FALSE)</f>
        <v>BMA HS</v>
      </c>
      <c r="B2896" s="207" t="str">
        <f>VLOOKUP(VALUE(D2896),$D$3:F$106,3,FALSE)</f>
        <v>School Nurses</v>
      </c>
      <c r="C2896" s="751" t="s">
        <v>246</v>
      </c>
      <c r="D2896" s="751" t="s">
        <v>862</v>
      </c>
      <c r="E2896" s="751" t="s">
        <v>876</v>
      </c>
      <c r="F2896" s="751" t="s">
        <v>257</v>
      </c>
      <c r="G2896" s="752" t="s">
        <v>1681</v>
      </c>
      <c r="H2896" s="753">
        <v>51140</v>
      </c>
      <c r="I2896" s="754">
        <v>490</v>
      </c>
      <c r="J2896" s="754">
        <v>0</v>
      </c>
      <c r="K2896" s="754">
        <v>0</v>
      </c>
      <c r="L2896" s="754">
        <v>0</v>
      </c>
      <c r="M2896" s="754">
        <f t="shared" si="115"/>
        <v>0</v>
      </c>
      <c r="N2896" s="756">
        <v>490</v>
      </c>
      <c r="O2896" s="720">
        <f t="shared" si="116"/>
        <v>0</v>
      </c>
    </row>
    <row r="2897" spans="1:15" x14ac:dyDescent="0.25">
      <c r="A2897" s="207" t="str">
        <f>VLOOKUP(RIGHT(E2897,3)+0,SchLocTable!$A$2:$B$47,2,FALSE)</f>
        <v>BMA HS</v>
      </c>
      <c r="B2897" s="207" t="str">
        <f>VLOOKUP(VALUE(D2897),$D$3:F$106,3,FALSE)</f>
        <v>School Nurses</v>
      </c>
      <c r="C2897" s="755" t="s">
        <v>246</v>
      </c>
      <c r="D2897" s="751" t="s">
        <v>862</v>
      </c>
      <c r="E2897" s="751" t="s">
        <v>876</v>
      </c>
      <c r="F2897" s="751" t="s">
        <v>254</v>
      </c>
      <c r="G2897" s="752" t="s">
        <v>1681</v>
      </c>
      <c r="H2897" s="753">
        <v>52360</v>
      </c>
      <c r="I2897" s="754">
        <v>1000.76</v>
      </c>
      <c r="J2897" s="754">
        <v>0</v>
      </c>
      <c r="K2897" s="754">
        <v>0</v>
      </c>
      <c r="L2897" s="754">
        <v>281.04000000000002</v>
      </c>
      <c r="M2897" s="754">
        <f t="shared" si="115"/>
        <v>281.04000000000002</v>
      </c>
      <c r="N2897" s="756">
        <v>1000.76</v>
      </c>
      <c r="O2897" s="720">
        <f t="shared" si="116"/>
        <v>0</v>
      </c>
    </row>
    <row r="2898" spans="1:15" x14ac:dyDescent="0.25">
      <c r="A2898" s="207" t="str">
        <f>VLOOKUP(RIGHT(E2898,3)+0,SchLocTable!$A$2:$B$47,2,FALSE)</f>
        <v>BMA HS</v>
      </c>
      <c r="B2898" s="207" t="str">
        <f>VLOOKUP(VALUE(D2898),$D$3:F$106,3,FALSE)</f>
        <v>School Nurses</v>
      </c>
      <c r="C2898" s="751" t="s">
        <v>246</v>
      </c>
      <c r="D2898" s="751" t="s">
        <v>862</v>
      </c>
      <c r="E2898" s="751" t="s">
        <v>876</v>
      </c>
      <c r="F2898" s="751" t="s">
        <v>331</v>
      </c>
      <c r="G2898" s="752" t="s">
        <v>1681</v>
      </c>
      <c r="H2898" s="753">
        <v>52504</v>
      </c>
      <c r="I2898" s="754">
        <v>14737.1</v>
      </c>
      <c r="J2898" s="754">
        <v>0</v>
      </c>
      <c r="K2898" s="754">
        <v>0</v>
      </c>
      <c r="L2898" s="754">
        <v>4517.12</v>
      </c>
      <c r="M2898" s="754">
        <f t="shared" si="115"/>
        <v>4517.12</v>
      </c>
      <c r="N2898" s="756">
        <v>14737.1</v>
      </c>
      <c r="O2898" s="720">
        <f t="shared" si="116"/>
        <v>0</v>
      </c>
    </row>
    <row r="2899" spans="1:15" x14ac:dyDescent="0.25">
      <c r="A2899" s="207" t="str">
        <f>VLOOKUP(RIGHT(E2899,3)+0,SchLocTable!$A$2:$B$47,2,FALSE)</f>
        <v>BMA HS</v>
      </c>
      <c r="B2899" s="207" t="str">
        <f>VLOOKUP(VALUE(D2899),$D$3:F$106,3,FALSE)</f>
        <v>School Nurses</v>
      </c>
      <c r="C2899" s="751" t="s">
        <v>246</v>
      </c>
      <c r="D2899" s="751" t="s">
        <v>862</v>
      </c>
      <c r="E2899" s="751" t="s">
        <v>876</v>
      </c>
      <c r="F2899" s="751" t="s">
        <v>259</v>
      </c>
      <c r="G2899" s="752" t="s">
        <v>1681</v>
      </c>
      <c r="H2899" s="753">
        <v>52917</v>
      </c>
      <c r="I2899" s="754">
        <v>26536.39</v>
      </c>
      <c r="J2899" s="754">
        <v>0</v>
      </c>
      <c r="K2899" s="754">
        <v>0</v>
      </c>
      <c r="L2899" s="754">
        <v>8133.76</v>
      </c>
      <c r="M2899" s="754">
        <f t="shared" si="115"/>
        <v>8133.76</v>
      </c>
      <c r="N2899" s="756">
        <v>26536.39</v>
      </c>
      <c r="O2899" s="720">
        <f t="shared" si="116"/>
        <v>0</v>
      </c>
    </row>
    <row r="2900" spans="1:15" x14ac:dyDescent="0.25">
      <c r="A2900" s="207" t="str">
        <f>VLOOKUP(RIGHT(E2900,3)+0,SchLocTable!$A$2:$B$47,2,FALSE)</f>
        <v>BMA HS</v>
      </c>
      <c r="B2900" s="207" t="str">
        <f>VLOOKUP(VALUE(D2900),$D$3:F$106,3,FALSE)</f>
        <v>School Nurses</v>
      </c>
      <c r="C2900" s="751" t="s">
        <v>246</v>
      </c>
      <c r="D2900" s="751" t="s">
        <v>862</v>
      </c>
      <c r="E2900" s="751" t="s">
        <v>876</v>
      </c>
      <c r="F2900" s="751" t="s">
        <v>864</v>
      </c>
      <c r="G2900" s="752" t="s">
        <v>1681</v>
      </c>
      <c r="H2900" s="753">
        <v>53905</v>
      </c>
      <c r="I2900" s="754">
        <v>350</v>
      </c>
      <c r="J2900" s="754">
        <v>0</v>
      </c>
      <c r="K2900" s="754">
        <v>0</v>
      </c>
      <c r="L2900" s="754">
        <v>350</v>
      </c>
      <c r="M2900" s="754">
        <f t="shared" si="115"/>
        <v>350</v>
      </c>
      <c r="N2900" s="756">
        <v>350</v>
      </c>
      <c r="O2900" s="720">
        <f t="shared" si="116"/>
        <v>0</v>
      </c>
    </row>
    <row r="2901" spans="1:15" x14ac:dyDescent="0.25">
      <c r="A2901" s="207" t="str">
        <f>VLOOKUP(RIGHT(E2901,3)+0,SchLocTable!$A$2:$B$47,2,FALSE)</f>
        <v>Park City Magnet</v>
      </c>
      <c r="B2901" s="207" t="str">
        <f>VLOOKUP(VALUE(D2901),$D$3:F$106,3,FALSE)</f>
        <v>School Nurses</v>
      </c>
      <c r="C2901" s="751" t="s">
        <v>246</v>
      </c>
      <c r="D2901" s="751" t="s">
        <v>862</v>
      </c>
      <c r="E2901" s="751" t="s">
        <v>877</v>
      </c>
      <c r="F2901" s="751" t="s">
        <v>248</v>
      </c>
      <c r="G2901" s="752">
        <v>1</v>
      </c>
      <c r="H2901" s="753">
        <v>51000</v>
      </c>
      <c r="I2901" s="754">
        <v>67208.539999999994</v>
      </c>
      <c r="J2901" s="754">
        <v>0</v>
      </c>
      <c r="K2901" s="754">
        <v>0</v>
      </c>
      <c r="L2901" s="754">
        <v>20600.32</v>
      </c>
      <c r="M2901" s="754">
        <f t="shared" si="115"/>
        <v>20600.32</v>
      </c>
      <c r="N2901" s="756">
        <v>67208.539999999994</v>
      </c>
      <c r="O2901" s="720">
        <f t="shared" si="116"/>
        <v>0</v>
      </c>
    </row>
    <row r="2902" spans="1:15" x14ac:dyDescent="0.25">
      <c r="A2902" s="207" t="str">
        <f>VLOOKUP(RIGHT(E2902,3)+0,SchLocTable!$A$2:$B$47,2,FALSE)</f>
        <v>Park City Magnet</v>
      </c>
      <c r="B2902" s="207" t="str">
        <f>VLOOKUP(VALUE(D2902),$D$3:F$106,3,FALSE)</f>
        <v>School Nurses</v>
      </c>
      <c r="C2902" s="755" t="s">
        <v>246</v>
      </c>
      <c r="D2902" s="751" t="s">
        <v>862</v>
      </c>
      <c r="E2902" s="751" t="s">
        <v>877</v>
      </c>
      <c r="F2902" s="751" t="s">
        <v>257</v>
      </c>
      <c r="G2902" s="752" t="s">
        <v>1681</v>
      </c>
      <c r="H2902" s="753">
        <v>51140</v>
      </c>
      <c r="I2902" s="754">
        <v>0</v>
      </c>
      <c r="J2902" s="754">
        <v>0</v>
      </c>
      <c r="K2902" s="754">
        <v>0</v>
      </c>
      <c r="L2902" s="754">
        <v>0</v>
      </c>
      <c r="M2902" s="754">
        <f t="shared" si="115"/>
        <v>0</v>
      </c>
      <c r="N2902" s="756">
        <v>0</v>
      </c>
      <c r="O2902" s="720">
        <f t="shared" si="116"/>
        <v>0</v>
      </c>
    </row>
    <row r="2903" spans="1:15" x14ac:dyDescent="0.25">
      <c r="A2903" s="207" t="str">
        <f>VLOOKUP(RIGHT(E2903,3)+0,SchLocTable!$A$2:$B$47,2,FALSE)</f>
        <v>Park City Magnet</v>
      </c>
      <c r="B2903" s="207" t="str">
        <f>VLOOKUP(VALUE(D2903),$D$3:F$106,3,FALSE)</f>
        <v>School Nurses</v>
      </c>
      <c r="C2903" s="751" t="s">
        <v>246</v>
      </c>
      <c r="D2903" s="751" t="s">
        <v>862</v>
      </c>
      <c r="E2903" s="751" t="s">
        <v>877</v>
      </c>
      <c r="F2903" s="751" t="s">
        <v>254</v>
      </c>
      <c r="G2903" s="752" t="s">
        <v>1681</v>
      </c>
      <c r="H2903" s="753">
        <v>52360</v>
      </c>
      <c r="I2903" s="754">
        <v>957.11</v>
      </c>
      <c r="J2903" s="754">
        <v>0</v>
      </c>
      <c r="K2903" s="754">
        <v>0</v>
      </c>
      <c r="L2903" s="754">
        <v>281.29000000000002</v>
      </c>
      <c r="M2903" s="754">
        <f t="shared" si="115"/>
        <v>281.29000000000002</v>
      </c>
      <c r="N2903" s="756">
        <v>957.11</v>
      </c>
      <c r="O2903" s="720">
        <f t="shared" si="116"/>
        <v>0</v>
      </c>
    </row>
    <row r="2904" spans="1:15" x14ac:dyDescent="0.25">
      <c r="A2904" s="207" t="str">
        <f>VLOOKUP(RIGHT(E2904,3)+0,SchLocTable!$A$2:$B$47,2,FALSE)</f>
        <v>Park City Magnet</v>
      </c>
      <c r="B2904" s="207" t="str">
        <f>VLOOKUP(VALUE(D2904),$D$3:F$106,3,FALSE)</f>
        <v>School Nurses</v>
      </c>
      <c r="C2904" s="751" t="s">
        <v>246</v>
      </c>
      <c r="D2904" s="751" t="s">
        <v>862</v>
      </c>
      <c r="E2904" s="751" t="s">
        <v>877</v>
      </c>
      <c r="F2904" s="751" t="s">
        <v>292</v>
      </c>
      <c r="G2904" s="752" t="s">
        <v>1681</v>
      </c>
      <c r="H2904" s="753">
        <v>52385</v>
      </c>
      <c r="I2904" s="754">
        <v>0</v>
      </c>
      <c r="J2904" s="754">
        <v>0</v>
      </c>
      <c r="K2904" s="754">
        <v>0</v>
      </c>
      <c r="L2904" s="754">
        <v>0</v>
      </c>
      <c r="M2904" s="754">
        <f t="shared" si="115"/>
        <v>0</v>
      </c>
      <c r="N2904" s="756">
        <v>0</v>
      </c>
      <c r="O2904" s="720">
        <f t="shared" si="116"/>
        <v>0</v>
      </c>
    </row>
    <row r="2905" spans="1:15" x14ac:dyDescent="0.25">
      <c r="A2905" s="207" t="str">
        <f>VLOOKUP(RIGHT(E2905,3)+0,SchLocTable!$A$2:$B$47,2,FALSE)</f>
        <v>Park City Magnet</v>
      </c>
      <c r="B2905" s="207" t="str">
        <f>VLOOKUP(VALUE(D2905),$D$3:F$106,3,FALSE)</f>
        <v>School Nurses</v>
      </c>
      <c r="C2905" s="751" t="s">
        <v>246</v>
      </c>
      <c r="D2905" s="751" t="s">
        <v>862</v>
      </c>
      <c r="E2905" s="751" t="s">
        <v>877</v>
      </c>
      <c r="F2905" s="751" t="s">
        <v>331</v>
      </c>
      <c r="G2905" s="752" t="s">
        <v>1681</v>
      </c>
      <c r="H2905" s="753">
        <v>52504</v>
      </c>
      <c r="I2905" s="754">
        <v>13838.23</v>
      </c>
      <c r="J2905" s="754">
        <v>0</v>
      </c>
      <c r="K2905" s="754">
        <v>0</v>
      </c>
      <c r="L2905" s="754">
        <v>4241.6000000000004</v>
      </c>
      <c r="M2905" s="754">
        <f t="shared" si="115"/>
        <v>4241.6000000000004</v>
      </c>
      <c r="N2905" s="756">
        <v>13838.23</v>
      </c>
      <c r="O2905" s="720">
        <f t="shared" si="116"/>
        <v>0</v>
      </c>
    </row>
    <row r="2906" spans="1:15" x14ac:dyDescent="0.25">
      <c r="A2906" s="207" t="str">
        <f>VLOOKUP(RIGHT(E2906,3)+0,SchLocTable!$A$2:$B$47,2,FALSE)</f>
        <v>Park City Magnet</v>
      </c>
      <c r="B2906" s="207" t="str">
        <f>VLOOKUP(VALUE(D2906),$D$3:F$106,3,FALSE)</f>
        <v>School Nurses</v>
      </c>
      <c r="C2906" s="751" t="s">
        <v>246</v>
      </c>
      <c r="D2906" s="751" t="s">
        <v>862</v>
      </c>
      <c r="E2906" s="751" t="s">
        <v>877</v>
      </c>
      <c r="F2906" s="751" t="s">
        <v>259</v>
      </c>
      <c r="G2906" s="752" t="s">
        <v>1681</v>
      </c>
      <c r="H2906" s="753">
        <v>52917</v>
      </c>
      <c r="I2906" s="754">
        <v>11043.43</v>
      </c>
      <c r="J2906" s="754">
        <v>0</v>
      </c>
      <c r="K2906" s="754">
        <v>0</v>
      </c>
      <c r="L2906" s="754">
        <v>3384.96</v>
      </c>
      <c r="M2906" s="754">
        <f t="shared" si="115"/>
        <v>3384.96</v>
      </c>
      <c r="N2906" s="756">
        <v>11043.43</v>
      </c>
      <c r="O2906" s="720">
        <f t="shared" si="116"/>
        <v>0</v>
      </c>
    </row>
    <row r="2907" spans="1:15" x14ac:dyDescent="0.25">
      <c r="A2907" s="207" t="str">
        <f>VLOOKUP(RIGHT(E2907,3)+0,SchLocTable!$A$2:$B$47,2,FALSE)</f>
        <v>Park City Magnet</v>
      </c>
      <c r="B2907" s="207" t="str">
        <f>VLOOKUP(VALUE(D2907),$D$3:F$106,3,FALSE)</f>
        <v>School Nurses</v>
      </c>
      <c r="C2907" s="751" t="s">
        <v>246</v>
      </c>
      <c r="D2907" s="751" t="s">
        <v>862</v>
      </c>
      <c r="E2907" s="751" t="s">
        <v>877</v>
      </c>
      <c r="F2907" s="751" t="s">
        <v>864</v>
      </c>
      <c r="G2907" s="752" t="s">
        <v>1681</v>
      </c>
      <c r="H2907" s="753">
        <v>53905</v>
      </c>
      <c r="I2907" s="754">
        <v>350</v>
      </c>
      <c r="J2907" s="754">
        <v>0</v>
      </c>
      <c r="K2907" s="754">
        <v>0</v>
      </c>
      <c r="L2907" s="754">
        <v>0</v>
      </c>
      <c r="M2907" s="754">
        <f t="shared" si="115"/>
        <v>0</v>
      </c>
      <c r="N2907" s="756">
        <v>350</v>
      </c>
      <c r="O2907" s="720">
        <f t="shared" si="116"/>
        <v>0</v>
      </c>
    </row>
    <row r="2908" spans="1:15" x14ac:dyDescent="0.25">
      <c r="A2908" s="207" t="str">
        <f>VLOOKUP(RIGHT(E2908,3)+0,SchLocTable!$A$2:$B$47,2,FALSE)</f>
        <v>Madison</v>
      </c>
      <c r="B2908" s="207" t="str">
        <f>VLOOKUP(VALUE(D2908),$D$3:F$106,3,FALSE)</f>
        <v>School Nurses</v>
      </c>
      <c r="C2908" s="751" t="s">
        <v>246</v>
      </c>
      <c r="D2908" s="751" t="s">
        <v>862</v>
      </c>
      <c r="E2908" s="751" t="s">
        <v>2012</v>
      </c>
      <c r="F2908" s="751" t="s">
        <v>248</v>
      </c>
      <c r="G2908" s="752">
        <v>1</v>
      </c>
      <c r="H2908" s="753">
        <v>51000</v>
      </c>
      <c r="I2908" s="754">
        <v>71574.03</v>
      </c>
      <c r="J2908" s="754">
        <v>0</v>
      </c>
      <c r="K2908" s="754">
        <v>0</v>
      </c>
      <c r="L2908" s="754">
        <v>21938.400000000001</v>
      </c>
      <c r="M2908" s="754">
        <f t="shared" si="115"/>
        <v>21938.400000000001</v>
      </c>
      <c r="N2908" s="756">
        <v>71574.03</v>
      </c>
      <c r="O2908" s="720">
        <f t="shared" si="116"/>
        <v>0</v>
      </c>
    </row>
    <row r="2909" spans="1:15" x14ac:dyDescent="0.25">
      <c r="A2909" s="207" t="str">
        <f>VLOOKUP(RIGHT(E2909,3)+0,SchLocTable!$A$2:$B$47,2,FALSE)</f>
        <v>Madison</v>
      </c>
      <c r="B2909" s="207" t="str">
        <f>VLOOKUP(VALUE(D2909),$D$3:F$106,3,FALSE)</f>
        <v>School Nurses</v>
      </c>
      <c r="C2909" s="751" t="s">
        <v>246</v>
      </c>
      <c r="D2909" s="751" t="s">
        <v>862</v>
      </c>
      <c r="E2909" s="751" t="s">
        <v>2012</v>
      </c>
      <c r="F2909" s="751" t="s">
        <v>257</v>
      </c>
      <c r="G2909" s="752" t="s">
        <v>1681</v>
      </c>
      <c r="H2909" s="753">
        <v>51140</v>
      </c>
      <c r="I2909" s="754">
        <v>630</v>
      </c>
      <c r="J2909" s="754">
        <v>0</v>
      </c>
      <c r="K2909" s="754">
        <v>0</v>
      </c>
      <c r="L2909" s="754">
        <v>0</v>
      </c>
      <c r="M2909" s="754">
        <f t="shared" si="115"/>
        <v>0</v>
      </c>
      <c r="N2909" s="756">
        <v>630</v>
      </c>
      <c r="O2909" s="720">
        <f t="shared" si="116"/>
        <v>0</v>
      </c>
    </row>
    <row r="2910" spans="1:15" x14ac:dyDescent="0.25">
      <c r="A2910" s="207" t="str">
        <f>VLOOKUP(RIGHT(E2910,3)+0,SchLocTable!$A$2:$B$47,2,FALSE)</f>
        <v>Madison</v>
      </c>
      <c r="B2910" s="207" t="str">
        <f>VLOOKUP(VALUE(D2910),$D$3:F$106,3,FALSE)</f>
        <v>School Nurses</v>
      </c>
      <c r="C2910" s="751" t="s">
        <v>246</v>
      </c>
      <c r="D2910" s="751" t="s">
        <v>862</v>
      </c>
      <c r="E2910" s="751" t="s">
        <v>2012</v>
      </c>
      <c r="F2910" s="751" t="s">
        <v>254</v>
      </c>
      <c r="G2910" s="752" t="s">
        <v>1681</v>
      </c>
      <c r="H2910" s="753">
        <v>52360</v>
      </c>
      <c r="I2910" s="754">
        <v>1020.4</v>
      </c>
      <c r="J2910" s="754">
        <v>0</v>
      </c>
      <c r="K2910" s="754">
        <v>0</v>
      </c>
      <c r="L2910" s="754">
        <v>300.68</v>
      </c>
      <c r="M2910" s="754">
        <f t="shared" si="115"/>
        <v>300.68</v>
      </c>
      <c r="N2910" s="756">
        <v>1020.4</v>
      </c>
      <c r="O2910" s="720">
        <f t="shared" si="116"/>
        <v>0</v>
      </c>
    </row>
    <row r="2911" spans="1:15" x14ac:dyDescent="0.25">
      <c r="A2911" s="207" t="str">
        <f>VLOOKUP(RIGHT(E2911,3)+0,SchLocTable!$A$2:$B$47,2,FALSE)</f>
        <v>Madison</v>
      </c>
      <c r="B2911" s="207" t="str">
        <f>VLOOKUP(VALUE(D2911),$D$3:F$106,3,FALSE)</f>
        <v>School Nurses</v>
      </c>
      <c r="C2911" s="751" t="s">
        <v>246</v>
      </c>
      <c r="D2911" s="751" t="s">
        <v>862</v>
      </c>
      <c r="E2911" s="751" t="s">
        <v>2012</v>
      </c>
      <c r="F2911" s="751" t="s">
        <v>331</v>
      </c>
      <c r="G2911" s="752" t="s">
        <v>1681</v>
      </c>
      <c r="H2911" s="753">
        <v>52504</v>
      </c>
      <c r="I2911" s="754">
        <v>14737.1</v>
      </c>
      <c r="J2911" s="754">
        <v>0</v>
      </c>
      <c r="K2911" s="754">
        <v>0</v>
      </c>
      <c r="L2911" s="754">
        <v>4517.12</v>
      </c>
      <c r="M2911" s="754">
        <f t="shared" si="115"/>
        <v>4517.12</v>
      </c>
      <c r="N2911" s="756">
        <v>14737.1</v>
      </c>
      <c r="O2911" s="720">
        <f t="shared" si="116"/>
        <v>0</v>
      </c>
    </row>
    <row r="2912" spans="1:15" x14ac:dyDescent="0.25">
      <c r="A2912" s="207" t="str">
        <f>VLOOKUP(RIGHT(E2912,3)+0,SchLocTable!$A$2:$B$47,2,FALSE)</f>
        <v>Madison</v>
      </c>
      <c r="B2912" s="207" t="str">
        <f>VLOOKUP(VALUE(D2912),$D$3:F$106,3,FALSE)</f>
        <v>School Nurses</v>
      </c>
      <c r="C2912" s="751" t="s">
        <v>246</v>
      </c>
      <c r="D2912" s="751" t="s">
        <v>862</v>
      </c>
      <c r="E2912" s="751" t="s">
        <v>2012</v>
      </c>
      <c r="F2912" s="751" t="s">
        <v>259</v>
      </c>
      <c r="G2912" s="752" t="s">
        <v>1681</v>
      </c>
      <c r="H2912" s="753">
        <v>52917</v>
      </c>
      <c r="I2912" s="754">
        <v>11070.58</v>
      </c>
      <c r="J2912" s="754">
        <v>0</v>
      </c>
      <c r="K2912" s="754">
        <v>0</v>
      </c>
      <c r="L2912" s="754">
        <v>3393.28</v>
      </c>
      <c r="M2912" s="754">
        <f t="shared" si="115"/>
        <v>3393.28</v>
      </c>
      <c r="N2912" s="756">
        <v>11070.58</v>
      </c>
      <c r="O2912" s="720">
        <f t="shared" si="116"/>
        <v>0</v>
      </c>
    </row>
    <row r="2913" spans="1:15" x14ac:dyDescent="0.25">
      <c r="A2913" s="207" t="str">
        <f>VLOOKUP(RIGHT(E2913,3)+0,SchLocTable!$A$2:$B$47,2,FALSE)</f>
        <v>Classical Studies Academy</v>
      </c>
      <c r="B2913" s="207" t="str">
        <f>VLOOKUP(VALUE(D2913),$D$3:F$106,3,FALSE)</f>
        <v>School Nurses</v>
      </c>
      <c r="C2913" s="755" t="s">
        <v>246</v>
      </c>
      <c r="D2913" s="751" t="s">
        <v>862</v>
      </c>
      <c r="E2913" s="751" t="s">
        <v>878</v>
      </c>
      <c r="F2913" s="751" t="s">
        <v>248</v>
      </c>
      <c r="G2913" s="752">
        <v>2</v>
      </c>
      <c r="H2913" s="753">
        <v>51000</v>
      </c>
      <c r="I2913" s="754">
        <v>143148.06</v>
      </c>
      <c r="J2913" s="754">
        <v>0</v>
      </c>
      <c r="K2913" s="754">
        <v>0</v>
      </c>
      <c r="L2913" s="754">
        <v>43876.800000000003</v>
      </c>
      <c r="M2913" s="754">
        <f t="shared" si="115"/>
        <v>43876.800000000003</v>
      </c>
      <c r="N2913" s="756">
        <v>143148.06</v>
      </c>
      <c r="O2913" s="720">
        <f t="shared" si="116"/>
        <v>0</v>
      </c>
    </row>
    <row r="2914" spans="1:15" x14ac:dyDescent="0.25">
      <c r="A2914" s="207" t="str">
        <f>VLOOKUP(RIGHT(E2914,3)+0,SchLocTable!$A$2:$B$47,2,FALSE)</f>
        <v>Classical Studies Academy</v>
      </c>
      <c r="B2914" s="207" t="str">
        <f>VLOOKUP(VALUE(D2914),$D$3:F$106,3,FALSE)</f>
        <v>School Nurses</v>
      </c>
      <c r="C2914" s="751" t="s">
        <v>246</v>
      </c>
      <c r="D2914" s="751" t="s">
        <v>862</v>
      </c>
      <c r="E2914" s="751" t="s">
        <v>878</v>
      </c>
      <c r="F2914" s="751" t="s">
        <v>257</v>
      </c>
      <c r="G2914" s="752" t="s">
        <v>1681</v>
      </c>
      <c r="H2914" s="753">
        <v>51140</v>
      </c>
      <c r="I2914" s="754">
        <v>1750</v>
      </c>
      <c r="J2914" s="754">
        <v>0</v>
      </c>
      <c r="K2914" s="754">
        <v>0</v>
      </c>
      <c r="L2914" s="754">
        <v>0</v>
      </c>
      <c r="M2914" s="754">
        <f t="shared" si="115"/>
        <v>0</v>
      </c>
      <c r="N2914" s="756">
        <v>1750</v>
      </c>
      <c r="O2914" s="720">
        <f t="shared" si="116"/>
        <v>0</v>
      </c>
    </row>
    <row r="2915" spans="1:15" x14ac:dyDescent="0.25">
      <c r="A2915" s="207" t="str">
        <f>VLOOKUP(RIGHT(E2915,3)+0,SchLocTable!$A$2:$B$47,2,FALSE)</f>
        <v>Classical Studies Academy</v>
      </c>
      <c r="B2915" s="207" t="str">
        <f>VLOOKUP(VALUE(D2915),$D$3:F$106,3,FALSE)</f>
        <v>School Nurses</v>
      </c>
      <c r="C2915" s="751" t="s">
        <v>246</v>
      </c>
      <c r="D2915" s="751" t="s">
        <v>862</v>
      </c>
      <c r="E2915" s="751" t="s">
        <v>878</v>
      </c>
      <c r="F2915" s="751" t="s">
        <v>402</v>
      </c>
      <c r="G2915" s="752" t="s">
        <v>1681</v>
      </c>
      <c r="H2915" s="753">
        <v>51400</v>
      </c>
      <c r="I2915" s="754">
        <v>0</v>
      </c>
      <c r="J2915" s="754">
        <v>0</v>
      </c>
      <c r="K2915" s="754">
        <v>0</v>
      </c>
      <c r="L2915" s="754">
        <v>0</v>
      </c>
      <c r="M2915" s="754">
        <f t="shared" si="115"/>
        <v>0</v>
      </c>
      <c r="N2915" s="756">
        <v>0</v>
      </c>
      <c r="O2915" s="720">
        <f t="shared" si="116"/>
        <v>0</v>
      </c>
    </row>
    <row r="2916" spans="1:15" x14ac:dyDescent="0.25">
      <c r="A2916" s="207" t="str">
        <f>VLOOKUP(RIGHT(E2916,3)+0,SchLocTable!$A$2:$B$47,2,FALSE)</f>
        <v>Classical Studies Academy</v>
      </c>
      <c r="B2916" s="207" t="str">
        <f>VLOOKUP(VALUE(D2916),$D$3:F$106,3,FALSE)</f>
        <v>School Nurses</v>
      </c>
      <c r="C2916" s="751" t="s">
        <v>246</v>
      </c>
      <c r="D2916" s="751" t="s">
        <v>862</v>
      </c>
      <c r="E2916" s="751" t="s">
        <v>878</v>
      </c>
      <c r="F2916" s="751" t="s">
        <v>254</v>
      </c>
      <c r="G2916" s="752" t="s">
        <v>1681</v>
      </c>
      <c r="H2916" s="753">
        <v>52360</v>
      </c>
      <c r="I2916" s="754">
        <v>2018.76</v>
      </c>
      <c r="J2916" s="754">
        <v>0</v>
      </c>
      <c r="K2916" s="754">
        <v>0</v>
      </c>
      <c r="L2916" s="754">
        <v>579.33000000000004</v>
      </c>
      <c r="M2916" s="754">
        <f t="shared" si="115"/>
        <v>579.33000000000004</v>
      </c>
      <c r="N2916" s="756">
        <v>2018.76</v>
      </c>
      <c r="O2916" s="720">
        <f t="shared" si="116"/>
        <v>0</v>
      </c>
    </row>
    <row r="2917" spans="1:15" x14ac:dyDescent="0.25">
      <c r="A2917" s="207" t="str">
        <f>VLOOKUP(RIGHT(E2917,3)+0,SchLocTable!$A$2:$B$47,2,FALSE)</f>
        <v>Classical Studies Academy</v>
      </c>
      <c r="B2917" s="207" t="str">
        <f>VLOOKUP(VALUE(D2917),$D$3:F$106,3,FALSE)</f>
        <v>School Nurses</v>
      </c>
      <c r="C2917" s="751" t="s">
        <v>246</v>
      </c>
      <c r="D2917" s="751" t="s">
        <v>862</v>
      </c>
      <c r="E2917" s="751" t="s">
        <v>878</v>
      </c>
      <c r="F2917" s="751" t="s">
        <v>331</v>
      </c>
      <c r="G2917" s="752" t="s">
        <v>1681</v>
      </c>
      <c r="H2917" s="753">
        <v>52504</v>
      </c>
      <c r="I2917" s="754">
        <v>29474.19</v>
      </c>
      <c r="J2917" s="754">
        <v>0</v>
      </c>
      <c r="K2917" s="754">
        <v>0</v>
      </c>
      <c r="L2917" s="754">
        <v>9034.24</v>
      </c>
      <c r="M2917" s="754">
        <f t="shared" si="115"/>
        <v>9034.24</v>
      </c>
      <c r="N2917" s="756">
        <v>29474.19</v>
      </c>
      <c r="O2917" s="720">
        <f t="shared" si="116"/>
        <v>0</v>
      </c>
    </row>
    <row r="2918" spans="1:15" x14ac:dyDescent="0.25">
      <c r="A2918" s="207" t="str">
        <f>VLOOKUP(RIGHT(E2918,3)+0,SchLocTable!$A$2:$B$47,2,FALSE)</f>
        <v>Classical Studies Academy</v>
      </c>
      <c r="B2918" s="207" t="str">
        <f>VLOOKUP(VALUE(D2918),$D$3:F$106,3,FALSE)</f>
        <v>School Nurses</v>
      </c>
      <c r="C2918" s="751" t="s">
        <v>246</v>
      </c>
      <c r="D2918" s="751" t="s">
        <v>862</v>
      </c>
      <c r="E2918" s="751" t="s">
        <v>878</v>
      </c>
      <c r="F2918" s="751" t="s">
        <v>259</v>
      </c>
      <c r="G2918" s="752" t="s">
        <v>1681</v>
      </c>
      <c r="H2918" s="753">
        <v>52917</v>
      </c>
      <c r="I2918" s="754">
        <v>45400.43</v>
      </c>
      <c r="J2918" s="754">
        <v>0</v>
      </c>
      <c r="K2918" s="754">
        <v>0</v>
      </c>
      <c r="L2918" s="754">
        <v>13915.84</v>
      </c>
      <c r="M2918" s="754">
        <f t="shared" si="115"/>
        <v>13915.84</v>
      </c>
      <c r="N2918" s="756">
        <v>45400.43</v>
      </c>
      <c r="O2918" s="720">
        <f t="shared" si="116"/>
        <v>0</v>
      </c>
    </row>
    <row r="2919" spans="1:15" x14ac:dyDescent="0.25">
      <c r="A2919" s="207" t="str">
        <f>VLOOKUP(RIGHT(E2919,3)+0,SchLocTable!$A$2:$B$47,2,FALSE)</f>
        <v>Classical Studies Academy</v>
      </c>
      <c r="B2919" s="207" t="str">
        <f>VLOOKUP(VALUE(D2919),$D$3:F$106,3,FALSE)</f>
        <v>School Nurses</v>
      </c>
      <c r="C2919" s="751" t="s">
        <v>246</v>
      </c>
      <c r="D2919" s="751" t="s">
        <v>862</v>
      </c>
      <c r="E2919" s="751" t="s">
        <v>878</v>
      </c>
      <c r="F2919" s="751" t="s">
        <v>864</v>
      </c>
      <c r="G2919" s="752" t="s">
        <v>1681</v>
      </c>
      <c r="H2919" s="753">
        <v>53905</v>
      </c>
      <c r="I2919" s="754">
        <v>850</v>
      </c>
      <c r="J2919" s="754">
        <v>0</v>
      </c>
      <c r="K2919" s="754">
        <v>0</v>
      </c>
      <c r="L2919" s="754">
        <v>850</v>
      </c>
      <c r="M2919" s="754">
        <f t="shared" si="115"/>
        <v>850</v>
      </c>
      <c r="N2919" s="756">
        <v>850</v>
      </c>
      <c r="O2919" s="720">
        <f t="shared" si="116"/>
        <v>0</v>
      </c>
    </row>
    <row r="2920" spans="1:15" x14ac:dyDescent="0.25">
      <c r="A2920" s="207" t="str">
        <f>VLOOKUP(RIGHT(E2920,3)+0,SchLocTable!$A$2:$B$47,2,FALSE)</f>
        <v>Tisdale</v>
      </c>
      <c r="B2920" s="207" t="str">
        <f>VLOOKUP(VALUE(D2920),$D$3:F$106,3,FALSE)</f>
        <v>School Nurses</v>
      </c>
      <c r="C2920" s="751" t="s">
        <v>246</v>
      </c>
      <c r="D2920" s="751" t="s">
        <v>862</v>
      </c>
      <c r="E2920" s="751" t="s">
        <v>1653</v>
      </c>
      <c r="F2920" s="751" t="s">
        <v>248</v>
      </c>
      <c r="G2920" s="752">
        <v>1</v>
      </c>
      <c r="H2920" s="753">
        <v>51000</v>
      </c>
      <c r="I2920" s="754">
        <v>0</v>
      </c>
      <c r="J2920" s="754">
        <v>0</v>
      </c>
      <c r="K2920" s="754">
        <v>0</v>
      </c>
      <c r="L2920" s="754">
        <v>0</v>
      </c>
      <c r="M2920" s="754">
        <f t="shared" si="115"/>
        <v>0</v>
      </c>
      <c r="N2920" s="756">
        <v>0</v>
      </c>
      <c r="O2920" s="720">
        <f t="shared" si="116"/>
        <v>0</v>
      </c>
    </row>
    <row r="2921" spans="1:15" x14ac:dyDescent="0.25">
      <c r="A2921" s="207" t="str">
        <f>VLOOKUP(RIGHT(E2921,3)+0,SchLocTable!$A$2:$B$47,2,FALSE)</f>
        <v>Tisdale</v>
      </c>
      <c r="B2921" s="207" t="str">
        <f>VLOOKUP(VALUE(D2921),$D$3:F$106,3,FALSE)</f>
        <v>School Nurses</v>
      </c>
      <c r="C2921" s="751" t="s">
        <v>246</v>
      </c>
      <c r="D2921" s="751" t="s">
        <v>862</v>
      </c>
      <c r="E2921" s="751" t="s">
        <v>1653</v>
      </c>
      <c r="F2921" s="751" t="s">
        <v>254</v>
      </c>
      <c r="G2921" s="752" t="s">
        <v>1681</v>
      </c>
      <c r="H2921" s="753">
        <v>52360</v>
      </c>
      <c r="I2921" s="754">
        <v>0</v>
      </c>
      <c r="J2921" s="754">
        <v>0</v>
      </c>
      <c r="K2921" s="754">
        <v>0</v>
      </c>
      <c r="L2921" s="754">
        <v>0</v>
      </c>
      <c r="M2921" s="754">
        <f t="shared" si="115"/>
        <v>0</v>
      </c>
      <c r="N2921" s="756">
        <v>0</v>
      </c>
      <c r="O2921" s="720">
        <f t="shared" si="116"/>
        <v>0</v>
      </c>
    </row>
    <row r="2922" spans="1:15" x14ac:dyDescent="0.25">
      <c r="A2922" s="207" t="str">
        <f>VLOOKUP(RIGHT(E2922,3)+0,SchLocTable!$A$2:$B$47,2,FALSE)</f>
        <v>Tisdale</v>
      </c>
      <c r="B2922" s="207" t="str">
        <f>VLOOKUP(VALUE(D2922),$D$3:F$106,3,FALSE)</f>
        <v>School Nurses</v>
      </c>
      <c r="C2922" s="751" t="s">
        <v>246</v>
      </c>
      <c r="D2922" s="751" t="s">
        <v>862</v>
      </c>
      <c r="E2922" s="751" t="s">
        <v>1653</v>
      </c>
      <c r="F2922" s="751" t="s">
        <v>331</v>
      </c>
      <c r="G2922" s="752" t="s">
        <v>1681</v>
      </c>
      <c r="H2922" s="753">
        <v>52504</v>
      </c>
      <c r="I2922" s="754">
        <v>0</v>
      </c>
      <c r="J2922" s="754">
        <v>0</v>
      </c>
      <c r="K2922" s="754">
        <v>0</v>
      </c>
      <c r="L2922" s="754">
        <v>0</v>
      </c>
      <c r="M2922" s="754">
        <f t="shared" si="115"/>
        <v>0</v>
      </c>
      <c r="N2922" s="756">
        <v>0</v>
      </c>
      <c r="O2922" s="720">
        <f t="shared" si="116"/>
        <v>0</v>
      </c>
    </row>
    <row r="2923" spans="1:15" x14ac:dyDescent="0.25">
      <c r="A2923" s="207" t="str">
        <f>VLOOKUP(RIGHT(E2923,3)+0,SchLocTable!$A$2:$B$47,2,FALSE)</f>
        <v>Read</v>
      </c>
      <c r="B2923" s="207" t="str">
        <f>VLOOKUP(VALUE(D2923),$D$3:F$106,3,FALSE)</f>
        <v>School Nurses</v>
      </c>
      <c r="C2923" s="751" t="s">
        <v>246</v>
      </c>
      <c r="D2923" s="751" t="s">
        <v>862</v>
      </c>
      <c r="E2923" s="751" t="s">
        <v>2013</v>
      </c>
      <c r="F2923" s="751" t="s">
        <v>248</v>
      </c>
      <c r="G2923" s="752">
        <v>1</v>
      </c>
      <c r="H2923" s="753">
        <v>51000</v>
      </c>
      <c r="I2923" s="754">
        <v>67208.539999999994</v>
      </c>
      <c r="J2923" s="754">
        <v>0</v>
      </c>
      <c r="K2923" s="754">
        <v>0</v>
      </c>
      <c r="L2923" s="754">
        <v>20600.32</v>
      </c>
      <c r="M2923" s="754">
        <f t="shared" si="115"/>
        <v>20600.32</v>
      </c>
      <c r="N2923" s="756">
        <v>67208.539999999994</v>
      </c>
      <c r="O2923" s="720">
        <f t="shared" si="116"/>
        <v>0</v>
      </c>
    </row>
    <row r="2924" spans="1:15" x14ac:dyDescent="0.25">
      <c r="A2924" s="207" t="str">
        <f>VLOOKUP(RIGHT(E2924,3)+0,SchLocTable!$A$2:$B$47,2,FALSE)</f>
        <v>Read</v>
      </c>
      <c r="B2924" s="207" t="str">
        <f>VLOOKUP(VALUE(D2924),$D$3:F$106,3,FALSE)</f>
        <v>School Nurses</v>
      </c>
      <c r="C2924" s="751" t="s">
        <v>246</v>
      </c>
      <c r="D2924" s="751" t="s">
        <v>862</v>
      </c>
      <c r="E2924" s="751" t="s">
        <v>2013</v>
      </c>
      <c r="F2924" s="751" t="s">
        <v>254</v>
      </c>
      <c r="G2924" s="752" t="s">
        <v>1681</v>
      </c>
      <c r="H2924" s="753">
        <v>52360</v>
      </c>
      <c r="I2924" s="754">
        <v>922.97</v>
      </c>
      <c r="J2924" s="754">
        <v>0</v>
      </c>
      <c r="K2924" s="754">
        <v>0</v>
      </c>
      <c r="L2924" s="754">
        <v>247.15</v>
      </c>
      <c r="M2924" s="754">
        <f t="shared" si="115"/>
        <v>247.15</v>
      </c>
      <c r="N2924" s="756">
        <v>922.97</v>
      </c>
      <c r="O2924" s="720">
        <f t="shared" si="116"/>
        <v>0</v>
      </c>
    </row>
    <row r="2925" spans="1:15" x14ac:dyDescent="0.25">
      <c r="A2925" s="207" t="str">
        <f>VLOOKUP(RIGHT(E2925,3)+0,SchLocTable!$A$2:$B$47,2,FALSE)</f>
        <v>Read</v>
      </c>
      <c r="B2925" s="207" t="str">
        <f>VLOOKUP(VALUE(D2925),$D$3:F$106,3,FALSE)</f>
        <v>School Nurses</v>
      </c>
      <c r="C2925" s="751" t="s">
        <v>246</v>
      </c>
      <c r="D2925" s="751" t="s">
        <v>862</v>
      </c>
      <c r="E2925" s="751" t="s">
        <v>2013</v>
      </c>
      <c r="F2925" s="751" t="s">
        <v>292</v>
      </c>
      <c r="G2925" s="752" t="s">
        <v>1681</v>
      </c>
      <c r="H2925" s="753">
        <v>52385</v>
      </c>
      <c r="I2925" s="754">
        <v>0</v>
      </c>
      <c r="J2925" s="754">
        <v>0</v>
      </c>
      <c r="K2925" s="754">
        <v>0</v>
      </c>
      <c r="L2925" s="754">
        <v>0</v>
      </c>
      <c r="M2925" s="754">
        <f t="shared" si="115"/>
        <v>0</v>
      </c>
      <c r="N2925" s="756">
        <v>0</v>
      </c>
      <c r="O2925" s="720">
        <f t="shared" si="116"/>
        <v>0</v>
      </c>
    </row>
    <row r="2926" spans="1:15" x14ac:dyDescent="0.25">
      <c r="A2926" s="207" t="str">
        <f>VLOOKUP(RIGHT(E2926,3)+0,SchLocTable!$A$2:$B$47,2,FALSE)</f>
        <v>Read</v>
      </c>
      <c r="B2926" s="207" t="str">
        <f>VLOOKUP(VALUE(D2926),$D$3:F$106,3,FALSE)</f>
        <v>School Nurses</v>
      </c>
      <c r="C2926" s="751" t="s">
        <v>246</v>
      </c>
      <c r="D2926" s="751" t="s">
        <v>862</v>
      </c>
      <c r="E2926" s="751" t="s">
        <v>2013</v>
      </c>
      <c r="F2926" s="751" t="s">
        <v>331</v>
      </c>
      <c r="G2926" s="752" t="s">
        <v>1681</v>
      </c>
      <c r="H2926" s="753">
        <v>52504</v>
      </c>
      <c r="I2926" s="754">
        <v>13838.23</v>
      </c>
      <c r="J2926" s="754">
        <v>0</v>
      </c>
      <c r="K2926" s="754">
        <v>0</v>
      </c>
      <c r="L2926" s="754">
        <v>4241.6000000000004</v>
      </c>
      <c r="M2926" s="754">
        <f t="shared" si="115"/>
        <v>4241.6000000000004</v>
      </c>
      <c r="N2926" s="756">
        <v>13838.23</v>
      </c>
      <c r="O2926" s="720">
        <f t="shared" si="116"/>
        <v>0</v>
      </c>
    </row>
    <row r="2927" spans="1:15" x14ac:dyDescent="0.25">
      <c r="A2927" s="207" t="str">
        <f>VLOOKUP(RIGHT(E2927,3)+0,SchLocTable!$A$2:$B$47,2,FALSE)</f>
        <v>Read</v>
      </c>
      <c r="B2927" s="207" t="str">
        <f>VLOOKUP(VALUE(D2927),$D$3:F$106,3,FALSE)</f>
        <v>School Nurses</v>
      </c>
      <c r="C2927" s="751" t="s">
        <v>246</v>
      </c>
      <c r="D2927" s="751" t="s">
        <v>862</v>
      </c>
      <c r="E2927" s="751" t="s">
        <v>2013</v>
      </c>
      <c r="F2927" s="751" t="s">
        <v>259</v>
      </c>
      <c r="G2927" s="752" t="s">
        <v>1681</v>
      </c>
      <c r="H2927" s="753">
        <v>52917</v>
      </c>
      <c r="I2927" s="754">
        <v>32711.65</v>
      </c>
      <c r="J2927" s="754">
        <v>0</v>
      </c>
      <c r="K2927" s="754">
        <v>0</v>
      </c>
      <c r="L2927" s="754">
        <v>10026.56</v>
      </c>
      <c r="M2927" s="754">
        <f t="shared" si="115"/>
        <v>10026.56</v>
      </c>
      <c r="N2927" s="756">
        <v>32711.65</v>
      </c>
      <c r="O2927" s="720">
        <f t="shared" si="116"/>
        <v>0</v>
      </c>
    </row>
    <row r="2928" spans="1:15" x14ac:dyDescent="0.25">
      <c r="A2928" s="207" t="str">
        <f>VLOOKUP(RIGHT(E2928,3)+0,SchLocTable!$A$2:$B$47,2,FALSE)</f>
        <v>Roosevelt</v>
      </c>
      <c r="B2928" s="207" t="str">
        <f>VLOOKUP(VALUE(D2928),$D$3:F$106,3,FALSE)</f>
        <v>School Nurses</v>
      </c>
      <c r="C2928" s="751" t="s">
        <v>246</v>
      </c>
      <c r="D2928" s="751" t="s">
        <v>862</v>
      </c>
      <c r="E2928" s="751" t="s">
        <v>879</v>
      </c>
      <c r="F2928" s="751" t="s">
        <v>248</v>
      </c>
      <c r="G2928" s="752">
        <v>1</v>
      </c>
      <c r="H2928" s="753">
        <v>51000</v>
      </c>
      <c r="I2928" s="754">
        <v>71574.03</v>
      </c>
      <c r="J2928" s="754">
        <v>0</v>
      </c>
      <c r="K2928" s="754">
        <v>0</v>
      </c>
      <c r="L2928" s="754">
        <v>21938.400000000001</v>
      </c>
      <c r="M2928" s="754">
        <f t="shared" si="115"/>
        <v>21938.400000000001</v>
      </c>
      <c r="N2928" s="756">
        <v>71574.03</v>
      </c>
      <c r="O2928" s="720">
        <f t="shared" si="116"/>
        <v>0</v>
      </c>
    </row>
    <row r="2929" spans="1:15" x14ac:dyDescent="0.25">
      <c r="A2929" s="207" t="str">
        <f>VLOOKUP(RIGHT(E2929,3)+0,SchLocTable!$A$2:$B$47,2,FALSE)</f>
        <v>Roosevelt</v>
      </c>
      <c r="B2929" s="207" t="str">
        <f>VLOOKUP(VALUE(D2929),$D$3:F$106,3,FALSE)</f>
        <v>School Nurses</v>
      </c>
      <c r="C2929" s="751" t="s">
        <v>246</v>
      </c>
      <c r="D2929" s="751" t="s">
        <v>862</v>
      </c>
      <c r="E2929" s="751" t="s">
        <v>879</v>
      </c>
      <c r="F2929" s="751" t="s">
        <v>257</v>
      </c>
      <c r="G2929" s="752" t="s">
        <v>1681</v>
      </c>
      <c r="H2929" s="753">
        <v>51140</v>
      </c>
      <c r="I2929" s="754">
        <v>350</v>
      </c>
      <c r="J2929" s="754">
        <v>0</v>
      </c>
      <c r="K2929" s="754">
        <v>0</v>
      </c>
      <c r="L2929" s="754">
        <v>0</v>
      </c>
      <c r="M2929" s="754">
        <f t="shared" si="115"/>
        <v>0</v>
      </c>
      <c r="N2929" s="756">
        <v>350</v>
      </c>
      <c r="O2929" s="720">
        <f t="shared" si="116"/>
        <v>0</v>
      </c>
    </row>
    <row r="2930" spans="1:15" x14ac:dyDescent="0.25">
      <c r="A2930" s="207" t="str">
        <f>VLOOKUP(RIGHT(E2930,3)+0,SchLocTable!$A$2:$B$47,2,FALSE)</f>
        <v>Roosevelt</v>
      </c>
      <c r="B2930" s="207" t="str">
        <f>VLOOKUP(VALUE(D2930),$D$3:F$106,3,FALSE)</f>
        <v>School Nurses</v>
      </c>
      <c r="C2930" s="751" t="s">
        <v>246</v>
      </c>
      <c r="D2930" s="751" t="s">
        <v>862</v>
      </c>
      <c r="E2930" s="751" t="s">
        <v>879</v>
      </c>
      <c r="F2930" s="751" t="s">
        <v>254</v>
      </c>
      <c r="G2930" s="752" t="s">
        <v>1681</v>
      </c>
      <c r="H2930" s="753">
        <v>52360</v>
      </c>
      <c r="I2930" s="754">
        <v>1028.56</v>
      </c>
      <c r="J2930" s="754">
        <v>0</v>
      </c>
      <c r="K2930" s="754">
        <v>0</v>
      </c>
      <c r="L2930" s="754">
        <v>308.83999999999997</v>
      </c>
      <c r="M2930" s="754">
        <f t="shared" si="115"/>
        <v>308.83999999999997</v>
      </c>
      <c r="N2930" s="756">
        <v>1028.56</v>
      </c>
      <c r="O2930" s="720">
        <f t="shared" si="116"/>
        <v>0</v>
      </c>
    </row>
    <row r="2931" spans="1:15" x14ac:dyDescent="0.25">
      <c r="A2931" s="207" t="str">
        <f>VLOOKUP(RIGHT(E2931,3)+0,SchLocTable!$A$2:$B$47,2,FALSE)</f>
        <v>Roosevelt</v>
      </c>
      <c r="B2931" s="207" t="str">
        <f>VLOOKUP(VALUE(D2931),$D$3:F$106,3,FALSE)</f>
        <v>School Nurses</v>
      </c>
      <c r="C2931" s="751" t="s">
        <v>246</v>
      </c>
      <c r="D2931" s="751" t="s">
        <v>862</v>
      </c>
      <c r="E2931" s="751" t="s">
        <v>879</v>
      </c>
      <c r="F2931" s="751" t="s">
        <v>331</v>
      </c>
      <c r="G2931" s="752" t="s">
        <v>1681</v>
      </c>
      <c r="H2931" s="753">
        <v>52504</v>
      </c>
      <c r="I2931" s="754">
        <v>14737.1</v>
      </c>
      <c r="J2931" s="754">
        <v>0</v>
      </c>
      <c r="K2931" s="754">
        <v>0</v>
      </c>
      <c r="L2931" s="754">
        <v>4517.12</v>
      </c>
      <c r="M2931" s="754">
        <f t="shared" si="115"/>
        <v>4517.12</v>
      </c>
      <c r="N2931" s="756">
        <v>14737.1</v>
      </c>
      <c r="O2931" s="720">
        <f t="shared" si="116"/>
        <v>0</v>
      </c>
    </row>
    <row r="2932" spans="1:15" x14ac:dyDescent="0.25">
      <c r="A2932" s="207" t="str">
        <f>VLOOKUP(RIGHT(E2932,3)+0,SchLocTable!$A$2:$B$47,2,FALSE)</f>
        <v>Roosevelt</v>
      </c>
      <c r="B2932" s="207" t="str">
        <f>VLOOKUP(VALUE(D2932),$D$3:F$106,3,FALSE)</f>
        <v>School Nurses</v>
      </c>
      <c r="C2932" s="751" t="s">
        <v>246</v>
      </c>
      <c r="D2932" s="751" t="s">
        <v>862</v>
      </c>
      <c r="E2932" s="751" t="s">
        <v>879</v>
      </c>
      <c r="F2932" s="751" t="s">
        <v>259</v>
      </c>
      <c r="G2932" s="752" t="s">
        <v>1681</v>
      </c>
      <c r="H2932" s="753">
        <v>52917</v>
      </c>
      <c r="I2932" s="754">
        <v>11599.36</v>
      </c>
      <c r="J2932" s="754">
        <v>0</v>
      </c>
      <c r="K2932" s="754">
        <v>0</v>
      </c>
      <c r="L2932" s="754">
        <v>3555.36</v>
      </c>
      <c r="M2932" s="754">
        <f t="shared" si="115"/>
        <v>3555.36</v>
      </c>
      <c r="N2932" s="756">
        <v>11599.36</v>
      </c>
      <c r="O2932" s="720">
        <f t="shared" si="116"/>
        <v>0</v>
      </c>
    </row>
    <row r="2933" spans="1:15" x14ac:dyDescent="0.25">
      <c r="A2933" s="207" t="str">
        <f>VLOOKUP(RIGHT(E2933,3)+0,SchLocTable!$A$2:$B$47,2,FALSE)</f>
        <v>Roosevelt</v>
      </c>
      <c r="B2933" s="207" t="str">
        <f>VLOOKUP(VALUE(D2933),$D$3:F$106,3,FALSE)</f>
        <v>School Nurses</v>
      </c>
      <c r="C2933" s="751" t="s">
        <v>246</v>
      </c>
      <c r="D2933" s="751" t="s">
        <v>862</v>
      </c>
      <c r="E2933" s="751" t="s">
        <v>879</v>
      </c>
      <c r="F2933" s="751" t="s">
        <v>864</v>
      </c>
      <c r="G2933" s="752" t="s">
        <v>1681</v>
      </c>
      <c r="H2933" s="753">
        <v>53905</v>
      </c>
      <c r="I2933" s="754">
        <v>500</v>
      </c>
      <c r="J2933" s="754">
        <v>0</v>
      </c>
      <c r="K2933" s="754">
        <v>0</v>
      </c>
      <c r="L2933" s="754">
        <v>500</v>
      </c>
      <c r="M2933" s="754">
        <f t="shared" si="115"/>
        <v>500</v>
      </c>
      <c r="N2933" s="756">
        <v>500</v>
      </c>
      <c r="O2933" s="720">
        <f t="shared" si="116"/>
        <v>0</v>
      </c>
    </row>
    <row r="2934" spans="1:15" x14ac:dyDescent="0.25">
      <c r="A2934" s="207" t="str">
        <f>VLOOKUP(RIGHT(E2934,3)+0,SchLocTable!$A$2:$B$47,2,FALSE)</f>
        <v>Bridgeport Learning Center</v>
      </c>
      <c r="B2934" s="207" t="str">
        <f>VLOOKUP(VALUE(D2934),$D$3:F$106,3,FALSE)</f>
        <v>School Nurses</v>
      </c>
      <c r="C2934" s="751" t="s">
        <v>246</v>
      </c>
      <c r="D2934" s="751" t="s">
        <v>862</v>
      </c>
      <c r="E2934" s="751" t="s">
        <v>880</v>
      </c>
      <c r="F2934" s="751" t="s">
        <v>248</v>
      </c>
      <c r="G2934" s="752">
        <v>2</v>
      </c>
      <c r="H2934" s="753">
        <v>51000</v>
      </c>
      <c r="I2934" s="754">
        <v>143148.04999999999</v>
      </c>
      <c r="J2934" s="754">
        <v>0</v>
      </c>
      <c r="K2934" s="754">
        <v>0</v>
      </c>
      <c r="L2934" s="754">
        <v>43876.79</v>
      </c>
      <c r="M2934" s="754">
        <f t="shared" si="115"/>
        <v>43876.79</v>
      </c>
      <c r="N2934" s="756">
        <v>143148.04999999999</v>
      </c>
      <c r="O2934" s="720">
        <f t="shared" si="116"/>
        <v>0</v>
      </c>
    </row>
    <row r="2935" spans="1:15" x14ac:dyDescent="0.25">
      <c r="A2935" s="207" t="str">
        <f>VLOOKUP(RIGHT(E2935,3)+0,SchLocTable!$A$2:$B$47,2,FALSE)</f>
        <v>Bridgeport Learning Center</v>
      </c>
      <c r="B2935" s="207" t="str">
        <f>VLOOKUP(VALUE(D2935),$D$3:F$106,3,FALSE)</f>
        <v>School Nurses</v>
      </c>
      <c r="C2935" s="751" t="s">
        <v>246</v>
      </c>
      <c r="D2935" s="751" t="s">
        <v>862</v>
      </c>
      <c r="E2935" s="751" t="s">
        <v>880</v>
      </c>
      <c r="F2935" s="751" t="s">
        <v>257</v>
      </c>
      <c r="G2935" s="752" t="s">
        <v>1681</v>
      </c>
      <c r="H2935" s="753">
        <v>51140</v>
      </c>
      <c r="I2935" s="754">
        <v>1120</v>
      </c>
      <c r="J2935" s="754">
        <v>0</v>
      </c>
      <c r="K2935" s="754">
        <v>0</v>
      </c>
      <c r="L2935" s="754">
        <v>0</v>
      </c>
      <c r="M2935" s="754">
        <f t="shared" si="115"/>
        <v>0</v>
      </c>
      <c r="N2935" s="756">
        <v>1120</v>
      </c>
      <c r="O2935" s="720">
        <f t="shared" si="116"/>
        <v>0</v>
      </c>
    </row>
    <row r="2936" spans="1:15" x14ac:dyDescent="0.25">
      <c r="A2936" s="207" t="str">
        <f>VLOOKUP(RIGHT(E2936,3)+0,SchLocTable!$A$2:$B$47,2,FALSE)</f>
        <v>Bridgeport Learning Center</v>
      </c>
      <c r="B2936" s="207" t="str">
        <f>VLOOKUP(VALUE(D2936),$D$3:F$106,3,FALSE)</f>
        <v>School Nurses</v>
      </c>
      <c r="C2936" s="751" t="s">
        <v>246</v>
      </c>
      <c r="D2936" s="751" t="s">
        <v>862</v>
      </c>
      <c r="E2936" s="751" t="s">
        <v>880</v>
      </c>
      <c r="F2936" s="751" t="s">
        <v>254</v>
      </c>
      <c r="G2936" s="752" t="s">
        <v>1681</v>
      </c>
      <c r="H2936" s="753">
        <v>52360</v>
      </c>
      <c r="I2936" s="754">
        <v>2070.56</v>
      </c>
      <c r="J2936" s="754">
        <v>0</v>
      </c>
      <c r="K2936" s="754">
        <v>0</v>
      </c>
      <c r="L2936" s="754">
        <v>631.13</v>
      </c>
      <c r="M2936" s="754">
        <f t="shared" si="115"/>
        <v>631.13</v>
      </c>
      <c r="N2936" s="756">
        <v>2070.56</v>
      </c>
      <c r="O2936" s="720">
        <f t="shared" si="116"/>
        <v>0</v>
      </c>
    </row>
    <row r="2937" spans="1:15" x14ac:dyDescent="0.25">
      <c r="A2937" s="207" t="str">
        <f>VLOOKUP(RIGHT(E2937,3)+0,SchLocTable!$A$2:$B$47,2,FALSE)</f>
        <v>Bridgeport Learning Center</v>
      </c>
      <c r="B2937" s="207" t="str">
        <f>VLOOKUP(VALUE(D2937),$D$3:F$106,3,FALSE)</f>
        <v>School Nurses</v>
      </c>
      <c r="C2937" s="751" t="s">
        <v>246</v>
      </c>
      <c r="D2937" s="751" t="s">
        <v>862</v>
      </c>
      <c r="E2937" s="751" t="s">
        <v>880</v>
      </c>
      <c r="F2937" s="751" t="s">
        <v>331</v>
      </c>
      <c r="G2937" s="752" t="s">
        <v>1681</v>
      </c>
      <c r="H2937" s="753">
        <v>52504</v>
      </c>
      <c r="I2937" s="754">
        <v>29474.19</v>
      </c>
      <c r="J2937" s="754">
        <v>0</v>
      </c>
      <c r="K2937" s="754">
        <v>0</v>
      </c>
      <c r="L2937" s="754">
        <v>9034.24</v>
      </c>
      <c r="M2937" s="754">
        <f t="shared" si="115"/>
        <v>9034.24</v>
      </c>
      <c r="N2937" s="756">
        <v>29474.19</v>
      </c>
      <c r="O2937" s="720">
        <f t="shared" si="116"/>
        <v>0</v>
      </c>
    </row>
    <row r="2938" spans="1:15" x14ac:dyDescent="0.25">
      <c r="A2938" s="207" t="str">
        <f>VLOOKUP(RIGHT(E2938,3)+0,SchLocTable!$A$2:$B$47,2,FALSE)</f>
        <v>Bridgeport Learning Center</v>
      </c>
      <c r="B2938" s="207" t="str">
        <f>VLOOKUP(VALUE(D2938),$D$3:F$106,3,FALSE)</f>
        <v>School Nurses</v>
      </c>
      <c r="C2938" s="751" t="s">
        <v>246</v>
      </c>
      <c r="D2938" s="751" t="s">
        <v>862</v>
      </c>
      <c r="E2938" s="751" t="s">
        <v>880</v>
      </c>
      <c r="F2938" s="751" t="s">
        <v>259</v>
      </c>
      <c r="G2938" s="752" t="s">
        <v>1681</v>
      </c>
      <c r="H2938" s="753">
        <v>52917</v>
      </c>
      <c r="I2938" s="754">
        <v>12719.57</v>
      </c>
      <c r="J2938" s="754">
        <v>0</v>
      </c>
      <c r="K2938" s="754">
        <v>0</v>
      </c>
      <c r="L2938" s="754">
        <v>3898.72</v>
      </c>
      <c r="M2938" s="754">
        <f t="shared" si="115"/>
        <v>3898.72</v>
      </c>
      <c r="N2938" s="756">
        <v>12719.57</v>
      </c>
      <c r="O2938" s="720">
        <f t="shared" si="116"/>
        <v>0</v>
      </c>
    </row>
    <row r="2939" spans="1:15" x14ac:dyDescent="0.25">
      <c r="A2939" s="207" t="str">
        <f>VLOOKUP(RIGHT(E2939,3)+0,SchLocTable!$A$2:$B$47,2,FALSE)</f>
        <v>Bridgeport Learning Center</v>
      </c>
      <c r="B2939" s="207" t="str">
        <f>VLOOKUP(VALUE(D2939),$D$3:F$106,3,FALSE)</f>
        <v>School Nurses</v>
      </c>
      <c r="C2939" s="751" t="s">
        <v>246</v>
      </c>
      <c r="D2939" s="751" t="s">
        <v>862</v>
      </c>
      <c r="E2939" s="751" t="s">
        <v>880</v>
      </c>
      <c r="F2939" s="751" t="s">
        <v>333</v>
      </c>
      <c r="G2939" s="752" t="s">
        <v>1681</v>
      </c>
      <c r="H2939" s="753">
        <v>52920</v>
      </c>
      <c r="I2939" s="754">
        <v>0</v>
      </c>
      <c r="J2939" s="754">
        <v>0</v>
      </c>
      <c r="K2939" s="754">
        <v>0</v>
      </c>
      <c r="L2939" s="754">
        <v>0</v>
      </c>
      <c r="M2939" s="754">
        <f t="shared" si="115"/>
        <v>0</v>
      </c>
      <c r="N2939" s="756">
        <v>0</v>
      </c>
      <c r="O2939" s="720">
        <f t="shared" si="116"/>
        <v>0</v>
      </c>
    </row>
    <row r="2940" spans="1:15" x14ac:dyDescent="0.25">
      <c r="A2940" s="207" t="str">
        <f>VLOOKUP(RIGHT(E2940,3)+0,SchLocTable!$A$2:$B$47,2,FALSE)</f>
        <v>Bridgeport Learning Center</v>
      </c>
      <c r="B2940" s="207" t="str">
        <f>VLOOKUP(VALUE(D2940),$D$3:F$106,3,FALSE)</f>
        <v>School Nurses</v>
      </c>
      <c r="C2940" s="751" t="s">
        <v>246</v>
      </c>
      <c r="D2940" s="751" t="s">
        <v>862</v>
      </c>
      <c r="E2940" s="751" t="s">
        <v>880</v>
      </c>
      <c r="F2940" s="751" t="s">
        <v>864</v>
      </c>
      <c r="G2940" s="752" t="s">
        <v>1681</v>
      </c>
      <c r="H2940" s="753">
        <v>53905</v>
      </c>
      <c r="I2940" s="754">
        <v>850</v>
      </c>
      <c r="J2940" s="754">
        <v>0</v>
      </c>
      <c r="K2940" s="754">
        <v>0</v>
      </c>
      <c r="L2940" s="754">
        <v>850</v>
      </c>
      <c r="M2940" s="754">
        <f t="shared" si="115"/>
        <v>850</v>
      </c>
      <c r="N2940" s="756">
        <v>850</v>
      </c>
      <c r="O2940" s="720">
        <f t="shared" si="116"/>
        <v>0</v>
      </c>
    </row>
    <row r="2941" spans="1:15" x14ac:dyDescent="0.25">
      <c r="A2941" s="207" t="str">
        <f>VLOOKUP(RIGHT(E2941,3)+0,SchLocTable!$A$2:$B$47,2,FALSE)</f>
        <v>Waltersville</v>
      </c>
      <c r="B2941" s="207" t="str">
        <f>VLOOKUP(VALUE(D2941),$D$3:F$106,3,FALSE)</f>
        <v>School Nurses</v>
      </c>
      <c r="C2941" s="751" t="s">
        <v>246</v>
      </c>
      <c r="D2941" s="751" t="s">
        <v>862</v>
      </c>
      <c r="E2941" s="751" t="s">
        <v>881</v>
      </c>
      <c r="F2941" s="751" t="s">
        <v>248</v>
      </c>
      <c r="G2941" s="752" t="s">
        <v>1681</v>
      </c>
      <c r="H2941" s="753">
        <v>51000</v>
      </c>
      <c r="I2941" s="754">
        <v>0</v>
      </c>
      <c r="J2941" s="754">
        <v>0</v>
      </c>
      <c r="K2941" s="754">
        <v>0</v>
      </c>
      <c r="L2941" s="754">
        <v>0</v>
      </c>
      <c r="M2941" s="754">
        <f t="shared" si="115"/>
        <v>0</v>
      </c>
      <c r="N2941" s="756">
        <v>0</v>
      </c>
      <c r="O2941" s="720">
        <f t="shared" si="116"/>
        <v>0</v>
      </c>
    </row>
    <row r="2942" spans="1:15" x14ac:dyDescent="0.25">
      <c r="A2942" s="207" t="str">
        <f>VLOOKUP(RIGHT(E2942,3)+0,SchLocTable!$A$2:$B$47,2,FALSE)</f>
        <v>Waltersville</v>
      </c>
      <c r="B2942" s="207" t="str">
        <f>VLOOKUP(VALUE(D2942),$D$3:F$106,3,FALSE)</f>
        <v>School Nurses</v>
      </c>
      <c r="C2942" s="751" t="s">
        <v>246</v>
      </c>
      <c r="D2942" s="751" t="s">
        <v>862</v>
      </c>
      <c r="E2942" s="751" t="s">
        <v>881</v>
      </c>
      <c r="F2942" s="751" t="s">
        <v>257</v>
      </c>
      <c r="G2942" s="752" t="s">
        <v>1681</v>
      </c>
      <c r="H2942" s="753">
        <v>51140</v>
      </c>
      <c r="I2942" s="754">
        <v>0</v>
      </c>
      <c r="J2942" s="754">
        <v>0</v>
      </c>
      <c r="K2942" s="754">
        <v>0</v>
      </c>
      <c r="L2942" s="754">
        <v>0</v>
      </c>
      <c r="M2942" s="754">
        <f t="shared" si="115"/>
        <v>0</v>
      </c>
      <c r="N2942" s="756">
        <v>0</v>
      </c>
      <c r="O2942" s="720">
        <f t="shared" si="116"/>
        <v>0</v>
      </c>
    </row>
    <row r="2943" spans="1:15" x14ac:dyDescent="0.25">
      <c r="A2943" s="207" t="str">
        <f>VLOOKUP(RIGHT(E2943,3)+0,SchLocTable!$A$2:$B$47,2,FALSE)</f>
        <v>Waltersville</v>
      </c>
      <c r="B2943" s="207" t="str">
        <f>VLOOKUP(VALUE(D2943),$D$3:F$106,3,FALSE)</f>
        <v>School Nurses</v>
      </c>
      <c r="C2943" s="751" t="s">
        <v>246</v>
      </c>
      <c r="D2943" s="751" t="s">
        <v>862</v>
      </c>
      <c r="E2943" s="751" t="s">
        <v>881</v>
      </c>
      <c r="F2943" s="751" t="s">
        <v>254</v>
      </c>
      <c r="G2943" s="752" t="s">
        <v>1681</v>
      </c>
      <c r="H2943" s="753">
        <v>52360</v>
      </c>
      <c r="I2943" s="754">
        <v>0</v>
      </c>
      <c r="J2943" s="754">
        <v>0</v>
      </c>
      <c r="K2943" s="754">
        <v>0</v>
      </c>
      <c r="L2943" s="754">
        <v>0</v>
      </c>
      <c r="M2943" s="754">
        <f t="shared" ref="M2943:M3006" si="117">SUM(J2943:L2943)</f>
        <v>0</v>
      </c>
      <c r="N2943" s="756">
        <v>0</v>
      </c>
      <c r="O2943" s="720">
        <f t="shared" ref="O2943:O3006" si="118">I2943-N2943</f>
        <v>0</v>
      </c>
    </row>
    <row r="2944" spans="1:15" x14ac:dyDescent="0.25">
      <c r="A2944" s="207" t="str">
        <f>VLOOKUP(RIGHT(E2944,3)+0,SchLocTable!$A$2:$B$47,2,FALSE)</f>
        <v>Waltersville</v>
      </c>
      <c r="B2944" s="207" t="str">
        <f>VLOOKUP(VALUE(D2944),$D$3:F$106,3,FALSE)</f>
        <v>School Nurses</v>
      </c>
      <c r="C2944" s="751" t="s">
        <v>246</v>
      </c>
      <c r="D2944" s="751" t="s">
        <v>862</v>
      </c>
      <c r="E2944" s="751" t="s">
        <v>881</v>
      </c>
      <c r="F2944" s="751" t="s">
        <v>292</v>
      </c>
      <c r="G2944" s="752" t="s">
        <v>1681</v>
      </c>
      <c r="H2944" s="753">
        <v>52385</v>
      </c>
      <c r="I2944" s="754">
        <v>0</v>
      </c>
      <c r="J2944" s="754">
        <v>0</v>
      </c>
      <c r="K2944" s="754">
        <v>0</v>
      </c>
      <c r="L2944" s="754">
        <v>0</v>
      </c>
      <c r="M2944" s="754">
        <f t="shared" si="117"/>
        <v>0</v>
      </c>
      <c r="N2944" s="756">
        <v>0</v>
      </c>
      <c r="O2944" s="720">
        <f t="shared" si="118"/>
        <v>0</v>
      </c>
    </row>
    <row r="2945" spans="1:15" x14ac:dyDescent="0.25">
      <c r="A2945" s="207" t="str">
        <f>VLOOKUP(RIGHT(E2945,3)+0,SchLocTable!$A$2:$B$47,2,FALSE)</f>
        <v>Waltersville</v>
      </c>
      <c r="B2945" s="207" t="str">
        <f>VLOOKUP(VALUE(D2945),$D$3:F$106,3,FALSE)</f>
        <v>School Nurses</v>
      </c>
      <c r="C2945" s="751" t="s">
        <v>246</v>
      </c>
      <c r="D2945" s="751" t="s">
        <v>862</v>
      </c>
      <c r="E2945" s="751" t="s">
        <v>881</v>
      </c>
      <c r="F2945" s="751" t="s">
        <v>331</v>
      </c>
      <c r="G2945" s="752" t="s">
        <v>1681</v>
      </c>
      <c r="H2945" s="753">
        <v>52504</v>
      </c>
      <c r="I2945" s="754">
        <v>0</v>
      </c>
      <c r="J2945" s="754">
        <v>0</v>
      </c>
      <c r="K2945" s="754">
        <v>0</v>
      </c>
      <c r="L2945" s="754">
        <v>0</v>
      </c>
      <c r="M2945" s="754">
        <f t="shared" si="117"/>
        <v>0</v>
      </c>
      <c r="N2945" s="756">
        <v>0</v>
      </c>
      <c r="O2945" s="720">
        <f t="shared" si="118"/>
        <v>0</v>
      </c>
    </row>
    <row r="2946" spans="1:15" x14ac:dyDescent="0.25">
      <c r="A2946" s="207" t="str">
        <f>VLOOKUP(RIGHT(E2946,3)+0,SchLocTable!$A$2:$B$47,2,FALSE)</f>
        <v>Waltersville</v>
      </c>
      <c r="B2946" s="207" t="str">
        <f>VLOOKUP(VALUE(D2946),$D$3:F$106,3,FALSE)</f>
        <v>School Nurses</v>
      </c>
      <c r="C2946" s="751" t="s">
        <v>246</v>
      </c>
      <c r="D2946" s="751" t="s">
        <v>862</v>
      </c>
      <c r="E2946" s="751" t="s">
        <v>881</v>
      </c>
      <c r="F2946" s="751" t="s">
        <v>259</v>
      </c>
      <c r="G2946" s="752" t="s">
        <v>1681</v>
      </c>
      <c r="H2946" s="753">
        <v>52917</v>
      </c>
      <c r="I2946" s="754">
        <v>0</v>
      </c>
      <c r="J2946" s="754">
        <v>0</v>
      </c>
      <c r="K2946" s="754">
        <v>0</v>
      </c>
      <c r="L2946" s="754">
        <v>0</v>
      </c>
      <c r="M2946" s="754">
        <f t="shared" si="117"/>
        <v>0</v>
      </c>
      <c r="N2946" s="756">
        <v>0</v>
      </c>
      <c r="O2946" s="720">
        <f t="shared" si="118"/>
        <v>0</v>
      </c>
    </row>
    <row r="2947" spans="1:15" x14ac:dyDescent="0.25">
      <c r="A2947" s="207" t="str">
        <f>VLOOKUP(RIGHT(E2947,3)+0,SchLocTable!$A$2:$B$47,2,FALSE)</f>
        <v>Waltersville</v>
      </c>
      <c r="B2947" s="207" t="str">
        <f>VLOOKUP(VALUE(D2947),$D$3:F$106,3,FALSE)</f>
        <v>School Nurses</v>
      </c>
      <c r="C2947" s="751" t="s">
        <v>246</v>
      </c>
      <c r="D2947" s="751" t="s">
        <v>862</v>
      </c>
      <c r="E2947" s="751" t="s">
        <v>881</v>
      </c>
      <c r="F2947" s="751" t="s">
        <v>333</v>
      </c>
      <c r="G2947" s="752" t="s">
        <v>1681</v>
      </c>
      <c r="H2947" s="753">
        <v>52920</v>
      </c>
      <c r="I2947" s="754">
        <v>2000</v>
      </c>
      <c r="J2947" s="754">
        <v>0</v>
      </c>
      <c r="K2947" s="754">
        <v>0</v>
      </c>
      <c r="L2947" s="754">
        <v>0</v>
      </c>
      <c r="M2947" s="754">
        <f t="shared" si="117"/>
        <v>0</v>
      </c>
      <c r="N2947" s="756">
        <v>2000</v>
      </c>
      <c r="O2947" s="720">
        <f t="shared" si="118"/>
        <v>0</v>
      </c>
    </row>
    <row r="2948" spans="1:15" x14ac:dyDescent="0.25">
      <c r="A2948" s="207" t="str">
        <f>VLOOKUP(RIGHT(E2948,3)+0,SchLocTable!$A$2:$B$47,2,FALSE)</f>
        <v>Waltersville</v>
      </c>
      <c r="B2948" s="207" t="str">
        <f>VLOOKUP(VALUE(D2948),$D$3:F$106,3,FALSE)</f>
        <v>School Nurses</v>
      </c>
      <c r="C2948" s="751" t="s">
        <v>246</v>
      </c>
      <c r="D2948" s="751" t="s">
        <v>862</v>
      </c>
      <c r="E2948" s="751" t="s">
        <v>881</v>
      </c>
      <c r="F2948" s="751" t="s">
        <v>864</v>
      </c>
      <c r="G2948" s="752" t="s">
        <v>1681</v>
      </c>
      <c r="H2948" s="753">
        <v>53905</v>
      </c>
      <c r="I2948" s="754">
        <v>500</v>
      </c>
      <c r="J2948" s="754">
        <v>0</v>
      </c>
      <c r="K2948" s="754">
        <v>0</v>
      </c>
      <c r="L2948" s="754">
        <v>0</v>
      </c>
      <c r="M2948" s="754">
        <f t="shared" si="117"/>
        <v>0</v>
      </c>
      <c r="N2948" s="756">
        <v>500</v>
      </c>
      <c r="O2948" s="720">
        <f t="shared" si="118"/>
        <v>0</v>
      </c>
    </row>
    <row r="2949" spans="1:15" x14ac:dyDescent="0.25">
      <c r="A2949" s="207" t="str">
        <f>VLOOKUP(RIGHT(E2949,3)+0,SchLocTable!$A$2:$B$47,2,FALSE)</f>
        <v>Claytor</v>
      </c>
      <c r="B2949" s="207" t="str">
        <f>VLOOKUP(VALUE(D2949),$D$3:F$106,3,FALSE)</f>
        <v>School Nurses</v>
      </c>
      <c r="C2949" s="751" t="s">
        <v>246</v>
      </c>
      <c r="D2949" s="751" t="s">
        <v>862</v>
      </c>
      <c r="E2949" s="751" t="s">
        <v>882</v>
      </c>
      <c r="F2949" s="751" t="s">
        <v>248</v>
      </c>
      <c r="G2949" s="752">
        <v>1</v>
      </c>
      <c r="H2949" s="753">
        <v>51000</v>
      </c>
      <c r="I2949" s="754">
        <v>67208.539999999994</v>
      </c>
      <c r="J2949" s="754">
        <v>0</v>
      </c>
      <c r="K2949" s="754">
        <v>0</v>
      </c>
      <c r="L2949" s="754">
        <v>20600.32</v>
      </c>
      <c r="M2949" s="754">
        <f t="shared" si="117"/>
        <v>20600.32</v>
      </c>
      <c r="N2949" s="756">
        <v>67208.539999999994</v>
      </c>
      <c r="O2949" s="720">
        <f t="shared" si="118"/>
        <v>0</v>
      </c>
    </row>
    <row r="2950" spans="1:15" x14ac:dyDescent="0.25">
      <c r="A2950" s="207" t="str">
        <f>VLOOKUP(RIGHT(E2950,3)+0,SchLocTable!$A$2:$B$47,2,FALSE)</f>
        <v>Claytor</v>
      </c>
      <c r="B2950" s="207" t="str">
        <f>VLOOKUP(VALUE(D2950),$D$3:F$106,3,FALSE)</f>
        <v>School Nurses</v>
      </c>
      <c r="C2950" s="755" t="s">
        <v>246</v>
      </c>
      <c r="D2950" s="751" t="s">
        <v>862</v>
      </c>
      <c r="E2950" s="751" t="s">
        <v>882</v>
      </c>
      <c r="F2950" s="751" t="s">
        <v>254</v>
      </c>
      <c r="G2950" s="752" t="s">
        <v>1681</v>
      </c>
      <c r="H2950" s="753">
        <v>52360</v>
      </c>
      <c r="I2950" s="754">
        <v>951.88</v>
      </c>
      <c r="J2950" s="754">
        <v>0</v>
      </c>
      <c r="K2950" s="754">
        <v>0</v>
      </c>
      <c r="L2950" s="754">
        <v>276.06</v>
      </c>
      <c r="M2950" s="754">
        <f t="shared" si="117"/>
        <v>276.06</v>
      </c>
      <c r="N2950" s="756">
        <v>951.88</v>
      </c>
      <c r="O2950" s="720">
        <f t="shared" si="118"/>
        <v>0</v>
      </c>
    </row>
    <row r="2951" spans="1:15" x14ac:dyDescent="0.25">
      <c r="A2951" s="207" t="str">
        <f>VLOOKUP(RIGHT(E2951,3)+0,SchLocTable!$A$2:$B$47,2,FALSE)</f>
        <v>Claytor</v>
      </c>
      <c r="B2951" s="207" t="str">
        <f>VLOOKUP(VALUE(D2951),$D$3:F$106,3,FALSE)</f>
        <v>School Nurses</v>
      </c>
      <c r="C2951" s="751" t="s">
        <v>246</v>
      </c>
      <c r="D2951" s="751" t="s">
        <v>862</v>
      </c>
      <c r="E2951" s="751" t="s">
        <v>882</v>
      </c>
      <c r="F2951" s="751" t="s">
        <v>331</v>
      </c>
      <c r="G2951" s="752" t="s">
        <v>1681</v>
      </c>
      <c r="H2951" s="753">
        <v>52504</v>
      </c>
      <c r="I2951" s="754">
        <v>13838.23</v>
      </c>
      <c r="J2951" s="754">
        <v>0</v>
      </c>
      <c r="K2951" s="754">
        <v>0</v>
      </c>
      <c r="L2951" s="754">
        <v>4241.6000000000004</v>
      </c>
      <c r="M2951" s="754">
        <f t="shared" si="117"/>
        <v>4241.6000000000004</v>
      </c>
      <c r="N2951" s="756">
        <v>13838.23</v>
      </c>
      <c r="O2951" s="720">
        <f t="shared" si="118"/>
        <v>0</v>
      </c>
    </row>
    <row r="2952" spans="1:15" x14ac:dyDescent="0.25">
      <c r="A2952" s="207" t="str">
        <f>VLOOKUP(RIGHT(E2952,3)+0,SchLocTable!$A$2:$B$47,2,FALSE)</f>
        <v>Claytor</v>
      </c>
      <c r="B2952" s="207" t="str">
        <f>VLOOKUP(VALUE(D2952),$D$3:F$106,3,FALSE)</f>
        <v>School Nurses</v>
      </c>
      <c r="C2952" s="751" t="s">
        <v>246</v>
      </c>
      <c r="D2952" s="751" t="s">
        <v>862</v>
      </c>
      <c r="E2952" s="751" t="s">
        <v>882</v>
      </c>
      <c r="F2952" s="751" t="s">
        <v>259</v>
      </c>
      <c r="G2952" s="752" t="s">
        <v>1681</v>
      </c>
      <c r="H2952" s="753">
        <v>52917</v>
      </c>
      <c r="I2952" s="754">
        <v>11016.29</v>
      </c>
      <c r="J2952" s="754">
        <v>0</v>
      </c>
      <c r="K2952" s="754">
        <v>0</v>
      </c>
      <c r="L2952" s="754">
        <v>3376.64</v>
      </c>
      <c r="M2952" s="754">
        <f t="shared" si="117"/>
        <v>3376.64</v>
      </c>
      <c r="N2952" s="756">
        <v>11016.29</v>
      </c>
      <c r="O2952" s="720">
        <f t="shared" si="118"/>
        <v>0</v>
      </c>
    </row>
    <row r="2953" spans="1:15" x14ac:dyDescent="0.25">
      <c r="A2953" s="207" t="str">
        <f>VLOOKUP(RIGHT(E2953,3)+0,SchLocTable!$A$2:$B$47,2,FALSE)</f>
        <v>Johnson</v>
      </c>
      <c r="B2953" s="207" t="str">
        <f>VLOOKUP(VALUE(D2953),$D$3:F$106,3,FALSE)</f>
        <v>School Nurses</v>
      </c>
      <c r="C2953" s="751" t="s">
        <v>246</v>
      </c>
      <c r="D2953" s="751" t="s">
        <v>862</v>
      </c>
      <c r="E2953" s="751" t="s">
        <v>883</v>
      </c>
      <c r="F2953" s="751" t="s">
        <v>248</v>
      </c>
      <c r="G2953" s="752">
        <v>1</v>
      </c>
      <c r="H2953" s="753">
        <v>51000</v>
      </c>
      <c r="I2953" s="754">
        <v>71574.03</v>
      </c>
      <c r="J2953" s="754">
        <v>0</v>
      </c>
      <c r="K2953" s="754">
        <v>0</v>
      </c>
      <c r="L2953" s="754">
        <v>21938.400000000001</v>
      </c>
      <c r="M2953" s="754">
        <f t="shared" si="117"/>
        <v>21938.400000000001</v>
      </c>
      <c r="N2953" s="756">
        <v>71574.03</v>
      </c>
      <c r="O2953" s="720">
        <f t="shared" si="118"/>
        <v>0</v>
      </c>
    </row>
    <row r="2954" spans="1:15" x14ac:dyDescent="0.25">
      <c r="A2954" s="207" t="str">
        <f>VLOOKUP(RIGHT(E2954,3)+0,SchLocTable!$A$2:$B$47,2,FALSE)</f>
        <v>Johnson</v>
      </c>
      <c r="B2954" s="207" t="str">
        <f>VLOOKUP(VALUE(D2954),$D$3:F$106,3,FALSE)</f>
        <v>School Nurses</v>
      </c>
      <c r="C2954" s="755" t="s">
        <v>246</v>
      </c>
      <c r="D2954" s="751" t="s">
        <v>862</v>
      </c>
      <c r="E2954" s="751" t="s">
        <v>883</v>
      </c>
      <c r="F2954" s="751" t="s">
        <v>257</v>
      </c>
      <c r="G2954" s="752" t="s">
        <v>1681</v>
      </c>
      <c r="H2954" s="753">
        <v>51140</v>
      </c>
      <c r="I2954" s="754">
        <v>630</v>
      </c>
      <c r="J2954" s="754">
        <v>0</v>
      </c>
      <c r="K2954" s="754">
        <v>0</v>
      </c>
      <c r="L2954" s="754">
        <v>0</v>
      </c>
      <c r="M2954" s="754">
        <f t="shared" si="117"/>
        <v>0</v>
      </c>
      <c r="N2954" s="756">
        <v>630</v>
      </c>
      <c r="O2954" s="720">
        <f t="shared" si="118"/>
        <v>0</v>
      </c>
    </row>
    <row r="2955" spans="1:15" x14ac:dyDescent="0.25">
      <c r="A2955" s="207" t="str">
        <f>VLOOKUP(RIGHT(E2955,3)+0,SchLocTable!$A$2:$B$47,2,FALSE)</f>
        <v>Johnson</v>
      </c>
      <c r="B2955" s="207" t="str">
        <f>VLOOKUP(VALUE(D2955),$D$3:F$106,3,FALSE)</f>
        <v>School Nurses</v>
      </c>
      <c r="C2955" s="751" t="s">
        <v>246</v>
      </c>
      <c r="D2955" s="751" t="s">
        <v>862</v>
      </c>
      <c r="E2955" s="751" t="s">
        <v>883</v>
      </c>
      <c r="F2955" s="751" t="s">
        <v>254</v>
      </c>
      <c r="G2955" s="752" t="s">
        <v>1681</v>
      </c>
      <c r="H2955" s="753">
        <v>52360</v>
      </c>
      <c r="I2955" s="754">
        <v>1025.48</v>
      </c>
      <c r="J2955" s="754">
        <v>0</v>
      </c>
      <c r="K2955" s="754">
        <v>0</v>
      </c>
      <c r="L2955" s="754">
        <v>305.76</v>
      </c>
      <c r="M2955" s="754">
        <f t="shared" si="117"/>
        <v>305.76</v>
      </c>
      <c r="N2955" s="756">
        <v>1025.48</v>
      </c>
      <c r="O2955" s="720">
        <f t="shared" si="118"/>
        <v>0</v>
      </c>
    </row>
    <row r="2956" spans="1:15" x14ac:dyDescent="0.25">
      <c r="A2956" s="207" t="str">
        <f>VLOOKUP(RIGHT(E2956,3)+0,SchLocTable!$A$2:$B$47,2,FALSE)</f>
        <v>Johnson</v>
      </c>
      <c r="B2956" s="207" t="str">
        <f>VLOOKUP(VALUE(D2956),$D$3:F$106,3,FALSE)</f>
        <v>School Nurses</v>
      </c>
      <c r="C2956" s="751" t="s">
        <v>246</v>
      </c>
      <c r="D2956" s="751" t="s">
        <v>862</v>
      </c>
      <c r="E2956" s="751" t="s">
        <v>883</v>
      </c>
      <c r="F2956" s="751" t="s">
        <v>331</v>
      </c>
      <c r="G2956" s="752" t="s">
        <v>1681</v>
      </c>
      <c r="H2956" s="753">
        <v>52504</v>
      </c>
      <c r="I2956" s="754">
        <v>14737.1</v>
      </c>
      <c r="J2956" s="754">
        <v>0</v>
      </c>
      <c r="K2956" s="754">
        <v>0</v>
      </c>
      <c r="L2956" s="754">
        <v>4517.12</v>
      </c>
      <c r="M2956" s="754">
        <f t="shared" si="117"/>
        <v>4517.12</v>
      </c>
      <c r="N2956" s="756">
        <v>14737.1</v>
      </c>
      <c r="O2956" s="720">
        <f t="shared" si="118"/>
        <v>0</v>
      </c>
    </row>
    <row r="2957" spans="1:15" x14ac:dyDescent="0.25">
      <c r="A2957" s="207" t="str">
        <f>VLOOKUP(RIGHT(E2957,3)+0,SchLocTable!$A$2:$B$47,2,FALSE)</f>
        <v>Johnson</v>
      </c>
      <c r="B2957" s="207" t="str">
        <f>VLOOKUP(VALUE(D2957),$D$3:F$106,3,FALSE)</f>
        <v>School Nurses</v>
      </c>
      <c r="C2957" s="751" t="s">
        <v>246</v>
      </c>
      <c r="D2957" s="751" t="s">
        <v>862</v>
      </c>
      <c r="E2957" s="751" t="s">
        <v>883</v>
      </c>
      <c r="F2957" s="751" t="s">
        <v>259</v>
      </c>
      <c r="G2957" s="752" t="s">
        <v>1681</v>
      </c>
      <c r="H2957" s="753">
        <v>52917</v>
      </c>
      <c r="I2957" s="754">
        <v>11043.43</v>
      </c>
      <c r="J2957" s="754">
        <v>0</v>
      </c>
      <c r="K2957" s="754">
        <v>0</v>
      </c>
      <c r="L2957" s="754">
        <v>3384.96</v>
      </c>
      <c r="M2957" s="754">
        <f t="shared" si="117"/>
        <v>3384.96</v>
      </c>
      <c r="N2957" s="756">
        <v>11043.43</v>
      </c>
      <c r="O2957" s="720">
        <f t="shared" si="118"/>
        <v>0</v>
      </c>
    </row>
    <row r="2958" spans="1:15" x14ac:dyDescent="0.25">
      <c r="A2958" s="207" t="str">
        <f>VLOOKUP(RIGHT(E2958,3)+0,SchLocTable!$A$2:$B$47,2,FALSE)</f>
        <v>Johnson</v>
      </c>
      <c r="B2958" s="207" t="str">
        <f>VLOOKUP(VALUE(D2958),$D$3:F$106,3,FALSE)</f>
        <v>School Nurses</v>
      </c>
      <c r="C2958" s="751" t="s">
        <v>246</v>
      </c>
      <c r="D2958" s="751" t="s">
        <v>862</v>
      </c>
      <c r="E2958" s="751" t="s">
        <v>883</v>
      </c>
      <c r="F2958" s="751" t="s">
        <v>864</v>
      </c>
      <c r="G2958" s="752" t="s">
        <v>1681</v>
      </c>
      <c r="H2958" s="753">
        <v>53905</v>
      </c>
      <c r="I2958" s="754">
        <v>350</v>
      </c>
      <c r="J2958" s="754">
        <v>0</v>
      </c>
      <c r="K2958" s="754">
        <v>0</v>
      </c>
      <c r="L2958" s="754">
        <v>350</v>
      </c>
      <c r="M2958" s="754">
        <f t="shared" si="117"/>
        <v>350</v>
      </c>
      <c r="N2958" s="756">
        <v>350</v>
      </c>
      <c r="O2958" s="720">
        <f t="shared" si="118"/>
        <v>0</v>
      </c>
    </row>
    <row r="2959" spans="1:15" x14ac:dyDescent="0.25">
      <c r="A2959" s="207" t="str">
        <f>VLOOKUP(RIGHT(E2959,3)+0,SchLocTable!$A$2:$B$47,2,FALSE)</f>
        <v>Winthrop</v>
      </c>
      <c r="B2959" s="207" t="str">
        <f>VLOOKUP(VALUE(D2959),$D$3:F$106,3,FALSE)</f>
        <v>School Nurses</v>
      </c>
      <c r="C2959" s="751" t="s">
        <v>246</v>
      </c>
      <c r="D2959" s="751" t="s">
        <v>862</v>
      </c>
      <c r="E2959" s="751" t="s">
        <v>884</v>
      </c>
      <c r="F2959" s="751" t="s">
        <v>248</v>
      </c>
      <c r="G2959" s="752">
        <v>1</v>
      </c>
      <c r="H2959" s="753">
        <v>51000</v>
      </c>
      <c r="I2959" s="754">
        <v>71574.03</v>
      </c>
      <c r="J2959" s="754">
        <v>0</v>
      </c>
      <c r="K2959" s="754">
        <v>0</v>
      </c>
      <c r="L2959" s="754">
        <v>21938.400000000001</v>
      </c>
      <c r="M2959" s="754">
        <f t="shared" si="117"/>
        <v>21938.400000000001</v>
      </c>
      <c r="N2959" s="756">
        <v>71574.03</v>
      </c>
      <c r="O2959" s="720">
        <f t="shared" si="118"/>
        <v>0</v>
      </c>
    </row>
    <row r="2960" spans="1:15" x14ac:dyDescent="0.25">
      <c r="A2960" s="207" t="str">
        <f>VLOOKUP(RIGHT(E2960,3)+0,SchLocTable!$A$2:$B$47,2,FALSE)</f>
        <v>Winthrop</v>
      </c>
      <c r="B2960" s="207" t="str">
        <f>VLOOKUP(VALUE(D2960),$D$3:F$106,3,FALSE)</f>
        <v>School Nurses</v>
      </c>
      <c r="C2960" s="751" t="s">
        <v>246</v>
      </c>
      <c r="D2960" s="751" t="s">
        <v>862</v>
      </c>
      <c r="E2960" s="751" t="s">
        <v>884</v>
      </c>
      <c r="F2960" s="751" t="s">
        <v>257</v>
      </c>
      <c r="G2960" s="752" t="s">
        <v>1681</v>
      </c>
      <c r="H2960" s="753">
        <v>51140</v>
      </c>
      <c r="I2960" s="754">
        <v>700</v>
      </c>
      <c r="J2960" s="754">
        <v>0</v>
      </c>
      <c r="K2960" s="754">
        <v>0</v>
      </c>
      <c r="L2960" s="754">
        <v>0</v>
      </c>
      <c r="M2960" s="754">
        <f t="shared" si="117"/>
        <v>0</v>
      </c>
      <c r="N2960" s="756">
        <v>700</v>
      </c>
      <c r="O2960" s="720">
        <f t="shared" si="118"/>
        <v>0</v>
      </c>
    </row>
    <row r="2961" spans="1:15" x14ac:dyDescent="0.25">
      <c r="A2961" s="207" t="str">
        <f>VLOOKUP(RIGHT(E2961,3)+0,SchLocTable!$A$2:$B$47,2,FALSE)</f>
        <v>Winthrop</v>
      </c>
      <c r="B2961" s="207" t="str">
        <f>VLOOKUP(VALUE(D2961),$D$3:F$106,3,FALSE)</f>
        <v>School Nurses</v>
      </c>
      <c r="C2961" s="755" t="s">
        <v>246</v>
      </c>
      <c r="D2961" s="751" t="s">
        <v>862</v>
      </c>
      <c r="E2961" s="751" t="s">
        <v>884</v>
      </c>
      <c r="F2961" s="751" t="s">
        <v>254</v>
      </c>
      <c r="G2961" s="752" t="s">
        <v>1681</v>
      </c>
      <c r="H2961" s="753">
        <v>52360</v>
      </c>
      <c r="I2961" s="754">
        <v>1000.76</v>
      </c>
      <c r="J2961" s="754">
        <v>0</v>
      </c>
      <c r="K2961" s="754">
        <v>0</v>
      </c>
      <c r="L2961" s="754">
        <v>281.04000000000002</v>
      </c>
      <c r="M2961" s="754">
        <f t="shared" si="117"/>
        <v>281.04000000000002</v>
      </c>
      <c r="N2961" s="756">
        <v>1000.76</v>
      </c>
      <c r="O2961" s="720">
        <f t="shared" si="118"/>
        <v>0</v>
      </c>
    </row>
    <row r="2962" spans="1:15" x14ac:dyDescent="0.25">
      <c r="A2962" s="207" t="str">
        <f>VLOOKUP(RIGHT(E2962,3)+0,SchLocTable!$A$2:$B$47,2,FALSE)</f>
        <v>Winthrop</v>
      </c>
      <c r="B2962" s="207" t="str">
        <f>VLOOKUP(VALUE(D2962),$D$3:F$106,3,FALSE)</f>
        <v>School Nurses</v>
      </c>
      <c r="C2962" s="751" t="s">
        <v>246</v>
      </c>
      <c r="D2962" s="751" t="s">
        <v>862</v>
      </c>
      <c r="E2962" s="751" t="s">
        <v>884</v>
      </c>
      <c r="F2962" s="751" t="s">
        <v>331</v>
      </c>
      <c r="G2962" s="752" t="s">
        <v>1681</v>
      </c>
      <c r="H2962" s="753">
        <v>52504</v>
      </c>
      <c r="I2962" s="754">
        <v>14737.1</v>
      </c>
      <c r="J2962" s="754">
        <v>0</v>
      </c>
      <c r="K2962" s="754">
        <v>0</v>
      </c>
      <c r="L2962" s="754">
        <v>4517.12</v>
      </c>
      <c r="M2962" s="754">
        <f t="shared" si="117"/>
        <v>4517.12</v>
      </c>
      <c r="N2962" s="756">
        <v>14737.1</v>
      </c>
      <c r="O2962" s="720">
        <f t="shared" si="118"/>
        <v>0</v>
      </c>
    </row>
    <row r="2963" spans="1:15" x14ac:dyDescent="0.25">
      <c r="A2963" s="207" t="str">
        <f>VLOOKUP(RIGHT(E2963,3)+0,SchLocTable!$A$2:$B$47,2,FALSE)</f>
        <v>Winthrop</v>
      </c>
      <c r="B2963" s="207" t="str">
        <f>VLOOKUP(VALUE(D2963),$D$3:F$106,3,FALSE)</f>
        <v>School Nurses</v>
      </c>
      <c r="C2963" s="751" t="s">
        <v>246</v>
      </c>
      <c r="D2963" s="751" t="s">
        <v>862</v>
      </c>
      <c r="E2963" s="751" t="s">
        <v>884</v>
      </c>
      <c r="F2963" s="751" t="s">
        <v>259</v>
      </c>
      <c r="G2963" s="752" t="s">
        <v>1681</v>
      </c>
      <c r="H2963" s="753">
        <v>52917</v>
      </c>
      <c r="I2963" s="754">
        <v>26536.39</v>
      </c>
      <c r="J2963" s="754">
        <v>0</v>
      </c>
      <c r="K2963" s="754">
        <v>0</v>
      </c>
      <c r="L2963" s="754">
        <v>8133.76</v>
      </c>
      <c r="M2963" s="754">
        <f t="shared" si="117"/>
        <v>8133.76</v>
      </c>
      <c r="N2963" s="756">
        <v>26536.39</v>
      </c>
      <c r="O2963" s="720">
        <f t="shared" si="118"/>
        <v>0</v>
      </c>
    </row>
    <row r="2964" spans="1:15" x14ac:dyDescent="0.25">
      <c r="A2964" s="207" t="str">
        <f>VLOOKUP(RIGHT(E2964,3)+0,SchLocTable!$A$2:$B$47,2,FALSE)</f>
        <v>Winthrop</v>
      </c>
      <c r="B2964" s="207" t="str">
        <f>VLOOKUP(VALUE(D2964),$D$3:F$106,3,FALSE)</f>
        <v>School Nurses</v>
      </c>
      <c r="C2964" s="751" t="s">
        <v>246</v>
      </c>
      <c r="D2964" s="751" t="s">
        <v>862</v>
      </c>
      <c r="E2964" s="751" t="s">
        <v>884</v>
      </c>
      <c r="F2964" s="751" t="s">
        <v>864</v>
      </c>
      <c r="G2964" s="752" t="s">
        <v>1681</v>
      </c>
      <c r="H2964" s="753">
        <v>53905</v>
      </c>
      <c r="I2964" s="754">
        <v>350</v>
      </c>
      <c r="J2964" s="754">
        <v>0</v>
      </c>
      <c r="K2964" s="754">
        <v>0</v>
      </c>
      <c r="L2964" s="754">
        <v>350</v>
      </c>
      <c r="M2964" s="754">
        <f t="shared" si="117"/>
        <v>350</v>
      </c>
      <c r="N2964" s="756">
        <v>350</v>
      </c>
      <c r="O2964" s="720">
        <f t="shared" si="118"/>
        <v>0</v>
      </c>
    </row>
    <row r="2965" spans="1:15" x14ac:dyDescent="0.25">
      <c r="A2965" s="207" t="str">
        <f>VLOOKUP(RIGHT(E2965,3)+0,SchLocTable!$A$2:$B$47,2,FALSE)</f>
        <v>Discovery</v>
      </c>
      <c r="B2965" s="207" t="str">
        <f>VLOOKUP(VALUE(D2965),$D$3:F$106,3,FALSE)</f>
        <v>School Nurses</v>
      </c>
      <c r="C2965" s="751" t="s">
        <v>246</v>
      </c>
      <c r="D2965" s="751" t="s">
        <v>862</v>
      </c>
      <c r="E2965" s="751" t="s">
        <v>1626</v>
      </c>
      <c r="F2965" s="751" t="s">
        <v>248</v>
      </c>
      <c r="G2965" s="752">
        <v>1</v>
      </c>
      <c r="H2965" s="753">
        <v>51000</v>
      </c>
      <c r="I2965" s="754">
        <v>57423.39</v>
      </c>
      <c r="J2965" s="754">
        <v>0</v>
      </c>
      <c r="K2965" s="754">
        <v>0</v>
      </c>
      <c r="L2965" s="754">
        <v>10815.17</v>
      </c>
      <c r="M2965" s="754">
        <f t="shared" si="117"/>
        <v>10815.17</v>
      </c>
      <c r="N2965" s="756">
        <v>57423.39</v>
      </c>
      <c r="O2965" s="720">
        <f t="shared" si="118"/>
        <v>0</v>
      </c>
    </row>
    <row r="2966" spans="1:15" x14ac:dyDescent="0.25">
      <c r="A2966" s="207" t="str">
        <f>VLOOKUP(RIGHT(E2966,3)+0,SchLocTable!$A$2:$B$47,2,FALSE)</f>
        <v>Discovery</v>
      </c>
      <c r="B2966" s="207" t="str">
        <f>VLOOKUP(VALUE(D2966),$D$3:F$106,3,FALSE)</f>
        <v>School Nurses</v>
      </c>
      <c r="C2966" s="755" t="s">
        <v>246</v>
      </c>
      <c r="D2966" s="751" t="s">
        <v>862</v>
      </c>
      <c r="E2966" s="751" t="s">
        <v>1626</v>
      </c>
      <c r="F2966" s="751" t="s">
        <v>257</v>
      </c>
      <c r="G2966" s="752" t="s">
        <v>1681</v>
      </c>
      <c r="H2966" s="753">
        <v>51140</v>
      </c>
      <c r="I2966" s="754">
        <v>0</v>
      </c>
      <c r="J2966" s="754">
        <v>0</v>
      </c>
      <c r="K2966" s="754">
        <v>0</v>
      </c>
      <c r="L2966" s="754">
        <v>0</v>
      </c>
      <c r="M2966" s="754">
        <f t="shared" si="117"/>
        <v>0</v>
      </c>
      <c r="N2966" s="756">
        <v>0</v>
      </c>
      <c r="O2966" s="720">
        <f t="shared" si="118"/>
        <v>0</v>
      </c>
    </row>
    <row r="2967" spans="1:15" x14ac:dyDescent="0.25">
      <c r="A2967" s="207" t="str">
        <f>VLOOKUP(RIGHT(E2967,3)+0,SchLocTable!$A$2:$B$47,2,FALSE)</f>
        <v>Discovery</v>
      </c>
      <c r="B2967" s="207" t="str">
        <f>VLOOKUP(VALUE(D2967),$D$3:F$106,3,FALSE)</f>
        <v>School Nurses</v>
      </c>
      <c r="C2967" s="755" t="s">
        <v>246</v>
      </c>
      <c r="D2967" s="751" t="s">
        <v>862</v>
      </c>
      <c r="E2967" s="751" t="s">
        <v>1626</v>
      </c>
      <c r="F2967" s="751" t="s">
        <v>254</v>
      </c>
      <c r="G2967" s="752" t="s">
        <v>1681</v>
      </c>
      <c r="H2967" s="753">
        <v>52360</v>
      </c>
      <c r="I2967" s="754">
        <v>822.37</v>
      </c>
      <c r="J2967" s="754">
        <v>0</v>
      </c>
      <c r="K2967" s="754">
        <v>0</v>
      </c>
      <c r="L2967" s="754">
        <v>146.55000000000001</v>
      </c>
      <c r="M2967" s="754">
        <f t="shared" si="117"/>
        <v>146.55000000000001</v>
      </c>
      <c r="N2967" s="756">
        <v>822.37</v>
      </c>
      <c r="O2967" s="720">
        <f t="shared" si="118"/>
        <v>0</v>
      </c>
    </row>
    <row r="2968" spans="1:15" x14ac:dyDescent="0.25">
      <c r="A2968" s="207" t="str">
        <f>VLOOKUP(RIGHT(E2968,3)+0,SchLocTable!$A$2:$B$47,2,FALSE)</f>
        <v>Discovery</v>
      </c>
      <c r="B2968" s="207" t="str">
        <f>VLOOKUP(VALUE(D2968),$D$3:F$106,3,FALSE)</f>
        <v>School Nurses</v>
      </c>
      <c r="C2968" s="751" t="s">
        <v>246</v>
      </c>
      <c r="D2968" s="751" t="s">
        <v>862</v>
      </c>
      <c r="E2968" s="751" t="s">
        <v>1626</v>
      </c>
      <c r="F2968" s="751" t="s">
        <v>292</v>
      </c>
      <c r="G2968" s="752" t="s">
        <v>1681</v>
      </c>
      <c r="H2968" s="753">
        <v>52385</v>
      </c>
      <c r="I2968" s="754">
        <v>626.63</v>
      </c>
      <c r="J2968" s="754">
        <v>0</v>
      </c>
      <c r="K2968" s="754">
        <v>0</v>
      </c>
      <c r="L2968" s="754">
        <v>626.63</v>
      </c>
      <c r="M2968" s="754">
        <f t="shared" si="117"/>
        <v>626.63</v>
      </c>
      <c r="N2968" s="756">
        <v>626.63</v>
      </c>
      <c r="O2968" s="720">
        <f t="shared" si="118"/>
        <v>0</v>
      </c>
    </row>
    <row r="2969" spans="1:15" x14ac:dyDescent="0.25">
      <c r="A2969" s="207" t="str">
        <f>VLOOKUP(RIGHT(E2969,3)+0,SchLocTable!$A$2:$B$47,2,FALSE)</f>
        <v>Discovery</v>
      </c>
      <c r="B2969" s="207" t="str">
        <f>VLOOKUP(VALUE(D2969),$D$3:F$106,3,FALSE)</f>
        <v>School Nurses</v>
      </c>
      <c r="C2969" s="751" t="s">
        <v>246</v>
      </c>
      <c r="D2969" s="751" t="s">
        <v>862</v>
      </c>
      <c r="E2969" s="751" t="s">
        <v>1626</v>
      </c>
      <c r="F2969" s="751" t="s">
        <v>331</v>
      </c>
      <c r="G2969" s="752" t="s">
        <v>1681</v>
      </c>
      <c r="H2969" s="753">
        <v>52504</v>
      </c>
      <c r="I2969" s="754">
        <v>9596.6299999999992</v>
      </c>
      <c r="J2969" s="754">
        <v>0</v>
      </c>
      <c r="K2969" s="754">
        <v>0</v>
      </c>
      <c r="L2969" s="754">
        <v>0</v>
      </c>
      <c r="M2969" s="754">
        <f t="shared" si="117"/>
        <v>0</v>
      </c>
      <c r="N2969" s="756">
        <v>9596.6299999999992</v>
      </c>
      <c r="O2969" s="720">
        <f t="shared" si="118"/>
        <v>0</v>
      </c>
    </row>
    <row r="2970" spans="1:15" x14ac:dyDescent="0.25">
      <c r="A2970" s="207" t="str">
        <f>VLOOKUP(RIGHT(E2970,3)+0,SchLocTable!$A$2:$B$47,2,FALSE)</f>
        <v>Discovery</v>
      </c>
      <c r="B2970" s="207" t="str">
        <f>VLOOKUP(VALUE(D2970),$D$3:F$106,3,FALSE)</f>
        <v>School Nurses</v>
      </c>
      <c r="C2970" s="751" t="s">
        <v>246</v>
      </c>
      <c r="D2970" s="751" t="s">
        <v>862</v>
      </c>
      <c r="E2970" s="751" t="s">
        <v>1626</v>
      </c>
      <c r="F2970" s="751" t="s">
        <v>259</v>
      </c>
      <c r="G2970" s="752" t="s">
        <v>1681</v>
      </c>
      <c r="H2970" s="753">
        <v>52917</v>
      </c>
      <c r="I2970" s="754">
        <v>24809.29</v>
      </c>
      <c r="J2970" s="754">
        <v>0</v>
      </c>
      <c r="K2970" s="754">
        <v>0</v>
      </c>
      <c r="L2970" s="754">
        <v>1898.67</v>
      </c>
      <c r="M2970" s="754">
        <f t="shared" si="117"/>
        <v>1898.67</v>
      </c>
      <c r="N2970" s="756">
        <v>24809.29</v>
      </c>
      <c r="O2970" s="720">
        <f t="shared" si="118"/>
        <v>0</v>
      </c>
    </row>
    <row r="2971" spans="1:15" x14ac:dyDescent="0.25">
      <c r="A2971" s="207" t="str">
        <f>VLOOKUP(RIGHT(E2971,3)+0,SchLocTable!$A$2:$B$47,2,FALSE)</f>
        <v>Discovery</v>
      </c>
      <c r="B2971" s="207" t="str">
        <f>VLOOKUP(VALUE(D2971),$D$3:F$106,3,FALSE)</f>
        <v>School Nurses</v>
      </c>
      <c r="C2971" s="751" t="s">
        <v>246</v>
      </c>
      <c r="D2971" s="751" t="s">
        <v>862</v>
      </c>
      <c r="E2971" s="751" t="s">
        <v>1626</v>
      </c>
      <c r="F2971" s="751" t="s">
        <v>333</v>
      </c>
      <c r="G2971" s="752" t="s">
        <v>1681</v>
      </c>
      <c r="H2971" s="753">
        <v>52920</v>
      </c>
      <c r="I2971" s="754">
        <v>2000</v>
      </c>
      <c r="J2971" s="754">
        <v>0</v>
      </c>
      <c r="K2971" s="754">
        <v>0</v>
      </c>
      <c r="L2971" s="754">
        <v>0</v>
      </c>
      <c r="M2971" s="754">
        <f t="shared" si="117"/>
        <v>0</v>
      </c>
      <c r="N2971" s="756">
        <v>2000</v>
      </c>
      <c r="O2971" s="720">
        <f t="shared" si="118"/>
        <v>0</v>
      </c>
    </row>
    <row r="2972" spans="1:15" x14ac:dyDescent="0.25">
      <c r="A2972" s="207" t="str">
        <f>VLOOKUP(RIGHT(E2972,3)+0,SchLocTable!$A$2:$B$47,2,FALSE)</f>
        <v>Discovery</v>
      </c>
      <c r="B2972" s="207" t="str">
        <f>VLOOKUP(VALUE(D2972),$D$3:F$106,3,FALSE)</f>
        <v>School Nurses</v>
      </c>
      <c r="C2972" s="755" t="s">
        <v>246</v>
      </c>
      <c r="D2972" s="751" t="s">
        <v>862</v>
      </c>
      <c r="E2972" s="751" t="s">
        <v>1626</v>
      </c>
      <c r="F2972" s="751" t="s">
        <v>864</v>
      </c>
      <c r="G2972" s="752" t="s">
        <v>1681</v>
      </c>
      <c r="H2972" s="753">
        <v>53905</v>
      </c>
      <c r="I2972" s="754">
        <v>500</v>
      </c>
      <c r="J2972" s="754">
        <v>0</v>
      </c>
      <c r="K2972" s="754">
        <v>0</v>
      </c>
      <c r="L2972" s="754">
        <v>0</v>
      </c>
      <c r="M2972" s="754">
        <f t="shared" si="117"/>
        <v>0</v>
      </c>
      <c r="N2972" s="756">
        <v>500</v>
      </c>
      <c r="O2972" s="720">
        <f t="shared" si="118"/>
        <v>0</v>
      </c>
    </row>
    <row r="2973" spans="1:15" x14ac:dyDescent="0.25">
      <c r="A2973" s="207" t="str">
        <f>VLOOKUP(RIGHT(E2973,3)+0,SchLocTable!$A$2:$B$47,2,FALSE)</f>
        <v>Cross</v>
      </c>
      <c r="B2973" s="207" t="str">
        <f>VLOOKUP(VALUE(D2973),$D$3:F$106,3,FALSE)</f>
        <v>School Nurses</v>
      </c>
      <c r="C2973" s="755" t="s">
        <v>246</v>
      </c>
      <c r="D2973" s="751" t="s">
        <v>862</v>
      </c>
      <c r="E2973" s="751" t="s">
        <v>885</v>
      </c>
      <c r="F2973" s="751" t="s">
        <v>248</v>
      </c>
      <c r="G2973" s="752">
        <v>1</v>
      </c>
      <c r="H2973" s="753">
        <v>51000</v>
      </c>
      <c r="I2973" s="754">
        <v>68687.37</v>
      </c>
      <c r="J2973" s="754">
        <v>0</v>
      </c>
      <c r="K2973" s="754">
        <v>0</v>
      </c>
      <c r="L2973" s="754">
        <v>21053.599999999999</v>
      </c>
      <c r="M2973" s="754">
        <f t="shared" si="117"/>
        <v>21053.599999999999</v>
      </c>
      <c r="N2973" s="756">
        <v>68687.37</v>
      </c>
      <c r="O2973" s="720">
        <f t="shared" si="118"/>
        <v>0</v>
      </c>
    </row>
    <row r="2974" spans="1:15" x14ac:dyDescent="0.25">
      <c r="A2974" s="207" t="str">
        <f>VLOOKUP(RIGHT(E2974,3)+0,SchLocTable!$A$2:$B$47,2,FALSE)</f>
        <v>Cross</v>
      </c>
      <c r="B2974" s="207" t="str">
        <f>VLOOKUP(VALUE(D2974),$D$3:F$106,3,FALSE)</f>
        <v>School Nurses</v>
      </c>
      <c r="C2974" s="751" t="s">
        <v>246</v>
      </c>
      <c r="D2974" s="751" t="s">
        <v>862</v>
      </c>
      <c r="E2974" s="751" t="s">
        <v>885</v>
      </c>
      <c r="F2974" s="751" t="s">
        <v>257</v>
      </c>
      <c r="G2974" s="752" t="s">
        <v>1681</v>
      </c>
      <c r="H2974" s="753">
        <v>51140</v>
      </c>
      <c r="I2974" s="754">
        <v>0</v>
      </c>
      <c r="J2974" s="754">
        <v>0</v>
      </c>
      <c r="K2974" s="754">
        <v>0</v>
      </c>
      <c r="L2974" s="754">
        <v>0</v>
      </c>
      <c r="M2974" s="754">
        <f t="shared" si="117"/>
        <v>0</v>
      </c>
      <c r="N2974" s="756">
        <v>0</v>
      </c>
      <c r="O2974" s="720">
        <f t="shared" si="118"/>
        <v>0</v>
      </c>
    </row>
    <row r="2975" spans="1:15" x14ac:dyDescent="0.25">
      <c r="A2975" s="207" t="str">
        <f>VLOOKUP(RIGHT(E2975,3)+0,SchLocTable!$A$2:$B$47,2,FALSE)</f>
        <v>Cross</v>
      </c>
      <c r="B2975" s="207" t="str">
        <f>VLOOKUP(VALUE(D2975),$D$3:F$106,3,FALSE)</f>
        <v>School Nurses</v>
      </c>
      <c r="C2975" s="751" t="s">
        <v>246</v>
      </c>
      <c r="D2975" s="751" t="s">
        <v>862</v>
      </c>
      <c r="E2975" s="751" t="s">
        <v>885</v>
      </c>
      <c r="F2975" s="751" t="s">
        <v>254</v>
      </c>
      <c r="G2975" s="752" t="s">
        <v>1681</v>
      </c>
      <c r="H2975" s="753">
        <v>52360</v>
      </c>
      <c r="I2975" s="754">
        <v>953.82</v>
      </c>
      <c r="J2975" s="754">
        <v>0</v>
      </c>
      <c r="K2975" s="754">
        <v>0</v>
      </c>
      <c r="L2975" s="754">
        <v>263.13</v>
      </c>
      <c r="M2975" s="754">
        <f t="shared" si="117"/>
        <v>263.13</v>
      </c>
      <c r="N2975" s="756">
        <v>953.82</v>
      </c>
      <c r="O2975" s="720">
        <f t="shared" si="118"/>
        <v>0</v>
      </c>
    </row>
    <row r="2976" spans="1:15" x14ac:dyDescent="0.25">
      <c r="A2976" s="207" t="str">
        <f>VLOOKUP(RIGHT(E2976,3)+0,SchLocTable!$A$2:$B$47,2,FALSE)</f>
        <v>Cross</v>
      </c>
      <c r="B2976" s="207" t="str">
        <f>VLOOKUP(VALUE(D2976),$D$3:F$106,3,FALSE)</f>
        <v>School Nurses</v>
      </c>
      <c r="C2976" s="751" t="s">
        <v>246</v>
      </c>
      <c r="D2976" s="751" t="s">
        <v>862</v>
      </c>
      <c r="E2976" s="751" t="s">
        <v>885</v>
      </c>
      <c r="F2976" s="751" t="s">
        <v>331</v>
      </c>
      <c r="G2976" s="752" t="s">
        <v>1681</v>
      </c>
      <c r="H2976" s="753">
        <v>52504</v>
      </c>
      <c r="I2976" s="754">
        <v>14142.67</v>
      </c>
      <c r="J2976" s="754">
        <v>0</v>
      </c>
      <c r="K2976" s="754">
        <v>0</v>
      </c>
      <c r="L2976" s="754">
        <v>4334.88</v>
      </c>
      <c r="M2976" s="754">
        <f t="shared" si="117"/>
        <v>4334.88</v>
      </c>
      <c r="N2976" s="756">
        <v>14142.67</v>
      </c>
      <c r="O2976" s="720">
        <f t="shared" si="118"/>
        <v>0</v>
      </c>
    </row>
    <row r="2977" spans="1:15" x14ac:dyDescent="0.25">
      <c r="A2977" s="207" t="str">
        <f>VLOOKUP(RIGHT(E2977,3)+0,SchLocTable!$A$2:$B$47,2,FALSE)</f>
        <v>Cross</v>
      </c>
      <c r="B2977" s="207" t="str">
        <f>VLOOKUP(VALUE(D2977),$D$3:F$106,3,FALSE)</f>
        <v>School Nurses</v>
      </c>
      <c r="C2977" s="751" t="s">
        <v>246</v>
      </c>
      <c r="D2977" s="751" t="s">
        <v>862</v>
      </c>
      <c r="E2977" s="751" t="s">
        <v>885</v>
      </c>
      <c r="F2977" s="751" t="s">
        <v>259</v>
      </c>
      <c r="G2977" s="752" t="s">
        <v>1681</v>
      </c>
      <c r="H2977" s="753">
        <v>52917</v>
      </c>
      <c r="I2977" s="754">
        <v>26536.39</v>
      </c>
      <c r="J2977" s="754">
        <v>0</v>
      </c>
      <c r="K2977" s="754">
        <v>0</v>
      </c>
      <c r="L2977" s="754">
        <v>8133.76</v>
      </c>
      <c r="M2977" s="754">
        <f t="shared" si="117"/>
        <v>8133.76</v>
      </c>
      <c r="N2977" s="756">
        <v>26536.39</v>
      </c>
      <c r="O2977" s="720">
        <f t="shared" si="118"/>
        <v>0</v>
      </c>
    </row>
    <row r="2978" spans="1:15" x14ac:dyDescent="0.25">
      <c r="A2978" s="207" t="str">
        <f>VLOOKUP(RIGHT(E2978,3)+0,SchLocTable!$A$2:$B$47,2,FALSE)</f>
        <v>Cross</v>
      </c>
      <c r="B2978" s="207" t="str">
        <f>VLOOKUP(VALUE(D2978),$D$3:F$106,3,FALSE)</f>
        <v>School Nurses</v>
      </c>
      <c r="C2978" s="755" t="s">
        <v>246</v>
      </c>
      <c r="D2978" s="751" t="s">
        <v>862</v>
      </c>
      <c r="E2978" s="751" t="s">
        <v>885</v>
      </c>
      <c r="F2978" s="751" t="s">
        <v>864</v>
      </c>
      <c r="G2978" s="752" t="s">
        <v>1681</v>
      </c>
      <c r="H2978" s="753">
        <v>53905</v>
      </c>
      <c r="I2978" s="754">
        <v>2550</v>
      </c>
      <c r="J2978" s="754">
        <v>0</v>
      </c>
      <c r="K2978" s="754">
        <v>0</v>
      </c>
      <c r="L2978" s="754">
        <v>0</v>
      </c>
      <c r="M2978" s="754">
        <f t="shared" si="117"/>
        <v>0</v>
      </c>
      <c r="N2978" s="756">
        <v>2550</v>
      </c>
      <c r="O2978" s="720">
        <f t="shared" si="118"/>
        <v>0</v>
      </c>
    </row>
    <row r="2979" spans="1:15" x14ac:dyDescent="0.25">
      <c r="A2979" s="207" t="str">
        <f>VLOOKUP(RIGHT(E2979,3)+0,SchLocTable!$A$2:$B$47,2,FALSE)</f>
        <v>Blackham</v>
      </c>
      <c r="B2979" s="207" t="str">
        <f>VLOOKUP(VALUE(D2979),$D$3:F$106,3,FALSE)</f>
        <v>School Nurses</v>
      </c>
      <c r="C2979" s="751" t="s">
        <v>246</v>
      </c>
      <c r="D2979" s="751" t="s">
        <v>862</v>
      </c>
      <c r="E2979" s="751" t="s">
        <v>886</v>
      </c>
      <c r="F2979" s="751" t="s">
        <v>248</v>
      </c>
      <c r="G2979" s="752">
        <v>1</v>
      </c>
      <c r="H2979" s="753">
        <v>51000</v>
      </c>
      <c r="I2979" s="754">
        <v>70200.13</v>
      </c>
      <c r="J2979" s="754">
        <v>0</v>
      </c>
      <c r="K2979" s="754">
        <v>0</v>
      </c>
      <c r="L2979" s="754">
        <v>21517.279999999999</v>
      </c>
      <c r="M2979" s="754">
        <f t="shared" si="117"/>
        <v>21517.279999999999</v>
      </c>
      <c r="N2979" s="756">
        <v>70200.13</v>
      </c>
      <c r="O2979" s="720">
        <f t="shared" si="118"/>
        <v>0</v>
      </c>
    </row>
    <row r="2980" spans="1:15" x14ac:dyDescent="0.25">
      <c r="A2980" s="207" t="str">
        <f>VLOOKUP(RIGHT(E2980,3)+0,SchLocTable!$A$2:$B$47,2,FALSE)</f>
        <v>Blackham</v>
      </c>
      <c r="B2980" s="207" t="str">
        <f>VLOOKUP(VALUE(D2980),$D$3:F$106,3,FALSE)</f>
        <v>School Nurses</v>
      </c>
      <c r="C2980" s="751" t="s">
        <v>246</v>
      </c>
      <c r="D2980" s="751" t="s">
        <v>862</v>
      </c>
      <c r="E2980" s="751" t="s">
        <v>886</v>
      </c>
      <c r="F2980" s="751" t="s">
        <v>254</v>
      </c>
      <c r="G2980" s="752" t="s">
        <v>1681</v>
      </c>
      <c r="H2980" s="753">
        <v>52360</v>
      </c>
      <c r="I2980" s="754">
        <v>980.83</v>
      </c>
      <c r="J2980" s="754">
        <v>0</v>
      </c>
      <c r="K2980" s="754">
        <v>0</v>
      </c>
      <c r="L2980" s="754">
        <v>274.93</v>
      </c>
      <c r="M2980" s="754">
        <f t="shared" si="117"/>
        <v>274.93</v>
      </c>
      <c r="N2980" s="756">
        <v>980.83</v>
      </c>
      <c r="O2980" s="720">
        <f t="shared" si="118"/>
        <v>0</v>
      </c>
    </row>
    <row r="2981" spans="1:15" x14ac:dyDescent="0.25">
      <c r="A2981" s="207" t="str">
        <f>VLOOKUP(RIGHT(E2981,3)+0,SchLocTable!$A$2:$B$47,2,FALSE)</f>
        <v>Blackham</v>
      </c>
      <c r="B2981" s="207" t="str">
        <f>VLOOKUP(VALUE(D2981),$D$3:F$106,3,FALSE)</f>
        <v>School Nurses</v>
      </c>
      <c r="C2981" s="755" t="s">
        <v>246</v>
      </c>
      <c r="D2981" s="751" t="s">
        <v>862</v>
      </c>
      <c r="E2981" s="751" t="s">
        <v>886</v>
      </c>
      <c r="F2981" s="751" t="s">
        <v>331</v>
      </c>
      <c r="G2981" s="752" t="s">
        <v>1681</v>
      </c>
      <c r="H2981" s="753">
        <v>52504</v>
      </c>
      <c r="I2981" s="754">
        <v>14454.2</v>
      </c>
      <c r="J2981" s="754">
        <v>0</v>
      </c>
      <c r="K2981" s="754">
        <v>0</v>
      </c>
      <c r="L2981" s="754">
        <v>4430.3999999999996</v>
      </c>
      <c r="M2981" s="754">
        <f t="shared" si="117"/>
        <v>4430.3999999999996</v>
      </c>
      <c r="N2981" s="756">
        <v>14454.2</v>
      </c>
      <c r="O2981" s="720">
        <f t="shared" si="118"/>
        <v>0</v>
      </c>
    </row>
    <row r="2982" spans="1:15" x14ac:dyDescent="0.25">
      <c r="A2982" s="207" t="str">
        <f>VLOOKUP(RIGHT(E2982,3)+0,SchLocTable!$A$2:$B$47,2,FALSE)</f>
        <v>Blackham</v>
      </c>
      <c r="B2982" s="207" t="str">
        <f>VLOOKUP(VALUE(D2982),$D$3:F$106,3,FALSE)</f>
        <v>School Nurses</v>
      </c>
      <c r="C2982" s="751" t="s">
        <v>246</v>
      </c>
      <c r="D2982" s="751" t="s">
        <v>862</v>
      </c>
      <c r="E2982" s="751" t="s">
        <v>886</v>
      </c>
      <c r="F2982" s="751" t="s">
        <v>259</v>
      </c>
      <c r="G2982" s="752" t="s">
        <v>1681</v>
      </c>
      <c r="H2982" s="753">
        <v>52917</v>
      </c>
      <c r="I2982" s="754">
        <v>26536.39</v>
      </c>
      <c r="J2982" s="754">
        <v>0</v>
      </c>
      <c r="K2982" s="754">
        <v>0</v>
      </c>
      <c r="L2982" s="754">
        <v>8133.76</v>
      </c>
      <c r="M2982" s="754">
        <f t="shared" si="117"/>
        <v>8133.76</v>
      </c>
      <c r="N2982" s="756">
        <v>26536.39</v>
      </c>
      <c r="O2982" s="720">
        <f t="shared" si="118"/>
        <v>0</v>
      </c>
    </row>
    <row r="2983" spans="1:15" x14ac:dyDescent="0.25">
      <c r="A2983" s="207" t="str">
        <f>VLOOKUP(RIGHT(E2983,3)+0,SchLocTable!$A$2:$B$47,2,FALSE)</f>
        <v>Blackham</v>
      </c>
      <c r="B2983" s="207" t="str">
        <f>VLOOKUP(VALUE(D2983),$D$3:F$106,3,FALSE)</f>
        <v>School Nurses</v>
      </c>
      <c r="C2983" s="751" t="s">
        <v>246</v>
      </c>
      <c r="D2983" s="751" t="s">
        <v>862</v>
      </c>
      <c r="E2983" s="751" t="s">
        <v>886</v>
      </c>
      <c r="F2983" s="751" t="s">
        <v>864</v>
      </c>
      <c r="G2983" s="752" t="s">
        <v>1681</v>
      </c>
      <c r="H2983" s="753">
        <v>53905</v>
      </c>
      <c r="I2983" s="754">
        <v>350</v>
      </c>
      <c r="J2983" s="754">
        <v>0</v>
      </c>
      <c r="K2983" s="754">
        <v>0</v>
      </c>
      <c r="L2983" s="754">
        <v>350</v>
      </c>
      <c r="M2983" s="754">
        <f t="shared" si="117"/>
        <v>350</v>
      </c>
      <c r="N2983" s="756">
        <v>350</v>
      </c>
      <c r="O2983" s="720">
        <f t="shared" si="118"/>
        <v>0</v>
      </c>
    </row>
    <row r="2984" spans="1:15" x14ac:dyDescent="0.25">
      <c r="A2984" s="207" t="str">
        <f>VLOOKUP(RIGHT(E2984,3)+0,SchLocTable!$A$2:$B$47,2,FALSE)</f>
        <v>Dunbar</v>
      </c>
      <c r="B2984" s="207" t="str">
        <f>VLOOKUP(VALUE(D2984),$D$3:F$106,3,FALSE)</f>
        <v>School Nurses</v>
      </c>
      <c r="C2984" s="751" t="s">
        <v>246</v>
      </c>
      <c r="D2984" s="751" t="s">
        <v>862</v>
      </c>
      <c r="E2984" s="751" t="s">
        <v>887</v>
      </c>
      <c r="F2984" s="751" t="s">
        <v>248</v>
      </c>
      <c r="G2984" s="752">
        <v>1</v>
      </c>
      <c r="H2984" s="753">
        <v>51000</v>
      </c>
      <c r="I2984" s="754">
        <v>71574.03</v>
      </c>
      <c r="J2984" s="754">
        <v>0</v>
      </c>
      <c r="K2984" s="754">
        <v>0</v>
      </c>
      <c r="L2984" s="754">
        <v>21938.400000000001</v>
      </c>
      <c r="M2984" s="754">
        <f t="shared" si="117"/>
        <v>21938.400000000001</v>
      </c>
      <c r="N2984" s="756">
        <v>71574.03</v>
      </c>
      <c r="O2984" s="720">
        <f t="shared" si="118"/>
        <v>0</v>
      </c>
    </row>
    <row r="2985" spans="1:15" x14ac:dyDescent="0.25">
      <c r="A2985" s="207" t="str">
        <f>VLOOKUP(RIGHT(E2985,3)+0,SchLocTable!$A$2:$B$47,2,FALSE)</f>
        <v>Dunbar</v>
      </c>
      <c r="B2985" s="207" t="str">
        <f>VLOOKUP(VALUE(D2985),$D$3:F$106,3,FALSE)</f>
        <v>School Nurses</v>
      </c>
      <c r="C2985" s="751" t="s">
        <v>246</v>
      </c>
      <c r="D2985" s="751" t="s">
        <v>862</v>
      </c>
      <c r="E2985" s="751" t="s">
        <v>887</v>
      </c>
      <c r="F2985" s="751" t="s">
        <v>257</v>
      </c>
      <c r="G2985" s="752" t="s">
        <v>1681</v>
      </c>
      <c r="H2985" s="753">
        <v>51140</v>
      </c>
      <c r="I2985" s="754">
        <v>560</v>
      </c>
      <c r="J2985" s="754">
        <v>0</v>
      </c>
      <c r="K2985" s="754">
        <v>0</v>
      </c>
      <c r="L2985" s="754">
        <v>0</v>
      </c>
      <c r="M2985" s="754">
        <f t="shared" si="117"/>
        <v>0</v>
      </c>
      <c r="N2985" s="756">
        <v>560</v>
      </c>
      <c r="O2985" s="720">
        <f t="shared" si="118"/>
        <v>0</v>
      </c>
    </row>
    <row r="2986" spans="1:15" x14ac:dyDescent="0.25">
      <c r="A2986" s="207" t="str">
        <f>VLOOKUP(RIGHT(E2986,3)+0,SchLocTable!$A$2:$B$47,2,FALSE)</f>
        <v>Dunbar</v>
      </c>
      <c r="B2986" s="207" t="str">
        <f>VLOOKUP(VALUE(D2986),$D$3:F$106,3,FALSE)</f>
        <v>School Nurses</v>
      </c>
      <c r="C2986" s="751" t="s">
        <v>246</v>
      </c>
      <c r="D2986" s="751" t="s">
        <v>862</v>
      </c>
      <c r="E2986" s="751" t="s">
        <v>887</v>
      </c>
      <c r="F2986" s="751" t="s">
        <v>254</v>
      </c>
      <c r="G2986" s="752" t="s">
        <v>1681</v>
      </c>
      <c r="H2986" s="753">
        <v>52360</v>
      </c>
      <c r="I2986" s="754">
        <v>1020.27</v>
      </c>
      <c r="J2986" s="754">
        <v>0</v>
      </c>
      <c r="K2986" s="754">
        <v>0</v>
      </c>
      <c r="L2986" s="754">
        <v>300.55</v>
      </c>
      <c r="M2986" s="754">
        <f t="shared" si="117"/>
        <v>300.55</v>
      </c>
      <c r="N2986" s="756">
        <v>1020.27</v>
      </c>
      <c r="O2986" s="720">
        <f t="shared" si="118"/>
        <v>0</v>
      </c>
    </row>
    <row r="2987" spans="1:15" x14ac:dyDescent="0.25">
      <c r="A2987" s="207" t="str">
        <f>VLOOKUP(RIGHT(E2987,3)+0,SchLocTable!$A$2:$B$47,2,FALSE)</f>
        <v>Dunbar</v>
      </c>
      <c r="B2987" s="207" t="str">
        <f>VLOOKUP(VALUE(D2987),$D$3:F$106,3,FALSE)</f>
        <v>School Nurses</v>
      </c>
      <c r="C2987" s="751" t="s">
        <v>246</v>
      </c>
      <c r="D2987" s="751" t="s">
        <v>862</v>
      </c>
      <c r="E2987" s="751" t="s">
        <v>887</v>
      </c>
      <c r="F2987" s="751" t="s">
        <v>331</v>
      </c>
      <c r="G2987" s="752" t="s">
        <v>1681</v>
      </c>
      <c r="H2987" s="753">
        <v>52504</v>
      </c>
      <c r="I2987" s="754">
        <v>14737.1</v>
      </c>
      <c r="J2987" s="754">
        <v>0</v>
      </c>
      <c r="K2987" s="754">
        <v>0</v>
      </c>
      <c r="L2987" s="754">
        <v>4517.12</v>
      </c>
      <c r="M2987" s="754">
        <f t="shared" si="117"/>
        <v>4517.12</v>
      </c>
      <c r="N2987" s="756">
        <v>14737.1</v>
      </c>
      <c r="O2987" s="720">
        <f t="shared" si="118"/>
        <v>0</v>
      </c>
    </row>
    <row r="2988" spans="1:15" x14ac:dyDescent="0.25">
      <c r="A2988" s="207" t="str">
        <f>VLOOKUP(RIGHT(E2988,3)+0,SchLocTable!$A$2:$B$47,2,FALSE)</f>
        <v>Dunbar</v>
      </c>
      <c r="B2988" s="207" t="str">
        <f>VLOOKUP(VALUE(D2988),$D$3:F$106,3,FALSE)</f>
        <v>School Nurses</v>
      </c>
      <c r="C2988" s="755" t="s">
        <v>246</v>
      </c>
      <c r="D2988" s="751" t="s">
        <v>862</v>
      </c>
      <c r="E2988" s="751" t="s">
        <v>887</v>
      </c>
      <c r="F2988" s="751" t="s">
        <v>259</v>
      </c>
      <c r="G2988" s="752" t="s">
        <v>1681</v>
      </c>
      <c r="H2988" s="753">
        <v>52917</v>
      </c>
      <c r="I2988" s="754">
        <v>11043.43</v>
      </c>
      <c r="J2988" s="754">
        <v>0</v>
      </c>
      <c r="K2988" s="754">
        <v>0</v>
      </c>
      <c r="L2988" s="754">
        <v>3384.96</v>
      </c>
      <c r="M2988" s="754">
        <f t="shared" si="117"/>
        <v>3384.96</v>
      </c>
      <c r="N2988" s="756">
        <v>11043.43</v>
      </c>
      <c r="O2988" s="720">
        <f t="shared" si="118"/>
        <v>0</v>
      </c>
    </row>
    <row r="2989" spans="1:15" x14ac:dyDescent="0.25">
      <c r="A2989" s="207" t="str">
        <f>VLOOKUP(RIGHT(E2989,3)+0,SchLocTable!$A$2:$B$47,2,FALSE)</f>
        <v>Dunbar</v>
      </c>
      <c r="B2989" s="207" t="str">
        <f>VLOOKUP(VALUE(D2989),$D$3:F$106,3,FALSE)</f>
        <v>School Nurses</v>
      </c>
      <c r="C2989" s="751" t="s">
        <v>246</v>
      </c>
      <c r="D2989" s="751" t="s">
        <v>862</v>
      </c>
      <c r="E2989" s="751" t="s">
        <v>887</v>
      </c>
      <c r="F2989" s="751" t="s">
        <v>864</v>
      </c>
      <c r="G2989" s="752" t="s">
        <v>1681</v>
      </c>
      <c r="H2989" s="753">
        <v>53905</v>
      </c>
      <c r="I2989" s="754">
        <v>350</v>
      </c>
      <c r="J2989" s="754">
        <v>0</v>
      </c>
      <c r="K2989" s="754">
        <v>0</v>
      </c>
      <c r="L2989" s="754">
        <v>350</v>
      </c>
      <c r="M2989" s="754">
        <f t="shared" si="117"/>
        <v>350</v>
      </c>
      <c r="N2989" s="756">
        <v>350</v>
      </c>
      <c r="O2989" s="720">
        <f t="shared" si="118"/>
        <v>0</v>
      </c>
    </row>
    <row r="2990" spans="1:15" x14ac:dyDescent="0.25">
      <c r="A2990" s="207" t="str">
        <f>VLOOKUP(RIGHT(E2990,3)+0,SchLocTable!$A$2:$B$47,2,FALSE)</f>
        <v>Skane</v>
      </c>
      <c r="B2990" s="207" t="str">
        <f>VLOOKUP(VALUE(D2990),$D$3:F$106,3,FALSE)</f>
        <v>School Nurses</v>
      </c>
      <c r="C2990" s="751" t="s">
        <v>246</v>
      </c>
      <c r="D2990" s="751" t="s">
        <v>862</v>
      </c>
      <c r="E2990" s="751" t="s">
        <v>1513</v>
      </c>
      <c r="F2990" s="751" t="s">
        <v>248</v>
      </c>
      <c r="G2990" s="752">
        <v>1</v>
      </c>
      <c r="H2990" s="753">
        <v>51000</v>
      </c>
      <c r="I2990" s="754">
        <v>70200.13</v>
      </c>
      <c r="J2990" s="754">
        <v>0</v>
      </c>
      <c r="K2990" s="754">
        <v>0</v>
      </c>
      <c r="L2990" s="754">
        <v>21517.279999999999</v>
      </c>
      <c r="M2990" s="754">
        <f t="shared" si="117"/>
        <v>21517.279999999999</v>
      </c>
      <c r="N2990" s="756">
        <v>70200.13</v>
      </c>
      <c r="O2990" s="720">
        <f t="shared" si="118"/>
        <v>0</v>
      </c>
    </row>
    <row r="2991" spans="1:15" x14ac:dyDescent="0.25">
      <c r="A2991" s="207" t="str">
        <f>VLOOKUP(RIGHT(E2991,3)+0,SchLocTable!$A$2:$B$47,2,FALSE)</f>
        <v>Skane</v>
      </c>
      <c r="B2991" s="207" t="str">
        <f>VLOOKUP(VALUE(D2991),$D$3:F$106,3,FALSE)</f>
        <v>School Nurses</v>
      </c>
      <c r="C2991" s="751" t="s">
        <v>246</v>
      </c>
      <c r="D2991" s="751" t="s">
        <v>862</v>
      </c>
      <c r="E2991" s="751" t="s">
        <v>1513</v>
      </c>
      <c r="F2991" s="751" t="s">
        <v>254</v>
      </c>
      <c r="G2991" s="752" t="s">
        <v>1681</v>
      </c>
      <c r="H2991" s="753">
        <v>52360</v>
      </c>
      <c r="I2991" s="754">
        <v>975.75</v>
      </c>
      <c r="J2991" s="754">
        <v>0</v>
      </c>
      <c r="K2991" s="754">
        <v>0</v>
      </c>
      <c r="L2991" s="754">
        <v>269.85000000000002</v>
      </c>
      <c r="M2991" s="754">
        <f t="shared" si="117"/>
        <v>269.85000000000002</v>
      </c>
      <c r="N2991" s="756">
        <v>975.75</v>
      </c>
      <c r="O2991" s="720">
        <f t="shared" si="118"/>
        <v>0</v>
      </c>
    </row>
    <row r="2992" spans="1:15" x14ac:dyDescent="0.25">
      <c r="A2992" s="207" t="str">
        <f>VLOOKUP(RIGHT(E2992,3)+0,SchLocTable!$A$2:$B$47,2,FALSE)</f>
        <v>Skane</v>
      </c>
      <c r="B2992" s="207" t="str">
        <f>VLOOKUP(VALUE(D2992),$D$3:F$106,3,FALSE)</f>
        <v>School Nurses</v>
      </c>
      <c r="C2992" s="751" t="s">
        <v>246</v>
      </c>
      <c r="D2992" s="751" t="s">
        <v>862</v>
      </c>
      <c r="E2992" s="751" t="s">
        <v>1513</v>
      </c>
      <c r="F2992" s="751" t="s">
        <v>331</v>
      </c>
      <c r="G2992" s="752" t="s">
        <v>1681</v>
      </c>
      <c r="H2992" s="753">
        <v>52504</v>
      </c>
      <c r="I2992" s="754">
        <v>14454.2</v>
      </c>
      <c r="J2992" s="754">
        <v>0</v>
      </c>
      <c r="K2992" s="754">
        <v>0</v>
      </c>
      <c r="L2992" s="754">
        <v>4430.3999999999996</v>
      </c>
      <c r="M2992" s="754">
        <f t="shared" si="117"/>
        <v>4430.3999999999996</v>
      </c>
      <c r="N2992" s="756">
        <v>14454.2</v>
      </c>
      <c r="O2992" s="720">
        <f t="shared" si="118"/>
        <v>0</v>
      </c>
    </row>
    <row r="2993" spans="1:15" x14ac:dyDescent="0.25">
      <c r="A2993" s="207" t="str">
        <f>VLOOKUP(RIGHT(E2993,3)+0,SchLocTable!$A$2:$B$47,2,FALSE)</f>
        <v>Skane</v>
      </c>
      <c r="B2993" s="207" t="str">
        <f>VLOOKUP(VALUE(D2993),$D$3:F$106,3,FALSE)</f>
        <v>School Nurses</v>
      </c>
      <c r="C2993" s="751" t="s">
        <v>246</v>
      </c>
      <c r="D2993" s="751" t="s">
        <v>862</v>
      </c>
      <c r="E2993" s="751" t="s">
        <v>1513</v>
      </c>
      <c r="F2993" s="751" t="s">
        <v>259</v>
      </c>
      <c r="G2993" s="752" t="s">
        <v>1681</v>
      </c>
      <c r="H2993" s="753">
        <v>52917</v>
      </c>
      <c r="I2993" s="754">
        <v>26536.39</v>
      </c>
      <c r="J2993" s="754">
        <v>0</v>
      </c>
      <c r="K2993" s="754">
        <v>0</v>
      </c>
      <c r="L2993" s="754">
        <v>8133.76</v>
      </c>
      <c r="M2993" s="754">
        <f t="shared" si="117"/>
        <v>8133.76</v>
      </c>
      <c r="N2993" s="756">
        <v>26536.39</v>
      </c>
      <c r="O2993" s="720">
        <f t="shared" si="118"/>
        <v>0</v>
      </c>
    </row>
    <row r="2994" spans="1:15" x14ac:dyDescent="0.25">
      <c r="A2994" s="207" t="str">
        <f>VLOOKUP(RIGHT(E2994,3)+0,SchLocTable!$A$2:$B$47,2,FALSE)</f>
        <v>High Horizons Magnet</v>
      </c>
      <c r="B2994" s="207" t="str">
        <f>VLOOKUP(VALUE(D2994),$D$3:F$106,3,FALSE)</f>
        <v>School Nurses</v>
      </c>
      <c r="C2994" s="751" t="s">
        <v>246</v>
      </c>
      <c r="D2994" s="751" t="s">
        <v>862</v>
      </c>
      <c r="E2994" s="751" t="s">
        <v>2014</v>
      </c>
      <c r="F2994" s="751" t="s">
        <v>248</v>
      </c>
      <c r="G2994" s="752" t="s">
        <v>1681</v>
      </c>
      <c r="H2994" s="753">
        <v>51000</v>
      </c>
      <c r="I2994" s="754">
        <v>18099.18</v>
      </c>
      <c r="J2994" s="754">
        <v>0</v>
      </c>
      <c r="K2994" s="754">
        <v>0</v>
      </c>
      <c r="L2994" s="754">
        <v>18099.18</v>
      </c>
      <c r="M2994" s="754">
        <f t="shared" si="117"/>
        <v>18099.18</v>
      </c>
      <c r="N2994" s="756">
        <v>18099.18</v>
      </c>
      <c r="O2994" s="720">
        <f t="shared" si="118"/>
        <v>0</v>
      </c>
    </row>
    <row r="2995" spans="1:15" x14ac:dyDescent="0.25">
      <c r="A2995" s="207" t="str">
        <f>VLOOKUP(RIGHT(E2995,3)+0,SchLocTable!$A$2:$B$47,2,FALSE)</f>
        <v>High Horizons Magnet</v>
      </c>
      <c r="B2995" s="207" t="str">
        <f>VLOOKUP(VALUE(D2995),$D$3:F$106,3,FALSE)</f>
        <v>School Nurses</v>
      </c>
      <c r="C2995" s="751" t="s">
        <v>246</v>
      </c>
      <c r="D2995" s="751" t="s">
        <v>862</v>
      </c>
      <c r="E2995" s="751" t="s">
        <v>2014</v>
      </c>
      <c r="F2995" s="751" t="s">
        <v>257</v>
      </c>
      <c r="G2995" s="752" t="s">
        <v>1681</v>
      </c>
      <c r="H2995" s="753">
        <v>51140</v>
      </c>
      <c r="I2995" s="754">
        <v>1470</v>
      </c>
      <c r="J2995" s="754">
        <v>0</v>
      </c>
      <c r="K2995" s="754">
        <v>0</v>
      </c>
      <c r="L2995" s="754">
        <v>0</v>
      </c>
      <c r="M2995" s="754">
        <f t="shared" si="117"/>
        <v>0</v>
      </c>
      <c r="N2995" s="756">
        <v>1470</v>
      </c>
      <c r="O2995" s="720">
        <f t="shared" si="118"/>
        <v>0</v>
      </c>
    </row>
    <row r="2996" spans="1:15" x14ac:dyDescent="0.25">
      <c r="A2996" s="207" t="str">
        <f>VLOOKUP(RIGHT(E2996,3)+0,SchLocTable!$A$2:$B$47,2,FALSE)</f>
        <v>High Horizons Magnet</v>
      </c>
      <c r="B2996" s="207" t="str">
        <f>VLOOKUP(VALUE(D2996),$D$3:F$106,3,FALSE)</f>
        <v>School Nurses</v>
      </c>
      <c r="C2996" s="755" t="s">
        <v>246</v>
      </c>
      <c r="D2996" s="751" t="s">
        <v>862</v>
      </c>
      <c r="E2996" s="751" t="s">
        <v>2014</v>
      </c>
      <c r="F2996" s="751" t="s">
        <v>254</v>
      </c>
      <c r="G2996" s="752" t="s">
        <v>1681</v>
      </c>
      <c r="H2996" s="753">
        <v>52360</v>
      </c>
      <c r="I2996" s="754">
        <v>229.54</v>
      </c>
      <c r="J2996" s="754">
        <v>0</v>
      </c>
      <c r="K2996" s="754">
        <v>0</v>
      </c>
      <c r="L2996" s="754">
        <v>229.54</v>
      </c>
      <c r="M2996" s="754">
        <f t="shared" si="117"/>
        <v>229.54</v>
      </c>
      <c r="N2996" s="756">
        <v>229.54</v>
      </c>
      <c r="O2996" s="720">
        <f t="shared" si="118"/>
        <v>0</v>
      </c>
    </row>
    <row r="2997" spans="1:15" x14ac:dyDescent="0.25">
      <c r="A2997" s="207" t="str">
        <f>VLOOKUP(RIGHT(E2997,3)+0,SchLocTable!$A$2:$B$47,2,FALSE)</f>
        <v>High Horizons Magnet</v>
      </c>
      <c r="B2997" s="207" t="str">
        <f>VLOOKUP(VALUE(D2997),$D$3:F$106,3,FALSE)</f>
        <v>School Nurses</v>
      </c>
      <c r="C2997" s="751" t="s">
        <v>246</v>
      </c>
      <c r="D2997" s="751" t="s">
        <v>862</v>
      </c>
      <c r="E2997" s="751" t="s">
        <v>2014</v>
      </c>
      <c r="F2997" s="751" t="s">
        <v>331</v>
      </c>
      <c r="G2997" s="752" t="s">
        <v>1681</v>
      </c>
      <c r="H2997" s="753">
        <v>52504</v>
      </c>
      <c r="I2997" s="754">
        <v>3726.62</v>
      </c>
      <c r="J2997" s="754">
        <v>0</v>
      </c>
      <c r="K2997" s="754">
        <v>0</v>
      </c>
      <c r="L2997" s="754">
        <v>3726.62</v>
      </c>
      <c r="M2997" s="754">
        <f t="shared" si="117"/>
        <v>3726.62</v>
      </c>
      <c r="N2997" s="756">
        <v>3726.62</v>
      </c>
      <c r="O2997" s="720">
        <f t="shared" si="118"/>
        <v>0</v>
      </c>
    </row>
    <row r="2998" spans="1:15" x14ac:dyDescent="0.25">
      <c r="A2998" s="207" t="str">
        <f>VLOOKUP(RIGHT(E2998,3)+0,SchLocTable!$A$2:$B$47,2,FALSE)</f>
        <v>High Horizons Magnet</v>
      </c>
      <c r="B2998" s="207" t="str">
        <f>VLOOKUP(VALUE(D2998),$D$3:F$106,3,FALSE)</f>
        <v>School Nurses</v>
      </c>
      <c r="C2998" s="751" t="s">
        <v>246</v>
      </c>
      <c r="D2998" s="751" t="s">
        <v>862</v>
      </c>
      <c r="E2998" s="751" t="s">
        <v>2014</v>
      </c>
      <c r="F2998" s="751" t="s">
        <v>259</v>
      </c>
      <c r="G2998" s="752" t="s">
        <v>1681</v>
      </c>
      <c r="H2998" s="753">
        <v>52917</v>
      </c>
      <c r="I2998" s="754">
        <v>7032</v>
      </c>
      <c r="J2998" s="754">
        <v>0</v>
      </c>
      <c r="K2998" s="754">
        <v>0</v>
      </c>
      <c r="L2998" s="754">
        <v>7032</v>
      </c>
      <c r="M2998" s="754">
        <f t="shared" si="117"/>
        <v>7032</v>
      </c>
      <c r="N2998" s="756">
        <v>7032</v>
      </c>
      <c r="O2998" s="720">
        <f t="shared" si="118"/>
        <v>0</v>
      </c>
    </row>
    <row r="2999" spans="1:15" x14ac:dyDescent="0.25">
      <c r="A2999" s="207" t="str">
        <f>VLOOKUP(RIGHT(E2999,3)+0,SchLocTable!$A$2:$B$47,2,FALSE)</f>
        <v>High Horizons Magnet</v>
      </c>
      <c r="B2999" s="207" t="str">
        <f>VLOOKUP(VALUE(D2999),$D$3:F$106,3,FALSE)</f>
        <v>School Nurses</v>
      </c>
      <c r="C2999" s="751" t="s">
        <v>246</v>
      </c>
      <c r="D2999" s="751" t="s">
        <v>862</v>
      </c>
      <c r="E2999" s="751" t="s">
        <v>2014</v>
      </c>
      <c r="F2999" s="751" t="s">
        <v>864</v>
      </c>
      <c r="G2999" s="752" t="s">
        <v>1681</v>
      </c>
      <c r="H2999" s="753">
        <v>53905</v>
      </c>
      <c r="I2999" s="754">
        <v>0</v>
      </c>
      <c r="J2999" s="754">
        <v>0</v>
      </c>
      <c r="K2999" s="754">
        <v>0</v>
      </c>
      <c r="L2999" s="754">
        <v>0</v>
      </c>
      <c r="M2999" s="754">
        <f t="shared" si="117"/>
        <v>0</v>
      </c>
      <c r="N2999" s="756">
        <v>0</v>
      </c>
      <c r="O2999" s="720">
        <f t="shared" si="118"/>
        <v>0</v>
      </c>
    </row>
    <row r="3000" spans="1:15" x14ac:dyDescent="0.25">
      <c r="A3000" s="207" t="str">
        <f>VLOOKUP(RIGHT(E3000,3)+0,SchLocTable!$A$2:$B$47,2,FALSE)</f>
        <v>Multicultural Magnet</v>
      </c>
      <c r="B3000" s="207" t="str">
        <f>VLOOKUP(VALUE(D3000),$D$3:F$106,3,FALSE)</f>
        <v>School Nurses</v>
      </c>
      <c r="C3000" s="751" t="s">
        <v>246</v>
      </c>
      <c r="D3000" s="751" t="s">
        <v>862</v>
      </c>
      <c r="E3000" s="751" t="s">
        <v>888</v>
      </c>
      <c r="F3000" s="751" t="s">
        <v>248</v>
      </c>
      <c r="G3000" s="752">
        <v>0</v>
      </c>
      <c r="H3000" s="753">
        <v>51000</v>
      </c>
      <c r="I3000" s="754">
        <v>13711.5</v>
      </c>
      <c r="J3000" s="754">
        <v>0</v>
      </c>
      <c r="K3000" s="754">
        <v>0</v>
      </c>
      <c r="L3000" s="754">
        <v>13711.5</v>
      </c>
      <c r="M3000" s="754">
        <f t="shared" si="117"/>
        <v>13711.5</v>
      </c>
      <c r="N3000" s="756">
        <v>13711.5</v>
      </c>
      <c r="O3000" s="720">
        <f t="shared" si="118"/>
        <v>0</v>
      </c>
    </row>
    <row r="3001" spans="1:15" x14ac:dyDescent="0.25">
      <c r="A3001" s="207" t="str">
        <f>VLOOKUP(RIGHT(E3001,3)+0,SchLocTable!$A$2:$B$47,2,FALSE)</f>
        <v>Multicultural Magnet</v>
      </c>
      <c r="B3001" s="207" t="str">
        <f>VLOOKUP(VALUE(D3001),$D$3:F$106,3,FALSE)</f>
        <v>School Nurses</v>
      </c>
      <c r="C3001" s="751" t="s">
        <v>246</v>
      </c>
      <c r="D3001" s="751" t="s">
        <v>862</v>
      </c>
      <c r="E3001" s="751" t="s">
        <v>888</v>
      </c>
      <c r="F3001" s="751" t="s">
        <v>257</v>
      </c>
      <c r="G3001" s="752" t="s">
        <v>1681</v>
      </c>
      <c r="H3001" s="753">
        <v>51140</v>
      </c>
      <c r="I3001" s="754">
        <v>1330</v>
      </c>
      <c r="J3001" s="754">
        <v>0</v>
      </c>
      <c r="K3001" s="754">
        <v>0</v>
      </c>
      <c r="L3001" s="754">
        <v>1283.33</v>
      </c>
      <c r="M3001" s="754">
        <f t="shared" si="117"/>
        <v>1283.33</v>
      </c>
      <c r="N3001" s="756">
        <v>1330</v>
      </c>
      <c r="O3001" s="720">
        <f t="shared" si="118"/>
        <v>0</v>
      </c>
    </row>
    <row r="3002" spans="1:15" x14ac:dyDescent="0.25">
      <c r="A3002" s="207" t="str">
        <f>VLOOKUP(RIGHT(E3002,3)+0,SchLocTable!$A$2:$B$47,2,FALSE)</f>
        <v>Multicultural Magnet</v>
      </c>
      <c r="B3002" s="207" t="str">
        <f>VLOOKUP(VALUE(D3002),$D$3:F$106,3,FALSE)</f>
        <v>School Nurses</v>
      </c>
      <c r="C3002" s="751" t="s">
        <v>246</v>
      </c>
      <c r="D3002" s="751" t="s">
        <v>862</v>
      </c>
      <c r="E3002" s="751" t="s">
        <v>888</v>
      </c>
      <c r="F3002" s="751" t="s">
        <v>252</v>
      </c>
      <c r="G3002" s="752" t="s">
        <v>1681</v>
      </c>
      <c r="H3002" s="753">
        <v>51154</v>
      </c>
      <c r="I3002" s="754">
        <v>2546.42</v>
      </c>
      <c r="J3002" s="754">
        <v>0</v>
      </c>
      <c r="K3002" s="754">
        <v>0</v>
      </c>
      <c r="L3002" s="754">
        <v>2546.42</v>
      </c>
      <c r="M3002" s="754">
        <f t="shared" si="117"/>
        <v>2546.42</v>
      </c>
      <c r="N3002" s="756">
        <v>2546.42</v>
      </c>
      <c r="O3002" s="720">
        <f t="shared" si="118"/>
        <v>0</v>
      </c>
    </row>
    <row r="3003" spans="1:15" x14ac:dyDescent="0.25">
      <c r="A3003" s="207" t="str">
        <f>VLOOKUP(RIGHT(E3003,3)+0,SchLocTable!$A$2:$B$47,2,FALSE)</f>
        <v>Multicultural Magnet</v>
      </c>
      <c r="B3003" s="207" t="str">
        <f>VLOOKUP(VALUE(D3003),$D$3:F$106,3,FALSE)</f>
        <v>School Nurses</v>
      </c>
      <c r="C3003" s="751" t="s">
        <v>246</v>
      </c>
      <c r="D3003" s="751" t="s">
        <v>862</v>
      </c>
      <c r="E3003" s="751" t="s">
        <v>888</v>
      </c>
      <c r="F3003" s="751" t="s">
        <v>254</v>
      </c>
      <c r="G3003" s="752" t="s">
        <v>1681</v>
      </c>
      <c r="H3003" s="753">
        <v>52360</v>
      </c>
      <c r="I3003" s="754">
        <v>229.37</v>
      </c>
      <c r="J3003" s="754">
        <v>0</v>
      </c>
      <c r="K3003" s="754">
        <v>0</v>
      </c>
      <c r="L3003" s="754">
        <v>229.37</v>
      </c>
      <c r="M3003" s="754">
        <f t="shared" si="117"/>
        <v>229.37</v>
      </c>
      <c r="N3003" s="756">
        <v>229.37</v>
      </c>
      <c r="O3003" s="720">
        <f t="shared" si="118"/>
        <v>0</v>
      </c>
    </row>
    <row r="3004" spans="1:15" x14ac:dyDescent="0.25">
      <c r="A3004" s="207" t="str">
        <f>VLOOKUP(RIGHT(E3004,3)+0,SchLocTable!$A$2:$B$47,2,FALSE)</f>
        <v>Multicultural Magnet</v>
      </c>
      <c r="B3004" s="207" t="str">
        <f>VLOOKUP(VALUE(D3004),$D$3:F$106,3,FALSE)</f>
        <v>School Nurses</v>
      </c>
      <c r="C3004" s="755" t="s">
        <v>246</v>
      </c>
      <c r="D3004" s="751" t="s">
        <v>862</v>
      </c>
      <c r="E3004" s="751" t="s">
        <v>888</v>
      </c>
      <c r="F3004" s="751" t="s">
        <v>331</v>
      </c>
      <c r="G3004" s="752" t="s">
        <v>1681</v>
      </c>
      <c r="H3004" s="753">
        <v>52504</v>
      </c>
      <c r="I3004" s="754">
        <v>3087.44</v>
      </c>
      <c r="J3004" s="754">
        <v>0</v>
      </c>
      <c r="K3004" s="754">
        <v>0</v>
      </c>
      <c r="L3004" s="754">
        <v>3087.44</v>
      </c>
      <c r="M3004" s="754">
        <f t="shared" si="117"/>
        <v>3087.44</v>
      </c>
      <c r="N3004" s="756">
        <v>3087.44</v>
      </c>
      <c r="O3004" s="720">
        <f t="shared" si="118"/>
        <v>0</v>
      </c>
    </row>
    <row r="3005" spans="1:15" x14ac:dyDescent="0.25">
      <c r="A3005" s="207" t="str">
        <f>VLOOKUP(RIGHT(E3005,3)+0,SchLocTable!$A$2:$B$47,2,FALSE)</f>
        <v>Multicultural Magnet</v>
      </c>
      <c r="B3005" s="207" t="str">
        <f>VLOOKUP(VALUE(D3005),$D$3:F$106,3,FALSE)</f>
        <v>School Nurses</v>
      </c>
      <c r="C3005" s="751" t="s">
        <v>246</v>
      </c>
      <c r="D3005" s="751" t="s">
        <v>862</v>
      </c>
      <c r="E3005" s="751" t="s">
        <v>888</v>
      </c>
      <c r="F3005" s="751" t="s">
        <v>259</v>
      </c>
      <c r="G3005" s="752" t="s">
        <v>1681</v>
      </c>
      <c r="H3005" s="753">
        <v>52917</v>
      </c>
      <c r="I3005" s="754">
        <v>5341.3</v>
      </c>
      <c r="J3005" s="754">
        <v>0</v>
      </c>
      <c r="K3005" s="754">
        <v>0</v>
      </c>
      <c r="L3005" s="754">
        <v>5341.3</v>
      </c>
      <c r="M3005" s="754">
        <f t="shared" si="117"/>
        <v>5341.3</v>
      </c>
      <c r="N3005" s="756">
        <v>5341.3</v>
      </c>
      <c r="O3005" s="720">
        <f t="shared" si="118"/>
        <v>0</v>
      </c>
    </row>
    <row r="3006" spans="1:15" x14ac:dyDescent="0.25">
      <c r="A3006" s="207" t="str">
        <f>VLOOKUP(RIGHT(E3006,3)+0,SchLocTable!$A$2:$B$47,2,FALSE)</f>
        <v>Multicultural Magnet</v>
      </c>
      <c r="B3006" s="207" t="str">
        <f>VLOOKUP(VALUE(D3006),$D$3:F$106,3,FALSE)</f>
        <v>School Nurses</v>
      </c>
      <c r="C3006" s="751" t="s">
        <v>246</v>
      </c>
      <c r="D3006" s="751" t="s">
        <v>862</v>
      </c>
      <c r="E3006" s="751" t="s">
        <v>888</v>
      </c>
      <c r="F3006" s="751" t="s">
        <v>864</v>
      </c>
      <c r="G3006" s="752" t="s">
        <v>1681</v>
      </c>
      <c r="H3006" s="753">
        <v>53905</v>
      </c>
      <c r="I3006" s="754">
        <v>500</v>
      </c>
      <c r="J3006" s="754">
        <v>0</v>
      </c>
      <c r="K3006" s="754">
        <v>0</v>
      </c>
      <c r="L3006" s="754">
        <v>0</v>
      </c>
      <c r="M3006" s="754">
        <f t="shared" si="117"/>
        <v>0</v>
      </c>
      <c r="N3006" s="756">
        <v>500</v>
      </c>
      <c r="O3006" s="720">
        <f t="shared" si="118"/>
        <v>0</v>
      </c>
    </row>
    <row r="3007" spans="1:15" x14ac:dyDescent="0.25">
      <c r="A3007" s="207" t="str">
        <f>VLOOKUP(RIGHT(E3007,3)+0,SchLocTable!$A$2:$B$47,2,FALSE)</f>
        <v>Central HS</v>
      </c>
      <c r="B3007" s="207" t="str">
        <f>VLOOKUP(VALUE(D3007),$D$3:F$106,3,FALSE)</f>
        <v>School Nurses</v>
      </c>
      <c r="C3007" s="751" t="s">
        <v>246</v>
      </c>
      <c r="D3007" s="751" t="s">
        <v>862</v>
      </c>
      <c r="E3007" s="751" t="s">
        <v>889</v>
      </c>
      <c r="F3007" s="751" t="s">
        <v>248</v>
      </c>
      <c r="G3007" s="752">
        <v>1</v>
      </c>
      <c r="H3007" s="753">
        <v>51000</v>
      </c>
      <c r="I3007" s="754">
        <v>71574.03</v>
      </c>
      <c r="J3007" s="754">
        <v>0</v>
      </c>
      <c r="K3007" s="754">
        <v>0</v>
      </c>
      <c r="L3007" s="754">
        <v>21938.400000000001</v>
      </c>
      <c r="M3007" s="754">
        <f t="shared" ref="M3007:M3070" si="119">SUM(J3007:L3007)</f>
        <v>21938.400000000001</v>
      </c>
      <c r="N3007" s="756">
        <v>71574.03</v>
      </c>
      <c r="O3007" s="720">
        <f t="shared" ref="O3007:O3070" si="120">I3007-N3007</f>
        <v>0</v>
      </c>
    </row>
    <row r="3008" spans="1:15" x14ac:dyDescent="0.25">
      <c r="A3008" s="207" t="str">
        <f>VLOOKUP(RIGHT(E3008,3)+0,SchLocTable!$A$2:$B$47,2,FALSE)</f>
        <v>Central HS</v>
      </c>
      <c r="B3008" s="207" t="str">
        <f>VLOOKUP(VALUE(D3008),$D$3:F$106,3,FALSE)</f>
        <v>School Nurses</v>
      </c>
      <c r="C3008" s="751" t="s">
        <v>246</v>
      </c>
      <c r="D3008" s="751" t="s">
        <v>862</v>
      </c>
      <c r="E3008" s="751" t="s">
        <v>889</v>
      </c>
      <c r="F3008" s="751" t="s">
        <v>257</v>
      </c>
      <c r="G3008" s="752" t="s">
        <v>1681</v>
      </c>
      <c r="H3008" s="753">
        <v>51140</v>
      </c>
      <c r="I3008" s="754">
        <v>350</v>
      </c>
      <c r="J3008" s="754">
        <v>0</v>
      </c>
      <c r="K3008" s="754">
        <v>0</v>
      </c>
      <c r="L3008" s="754">
        <v>0</v>
      </c>
      <c r="M3008" s="754">
        <f t="shared" si="119"/>
        <v>0</v>
      </c>
      <c r="N3008" s="756">
        <v>350</v>
      </c>
      <c r="O3008" s="720">
        <f t="shared" si="120"/>
        <v>0</v>
      </c>
    </row>
    <row r="3009" spans="1:15" x14ac:dyDescent="0.25">
      <c r="A3009" s="207" t="str">
        <f>VLOOKUP(RIGHT(E3009,3)+0,SchLocTable!$A$2:$B$47,2,FALSE)</f>
        <v>Central HS</v>
      </c>
      <c r="B3009" s="207" t="str">
        <f>VLOOKUP(VALUE(D3009),$D$3:F$106,3,FALSE)</f>
        <v>School Nurses</v>
      </c>
      <c r="C3009" s="751" t="s">
        <v>246</v>
      </c>
      <c r="D3009" s="751" t="s">
        <v>862</v>
      </c>
      <c r="E3009" s="751" t="s">
        <v>889</v>
      </c>
      <c r="F3009" s="751" t="s">
        <v>254</v>
      </c>
      <c r="G3009" s="752" t="s">
        <v>1681</v>
      </c>
      <c r="H3009" s="753">
        <v>52360</v>
      </c>
      <c r="I3009" s="754">
        <v>993.52</v>
      </c>
      <c r="J3009" s="754">
        <v>0</v>
      </c>
      <c r="K3009" s="754">
        <v>0</v>
      </c>
      <c r="L3009" s="754">
        <v>273.8</v>
      </c>
      <c r="M3009" s="754">
        <f t="shared" si="119"/>
        <v>273.8</v>
      </c>
      <c r="N3009" s="756">
        <v>993.52</v>
      </c>
      <c r="O3009" s="720">
        <f t="shared" si="120"/>
        <v>0</v>
      </c>
    </row>
    <row r="3010" spans="1:15" x14ac:dyDescent="0.25">
      <c r="A3010" s="207" t="str">
        <f>VLOOKUP(RIGHT(E3010,3)+0,SchLocTable!$A$2:$B$47,2,FALSE)</f>
        <v>Central HS</v>
      </c>
      <c r="B3010" s="207" t="str">
        <f>VLOOKUP(VALUE(D3010),$D$3:F$106,3,FALSE)</f>
        <v>School Nurses</v>
      </c>
      <c r="C3010" s="751" t="s">
        <v>246</v>
      </c>
      <c r="D3010" s="751" t="s">
        <v>862</v>
      </c>
      <c r="E3010" s="751" t="s">
        <v>889</v>
      </c>
      <c r="F3010" s="751" t="s">
        <v>331</v>
      </c>
      <c r="G3010" s="752" t="s">
        <v>1681</v>
      </c>
      <c r="H3010" s="753">
        <v>52504</v>
      </c>
      <c r="I3010" s="754">
        <v>14737.1</v>
      </c>
      <c r="J3010" s="754">
        <v>0</v>
      </c>
      <c r="K3010" s="754">
        <v>0</v>
      </c>
      <c r="L3010" s="754">
        <v>4517.12</v>
      </c>
      <c r="M3010" s="754">
        <f t="shared" si="119"/>
        <v>4517.12</v>
      </c>
      <c r="N3010" s="756">
        <v>14737.1</v>
      </c>
      <c r="O3010" s="720">
        <f t="shared" si="120"/>
        <v>0</v>
      </c>
    </row>
    <row r="3011" spans="1:15" x14ac:dyDescent="0.25">
      <c r="A3011" s="207" t="str">
        <f>VLOOKUP(RIGHT(E3011,3)+0,SchLocTable!$A$2:$B$47,2,FALSE)</f>
        <v>Central HS</v>
      </c>
      <c r="B3011" s="207" t="str">
        <f>VLOOKUP(VALUE(D3011),$D$3:F$106,3,FALSE)</f>
        <v>School Nurses</v>
      </c>
      <c r="C3011" s="751" t="s">
        <v>246</v>
      </c>
      <c r="D3011" s="751" t="s">
        <v>862</v>
      </c>
      <c r="E3011" s="751" t="s">
        <v>889</v>
      </c>
      <c r="F3011" s="751" t="s">
        <v>259</v>
      </c>
      <c r="G3011" s="752" t="s">
        <v>1681</v>
      </c>
      <c r="H3011" s="753">
        <v>52917</v>
      </c>
      <c r="I3011" s="754">
        <v>32711.65</v>
      </c>
      <c r="J3011" s="754">
        <v>0</v>
      </c>
      <c r="K3011" s="754">
        <v>0</v>
      </c>
      <c r="L3011" s="754">
        <v>10026.56</v>
      </c>
      <c r="M3011" s="754">
        <f t="shared" si="119"/>
        <v>10026.56</v>
      </c>
      <c r="N3011" s="756">
        <v>32711.65</v>
      </c>
      <c r="O3011" s="720">
        <f t="shared" si="120"/>
        <v>0</v>
      </c>
    </row>
    <row r="3012" spans="1:15" x14ac:dyDescent="0.25">
      <c r="A3012" s="207" t="str">
        <f>VLOOKUP(RIGHT(E3012,3)+0,SchLocTable!$A$2:$B$47,2,FALSE)</f>
        <v>Central HS</v>
      </c>
      <c r="B3012" s="207" t="str">
        <f>VLOOKUP(VALUE(D3012),$D$3:F$106,3,FALSE)</f>
        <v>School Nurses</v>
      </c>
      <c r="C3012" s="751" t="s">
        <v>246</v>
      </c>
      <c r="D3012" s="751" t="s">
        <v>862</v>
      </c>
      <c r="E3012" s="751" t="s">
        <v>889</v>
      </c>
      <c r="F3012" s="751" t="s">
        <v>864</v>
      </c>
      <c r="G3012" s="752" t="s">
        <v>1681</v>
      </c>
      <c r="H3012" s="753">
        <v>53905</v>
      </c>
      <c r="I3012" s="754">
        <v>500</v>
      </c>
      <c r="J3012" s="754">
        <v>0</v>
      </c>
      <c r="K3012" s="754">
        <v>0</v>
      </c>
      <c r="L3012" s="754">
        <v>500</v>
      </c>
      <c r="M3012" s="754">
        <f t="shared" si="119"/>
        <v>500</v>
      </c>
      <c r="N3012" s="756">
        <v>500</v>
      </c>
      <c r="O3012" s="720">
        <f t="shared" si="120"/>
        <v>0</v>
      </c>
    </row>
    <row r="3013" spans="1:15" x14ac:dyDescent="0.25">
      <c r="A3013" s="207" t="str">
        <f>VLOOKUP(RIGHT(E3013,3)+0,SchLocTable!$A$2:$B$47,2,FALSE)</f>
        <v>Aquaculture</v>
      </c>
      <c r="B3013" s="207" t="str">
        <f>VLOOKUP(VALUE(D3013),$D$3:F$106,3,FALSE)</f>
        <v>School Nurses</v>
      </c>
      <c r="C3013" s="755" t="s">
        <v>246</v>
      </c>
      <c r="D3013" s="751" t="s">
        <v>862</v>
      </c>
      <c r="E3013" s="751" t="s">
        <v>2015</v>
      </c>
      <c r="F3013" s="751" t="s">
        <v>248</v>
      </c>
      <c r="G3013" s="752">
        <v>1</v>
      </c>
      <c r="H3013" s="753">
        <v>51000</v>
      </c>
      <c r="I3013" s="754">
        <v>71574.03</v>
      </c>
      <c r="J3013" s="754">
        <v>0</v>
      </c>
      <c r="K3013" s="754">
        <v>0</v>
      </c>
      <c r="L3013" s="754">
        <v>21938.400000000001</v>
      </c>
      <c r="M3013" s="754">
        <f t="shared" si="119"/>
        <v>21938.400000000001</v>
      </c>
      <c r="N3013" s="756">
        <v>71574.03</v>
      </c>
      <c r="O3013" s="720">
        <f t="shared" si="120"/>
        <v>0</v>
      </c>
    </row>
    <row r="3014" spans="1:15" x14ac:dyDescent="0.25">
      <c r="A3014" s="207" t="str">
        <f>VLOOKUP(RIGHT(E3014,3)+0,SchLocTable!$A$2:$B$47,2,FALSE)</f>
        <v>Aquaculture</v>
      </c>
      <c r="B3014" s="207" t="str">
        <f>VLOOKUP(VALUE(D3014),$D$3:F$106,3,FALSE)</f>
        <v>School Nurses</v>
      </c>
      <c r="C3014" s="751" t="s">
        <v>246</v>
      </c>
      <c r="D3014" s="751" t="s">
        <v>862</v>
      </c>
      <c r="E3014" s="751" t="s">
        <v>2015</v>
      </c>
      <c r="F3014" s="751" t="s">
        <v>257</v>
      </c>
      <c r="G3014" s="752" t="s">
        <v>1681</v>
      </c>
      <c r="H3014" s="753">
        <v>51140</v>
      </c>
      <c r="I3014" s="754">
        <v>560</v>
      </c>
      <c r="J3014" s="754">
        <v>0</v>
      </c>
      <c r="K3014" s="754">
        <v>0</v>
      </c>
      <c r="L3014" s="754">
        <v>0</v>
      </c>
      <c r="M3014" s="754">
        <f t="shared" si="119"/>
        <v>0</v>
      </c>
      <c r="N3014" s="756">
        <v>560</v>
      </c>
      <c r="O3014" s="720">
        <f t="shared" si="120"/>
        <v>0</v>
      </c>
    </row>
    <row r="3015" spans="1:15" x14ac:dyDescent="0.25">
      <c r="A3015" s="207" t="str">
        <f>VLOOKUP(RIGHT(E3015,3)+0,SchLocTable!$A$2:$B$47,2,FALSE)</f>
        <v>Aquaculture</v>
      </c>
      <c r="B3015" s="207" t="str">
        <f>VLOOKUP(VALUE(D3015),$D$3:F$106,3,FALSE)</f>
        <v>School Nurses</v>
      </c>
      <c r="C3015" s="751" t="s">
        <v>246</v>
      </c>
      <c r="D3015" s="751" t="s">
        <v>862</v>
      </c>
      <c r="E3015" s="751" t="s">
        <v>2015</v>
      </c>
      <c r="F3015" s="751" t="s">
        <v>454</v>
      </c>
      <c r="G3015" s="752" t="s">
        <v>1681</v>
      </c>
      <c r="H3015" s="753">
        <v>51404</v>
      </c>
      <c r="I3015" s="754">
        <v>0</v>
      </c>
      <c r="J3015" s="754">
        <v>0</v>
      </c>
      <c r="K3015" s="754">
        <v>0</v>
      </c>
      <c r="L3015" s="754">
        <v>0</v>
      </c>
      <c r="M3015" s="754">
        <f t="shared" si="119"/>
        <v>0</v>
      </c>
      <c r="N3015" s="756">
        <v>0</v>
      </c>
      <c r="O3015" s="720">
        <f t="shared" si="120"/>
        <v>0</v>
      </c>
    </row>
    <row r="3016" spans="1:15" x14ac:dyDescent="0.25">
      <c r="A3016" s="207" t="str">
        <f>VLOOKUP(RIGHT(E3016,3)+0,SchLocTable!$A$2:$B$47,2,FALSE)</f>
        <v>Aquaculture</v>
      </c>
      <c r="B3016" s="207" t="str">
        <f>VLOOKUP(VALUE(D3016),$D$3:F$106,3,FALSE)</f>
        <v>School Nurses</v>
      </c>
      <c r="C3016" s="751" t="s">
        <v>246</v>
      </c>
      <c r="D3016" s="751" t="s">
        <v>862</v>
      </c>
      <c r="E3016" s="751" t="s">
        <v>2015</v>
      </c>
      <c r="F3016" s="751" t="s">
        <v>254</v>
      </c>
      <c r="G3016" s="752" t="s">
        <v>1681</v>
      </c>
      <c r="H3016" s="753">
        <v>52360</v>
      </c>
      <c r="I3016" s="754">
        <v>1045.07</v>
      </c>
      <c r="J3016" s="754">
        <v>0</v>
      </c>
      <c r="K3016" s="754">
        <v>0</v>
      </c>
      <c r="L3016" s="754">
        <v>325.35000000000002</v>
      </c>
      <c r="M3016" s="754">
        <f t="shared" si="119"/>
        <v>325.35000000000002</v>
      </c>
      <c r="N3016" s="756">
        <v>1045.07</v>
      </c>
      <c r="O3016" s="720">
        <f t="shared" si="120"/>
        <v>0</v>
      </c>
    </row>
    <row r="3017" spans="1:15" x14ac:dyDescent="0.25">
      <c r="A3017" s="207" t="str">
        <f>VLOOKUP(RIGHT(E3017,3)+0,SchLocTable!$A$2:$B$47,2,FALSE)</f>
        <v>Aquaculture</v>
      </c>
      <c r="B3017" s="207" t="str">
        <f>VLOOKUP(VALUE(D3017),$D$3:F$106,3,FALSE)</f>
        <v>School Nurses</v>
      </c>
      <c r="C3017" s="751" t="s">
        <v>246</v>
      </c>
      <c r="D3017" s="751" t="s">
        <v>862</v>
      </c>
      <c r="E3017" s="751" t="s">
        <v>2015</v>
      </c>
      <c r="F3017" s="751" t="s">
        <v>331</v>
      </c>
      <c r="G3017" s="752" t="s">
        <v>1681</v>
      </c>
      <c r="H3017" s="753">
        <v>52504</v>
      </c>
      <c r="I3017" s="754">
        <v>14737.1</v>
      </c>
      <c r="J3017" s="754">
        <v>0</v>
      </c>
      <c r="K3017" s="754">
        <v>0</v>
      </c>
      <c r="L3017" s="754">
        <v>4517.12</v>
      </c>
      <c r="M3017" s="754">
        <f t="shared" si="119"/>
        <v>4517.12</v>
      </c>
      <c r="N3017" s="756">
        <v>14737.1</v>
      </c>
      <c r="O3017" s="720">
        <f t="shared" si="120"/>
        <v>0</v>
      </c>
    </row>
    <row r="3018" spans="1:15" x14ac:dyDescent="0.25">
      <c r="A3018" s="207" t="str">
        <f>VLOOKUP(RIGHT(E3018,3)+0,SchLocTable!$A$2:$B$47,2,FALSE)</f>
        <v>Aquaculture</v>
      </c>
      <c r="B3018" s="207" t="str">
        <f>VLOOKUP(VALUE(D3018),$D$3:F$106,3,FALSE)</f>
        <v>School Nurses</v>
      </c>
      <c r="C3018" s="751" t="s">
        <v>246</v>
      </c>
      <c r="D3018" s="751" t="s">
        <v>862</v>
      </c>
      <c r="E3018" s="751" t="s">
        <v>2015</v>
      </c>
      <c r="F3018" s="751" t="s">
        <v>259</v>
      </c>
      <c r="G3018" s="752" t="s">
        <v>1681</v>
      </c>
      <c r="H3018" s="753">
        <v>52917</v>
      </c>
      <c r="I3018" s="754">
        <v>895.75</v>
      </c>
      <c r="J3018" s="754">
        <v>0</v>
      </c>
      <c r="K3018" s="754">
        <v>0</v>
      </c>
      <c r="L3018" s="754">
        <v>274.56</v>
      </c>
      <c r="M3018" s="754">
        <f t="shared" si="119"/>
        <v>274.56</v>
      </c>
      <c r="N3018" s="756">
        <v>895.75</v>
      </c>
      <c r="O3018" s="720">
        <f t="shared" si="120"/>
        <v>0</v>
      </c>
    </row>
    <row r="3019" spans="1:15" x14ac:dyDescent="0.25">
      <c r="A3019" s="207" t="str">
        <f>VLOOKUP(RIGHT(E3019,3)+0,SchLocTable!$A$2:$B$47,2,FALSE)</f>
        <v>Aquaculture</v>
      </c>
      <c r="B3019" s="207" t="str">
        <f>VLOOKUP(VALUE(D3019),$D$3:F$106,3,FALSE)</f>
        <v>School Nurses</v>
      </c>
      <c r="C3019" s="751" t="s">
        <v>246</v>
      </c>
      <c r="D3019" s="751" t="s">
        <v>862</v>
      </c>
      <c r="E3019" s="751" t="s">
        <v>2015</v>
      </c>
      <c r="F3019" s="751" t="s">
        <v>333</v>
      </c>
      <c r="G3019" s="752" t="s">
        <v>1681</v>
      </c>
      <c r="H3019" s="753">
        <v>52920</v>
      </c>
      <c r="I3019" s="754">
        <v>0</v>
      </c>
      <c r="J3019" s="754">
        <v>0</v>
      </c>
      <c r="K3019" s="754">
        <v>0</v>
      </c>
      <c r="L3019" s="754">
        <v>0</v>
      </c>
      <c r="M3019" s="754">
        <f t="shared" si="119"/>
        <v>0</v>
      </c>
      <c r="N3019" s="756">
        <v>0</v>
      </c>
      <c r="O3019" s="720">
        <f t="shared" si="120"/>
        <v>0</v>
      </c>
    </row>
    <row r="3020" spans="1:15" x14ac:dyDescent="0.25">
      <c r="A3020" s="207" t="str">
        <f>VLOOKUP(RIGHT(E3020,3)+0,SchLocTable!$A$2:$B$47,2,FALSE)</f>
        <v>Aquaculture</v>
      </c>
      <c r="B3020" s="207" t="str">
        <f>VLOOKUP(VALUE(D3020),$D$3:F$106,3,FALSE)</f>
        <v>School Nurses</v>
      </c>
      <c r="C3020" s="751" t="s">
        <v>246</v>
      </c>
      <c r="D3020" s="751" t="s">
        <v>862</v>
      </c>
      <c r="E3020" s="751" t="s">
        <v>2015</v>
      </c>
      <c r="F3020" s="751" t="s">
        <v>864</v>
      </c>
      <c r="G3020" s="752" t="s">
        <v>1681</v>
      </c>
      <c r="H3020" s="753">
        <v>53905</v>
      </c>
      <c r="I3020" s="754">
        <v>500</v>
      </c>
      <c r="J3020" s="754">
        <v>0</v>
      </c>
      <c r="K3020" s="754">
        <v>0</v>
      </c>
      <c r="L3020" s="754">
        <v>500</v>
      </c>
      <c r="M3020" s="754">
        <f t="shared" si="119"/>
        <v>500</v>
      </c>
      <c r="N3020" s="756">
        <v>500</v>
      </c>
      <c r="O3020" s="720">
        <f t="shared" si="120"/>
        <v>0</v>
      </c>
    </row>
    <row r="3021" spans="1:15" x14ac:dyDescent="0.25">
      <c r="A3021" s="207" t="str">
        <f>VLOOKUP(RIGHT(E3021,3)+0,SchLocTable!$A$2:$B$47,2,FALSE)</f>
        <v>FCW campus</v>
      </c>
      <c r="B3021" s="207" t="str">
        <f>VLOOKUP(VALUE(D3021),$D$3:F$106,3,FALSE)</f>
        <v>School Nurses</v>
      </c>
      <c r="C3021" s="751" t="s">
        <v>246</v>
      </c>
      <c r="D3021" s="751" t="s">
        <v>862</v>
      </c>
      <c r="E3021" s="751" t="s">
        <v>890</v>
      </c>
      <c r="F3021" s="751" t="s">
        <v>248</v>
      </c>
      <c r="G3021" s="752">
        <v>1</v>
      </c>
      <c r="H3021" s="753">
        <v>51000</v>
      </c>
      <c r="I3021" s="754">
        <v>71574.03</v>
      </c>
      <c r="J3021" s="754">
        <v>0</v>
      </c>
      <c r="K3021" s="754">
        <v>0</v>
      </c>
      <c r="L3021" s="754">
        <v>21938.400000000001</v>
      </c>
      <c r="M3021" s="754">
        <f t="shared" si="119"/>
        <v>21938.400000000001</v>
      </c>
      <c r="N3021" s="756">
        <v>71574.03</v>
      </c>
      <c r="O3021" s="720">
        <f t="shared" si="120"/>
        <v>0</v>
      </c>
    </row>
    <row r="3022" spans="1:15" x14ac:dyDescent="0.25">
      <c r="A3022" s="207" t="str">
        <f>VLOOKUP(RIGHT(E3022,3)+0,SchLocTable!$A$2:$B$47,2,FALSE)</f>
        <v>FCW campus</v>
      </c>
      <c r="B3022" s="207" t="str">
        <f>VLOOKUP(VALUE(D3022),$D$3:F$106,3,FALSE)</f>
        <v>School Nurses</v>
      </c>
      <c r="C3022" s="755" t="s">
        <v>246</v>
      </c>
      <c r="D3022" s="751" t="s">
        <v>862</v>
      </c>
      <c r="E3022" s="751" t="s">
        <v>890</v>
      </c>
      <c r="F3022" s="751" t="s">
        <v>250</v>
      </c>
      <c r="G3022" s="752" t="s">
        <v>1681</v>
      </c>
      <c r="H3022" s="753">
        <v>51100</v>
      </c>
      <c r="I3022" s="754">
        <v>0</v>
      </c>
      <c r="J3022" s="754">
        <v>0</v>
      </c>
      <c r="K3022" s="754">
        <v>0</v>
      </c>
      <c r="L3022" s="754">
        <v>0</v>
      </c>
      <c r="M3022" s="754">
        <f t="shared" si="119"/>
        <v>0</v>
      </c>
      <c r="N3022" s="756">
        <v>0</v>
      </c>
      <c r="O3022" s="720">
        <f t="shared" si="120"/>
        <v>0</v>
      </c>
    </row>
    <row r="3023" spans="1:15" x14ac:dyDescent="0.25">
      <c r="A3023" s="207" t="str">
        <f>VLOOKUP(RIGHT(E3023,3)+0,SchLocTable!$A$2:$B$47,2,FALSE)</f>
        <v>FCW campus</v>
      </c>
      <c r="B3023" s="207" t="str">
        <f>VLOOKUP(VALUE(D3023),$D$3:F$106,3,FALSE)</f>
        <v>School Nurses</v>
      </c>
      <c r="C3023" s="751" t="s">
        <v>246</v>
      </c>
      <c r="D3023" s="751" t="s">
        <v>862</v>
      </c>
      <c r="E3023" s="751" t="s">
        <v>890</v>
      </c>
      <c r="F3023" s="751" t="s">
        <v>257</v>
      </c>
      <c r="G3023" s="752" t="s">
        <v>1681</v>
      </c>
      <c r="H3023" s="753">
        <v>51140</v>
      </c>
      <c r="I3023" s="754">
        <v>1120</v>
      </c>
      <c r="J3023" s="754">
        <v>0</v>
      </c>
      <c r="K3023" s="754">
        <v>0</v>
      </c>
      <c r="L3023" s="754">
        <v>0</v>
      </c>
      <c r="M3023" s="754">
        <f t="shared" si="119"/>
        <v>0</v>
      </c>
      <c r="N3023" s="756">
        <v>1120</v>
      </c>
      <c r="O3023" s="720">
        <f t="shared" si="120"/>
        <v>0</v>
      </c>
    </row>
    <row r="3024" spans="1:15" x14ac:dyDescent="0.25">
      <c r="A3024" s="207" t="str">
        <f>VLOOKUP(RIGHT(E3024,3)+0,SchLocTable!$A$2:$B$47,2,FALSE)</f>
        <v>FCW campus</v>
      </c>
      <c r="B3024" s="207" t="str">
        <f>VLOOKUP(VALUE(D3024),$D$3:F$106,3,FALSE)</f>
        <v>School Nurses</v>
      </c>
      <c r="C3024" s="751" t="s">
        <v>246</v>
      </c>
      <c r="D3024" s="751" t="s">
        <v>862</v>
      </c>
      <c r="E3024" s="751" t="s">
        <v>890</v>
      </c>
      <c r="F3024" s="751" t="s">
        <v>254</v>
      </c>
      <c r="G3024" s="752" t="s">
        <v>1681</v>
      </c>
      <c r="H3024" s="753">
        <v>52360</v>
      </c>
      <c r="I3024" s="754">
        <v>1045.08</v>
      </c>
      <c r="J3024" s="754">
        <v>0</v>
      </c>
      <c r="K3024" s="754">
        <v>0</v>
      </c>
      <c r="L3024" s="754">
        <v>325.36</v>
      </c>
      <c r="M3024" s="754">
        <f t="shared" si="119"/>
        <v>325.36</v>
      </c>
      <c r="N3024" s="756">
        <v>1045.08</v>
      </c>
      <c r="O3024" s="720">
        <f t="shared" si="120"/>
        <v>0</v>
      </c>
    </row>
    <row r="3025" spans="1:15" x14ac:dyDescent="0.25">
      <c r="A3025" s="207" t="str">
        <f>VLOOKUP(RIGHT(E3025,3)+0,SchLocTable!$A$2:$B$47,2,FALSE)</f>
        <v>FCW campus</v>
      </c>
      <c r="B3025" s="207" t="str">
        <f>VLOOKUP(VALUE(D3025),$D$3:F$106,3,FALSE)</f>
        <v>School Nurses</v>
      </c>
      <c r="C3025" s="751" t="s">
        <v>246</v>
      </c>
      <c r="D3025" s="751" t="s">
        <v>862</v>
      </c>
      <c r="E3025" s="751" t="s">
        <v>890</v>
      </c>
      <c r="F3025" s="751" t="s">
        <v>331</v>
      </c>
      <c r="G3025" s="752" t="s">
        <v>1681</v>
      </c>
      <c r="H3025" s="753">
        <v>52504</v>
      </c>
      <c r="I3025" s="754">
        <v>14737.1</v>
      </c>
      <c r="J3025" s="754">
        <v>0</v>
      </c>
      <c r="K3025" s="754">
        <v>0</v>
      </c>
      <c r="L3025" s="754">
        <v>4517.12</v>
      </c>
      <c r="M3025" s="754">
        <f t="shared" si="119"/>
        <v>4517.12</v>
      </c>
      <c r="N3025" s="756">
        <v>14737.1</v>
      </c>
      <c r="O3025" s="720">
        <f t="shared" si="120"/>
        <v>0</v>
      </c>
    </row>
    <row r="3026" spans="1:15" x14ac:dyDescent="0.25">
      <c r="A3026" s="207" t="str">
        <f>VLOOKUP(RIGHT(E3026,3)+0,SchLocTable!$A$2:$B$47,2,FALSE)</f>
        <v>FCW campus</v>
      </c>
      <c r="B3026" s="207" t="str">
        <f>VLOOKUP(VALUE(D3026),$D$3:F$106,3,FALSE)</f>
        <v>School Nurses</v>
      </c>
      <c r="C3026" s="751" t="s">
        <v>246</v>
      </c>
      <c r="D3026" s="751" t="s">
        <v>862</v>
      </c>
      <c r="E3026" s="751" t="s">
        <v>890</v>
      </c>
      <c r="F3026" s="751" t="s">
        <v>259</v>
      </c>
      <c r="G3026" s="752" t="s">
        <v>1681</v>
      </c>
      <c r="H3026" s="753">
        <v>52917</v>
      </c>
      <c r="I3026" s="754">
        <v>11599.36</v>
      </c>
      <c r="J3026" s="754">
        <v>0</v>
      </c>
      <c r="K3026" s="754">
        <v>0</v>
      </c>
      <c r="L3026" s="754">
        <v>3555.36</v>
      </c>
      <c r="M3026" s="754">
        <f t="shared" si="119"/>
        <v>3555.36</v>
      </c>
      <c r="N3026" s="756">
        <v>11599.36</v>
      </c>
      <c r="O3026" s="720">
        <f t="shared" si="120"/>
        <v>0</v>
      </c>
    </row>
    <row r="3027" spans="1:15" x14ac:dyDescent="0.25">
      <c r="A3027" s="207" t="str">
        <f>VLOOKUP(RIGHT(E3027,3)+0,SchLocTable!$A$2:$B$47,2,FALSE)</f>
        <v>FCW campus</v>
      </c>
      <c r="B3027" s="207" t="str">
        <f>VLOOKUP(VALUE(D3027),$D$3:F$106,3,FALSE)</f>
        <v>School Nurses</v>
      </c>
      <c r="C3027" s="751" t="s">
        <v>246</v>
      </c>
      <c r="D3027" s="751" t="s">
        <v>862</v>
      </c>
      <c r="E3027" s="751" t="s">
        <v>890</v>
      </c>
      <c r="F3027" s="751" t="s">
        <v>864</v>
      </c>
      <c r="G3027" s="752" t="s">
        <v>1681</v>
      </c>
      <c r="H3027" s="753">
        <v>53905</v>
      </c>
      <c r="I3027" s="754">
        <v>500</v>
      </c>
      <c r="J3027" s="754">
        <v>0</v>
      </c>
      <c r="K3027" s="754">
        <v>0</v>
      </c>
      <c r="L3027" s="754">
        <v>500</v>
      </c>
      <c r="M3027" s="754">
        <f t="shared" si="119"/>
        <v>500</v>
      </c>
      <c r="N3027" s="756">
        <v>500</v>
      </c>
      <c r="O3027" s="720">
        <f t="shared" si="120"/>
        <v>0</v>
      </c>
    </row>
    <row r="3028" spans="1:15" x14ac:dyDescent="0.25">
      <c r="A3028" s="207" t="e">
        <f>VLOOKUP(RIGHT(E3028,3)+0,SchLocTable!$A$2:$B$47,2,FALSE)</f>
        <v>#N/A</v>
      </c>
      <c r="B3028" s="207" t="str">
        <f>VLOOKUP(VALUE(D3028),$D$3:F$106,3,FALSE)</f>
        <v>Occupational Therapy</v>
      </c>
      <c r="C3028" s="751" t="s">
        <v>246</v>
      </c>
      <c r="D3028" s="751" t="s">
        <v>891</v>
      </c>
      <c r="E3028" s="751" t="s">
        <v>892</v>
      </c>
      <c r="F3028" s="751" t="s">
        <v>248</v>
      </c>
      <c r="G3028" s="752">
        <v>14</v>
      </c>
      <c r="H3028" s="753">
        <v>51000</v>
      </c>
      <c r="I3028" s="754">
        <v>883332.09</v>
      </c>
      <c r="J3028" s="754">
        <v>0</v>
      </c>
      <c r="K3028" s="754">
        <v>0</v>
      </c>
      <c r="L3028" s="754">
        <v>200347.73</v>
      </c>
      <c r="M3028" s="754">
        <f t="shared" si="119"/>
        <v>200347.73</v>
      </c>
      <c r="N3028" s="756">
        <v>883332.09</v>
      </c>
      <c r="O3028" s="720">
        <f t="shared" si="120"/>
        <v>0</v>
      </c>
    </row>
    <row r="3029" spans="1:15" x14ac:dyDescent="0.25">
      <c r="A3029" s="207" t="e">
        <f>VLOOKUP(RIGHT(E3029,3)+0,SchLocTable!$A$2:$B$47,2,FALSE)</f>
        <v>#N/A</v>
      </c>
      <c r="B3029" s="207" t="str">
        <f>VLOOKUP(VALUE(D3029),$D$3:F$106,3,FALSE)</f>
        <v>Occupational Therapy</v>
      </c>
      <c r="C3029" s="751" t="s">
        <v>246</v>
      </c>
      <c r="D3029" s="751" t="s">
        <v>891</v>
      </c>
      <c r="E3029" s="751" t="s">
        <v>892</v>
      </c>
      <c r="F3029" s="751" t="s">
        <v>257</v>
      </c>
      <c r="G3029" s="752" t="s">
        <v>1681</v>
      </c>
      <c r="H3029" s="753">
        <v>51140</v>
      </c>
      <c r="I3029" s="754">
        <v>3825</v>
      </c>
      <c r="J3029" s="754">
        <v>0</v>
      </c>
      <c r="K3029" s="754">
        <v>0</v>
      </c>
      <c r="L3029" s="754">
        <v>0</v>
      </c>
      <c r="M3029" s="754">
        <f t="shared" si="119"/>
        <v>0</v>
      </c>
      <c r="N3029" s="756">
        <v>3825</v>
      </c>
      <c r="O3029" s="720">
        <f t="shared" si="120"/>
        <v>0</v>
      </c>
    </row>
    <row r="3030" spans="1:15" x14ac:dyDescent="0.25">
      <c r="A3030" s="207" t="e">
        <f>VLOOKUP(RIGHT(E3030,3)+0,SchLocTable!$A$2:$B$47,2,FALSE)</f>
        <v>#N/A</v>
      </c>
      <c r="B3030" s="207" t="str">
        <f>VLOOKUP(VALUE(D3030),$D$3:F$106,3,FALSE)</f>
        <v>Occupational Therapy</v>
      </c>
      <c r="C3030" s="751" t="s">
        <v>246</v>
      </c>
      <c r="D3030" s="751" t="s">
        <v>891</v>
      </c>
      <c r="E3030" s="751" t="s">
        <v>892</v>
      </c>
      <c r="F3030" s="751" t="s">
        <v>252</v>
      </c>
      <c r="G3030" s="752" t="s">
        <v>1681</v>
      </c>
      <c r="H3030" s="753">
        <v>51154</v>
      </c>
      <c r="I3030" s="754">
        <v>0</v>
      </c>
      <c r="J3030" s="754">
        <v>0</v>
      </c>
      <c r="K3030" s="754">
        <v>0</v>
      </c>
      <c r="L3030" s="754">
        <v>0</v>
      </c>
      <c r="M3030" s="754">
        <f t="shared" si="119"/>
        <v>0</v>
      </c>
      <c r="N3030" s="756">
        <v>0</v>
      </c>
      <c r="O3030" s="720">
        <f t="shared" si="120"/>
        <v>0</v>
      </c>
    </row>
    <row r="3031" spans="1:15" x14ac:dyDescent="0.25">
      <c r="A3031" s="207" t="e">
        <f>VLOOKUP(RIGHT(E3031,3)+0,SchLocTable!$A$2:$B$47,2,FALSE)</f>
        <v>#N/A</v>
      </c>
      <c r="B3031" s="207" t="str">
        <f>VLOOKUP(VALUE(D3031),$D$3:F$106,3,FALSE)</f>
        <v>Occupational Therapy</v>
      </c>
      <c r="C3031" s="751" t="s">
        <v>246</v>
      </c>
      <c r="D3031" s="751" t="s">
        <v>891</v>
      </c>
      <c r="E3031" s="751" t="s">
        <v>892</v>
      </c>
      <c r="F3031" s="751" t="s">
        <v>328</v>
      </c>
      <c r="G3031" s="752" t="s">
        <v>1681</v>
      </c>
      <c r="H3031" s="753">
        <v>51318</v>
      </c>
      <c r="I3031" s="754">
        <v>977.97</v>
      </c>
      <c r="J3031" s="754">
        <v>0</v>
      </c>
      <c r="K3031" s="754">
        <v>0</v>
      </c>
      <c r="L3031" s="754">
        <v>0</v>
      </c>
      <c r="M3031" s="754">
        <f t="shared" si="119"/>
        <v>0</v>
      </c>
      <c r="N3031" s="756">
        <v>977.97</v>
      </c>
      <c r="O3031" s="720">
        <f t="shared" si="120"/>
        <v>0</v>
      </c>
    </row>
    <row r="3032" spans="1:15" x14ac:dyDescent="0.25">
      <c r="A3032" s="207" t="e">
        <f>VLOOKUP(RIGHT(E3032,3)+0,SchLocTable!$A$2:$B$47,2,FALSE)</f>
        <v>#N/A</v>
      </c>
      <c r="B3032" s="207" t="str">
        <f>VLOOKUP(VALUE(D3032),$D$3:F$106,3,FALSE)</f>
        <v>Occupational Therapy</v>
      </c>
      <c r="C3032" s="751" t="s">
        <v>246</v>
      </c>
      <c r="D3032" s="751" t="s">
        <v>891</v>
      </c>
      <c r="E3032" s="751" t="s">
        <v>892</v>
      </c>
      <c r="F3032" s="751" t="s">
        <v>254</v>
      </c>
      <c r="G3032" s="752" t="s">
        <v>1681</v>
      </c>
      <c r="H3032" s="753">
        <v>52360</v>
      </c>
      <c r="I3032" s="754">
        <v>12695.4</v>
      </c>
      <c r="J3032" s="754">
        <v>0</v>
      </c>
      <c r="K3032" s="754">
        <v>0</v>
      </c>
      <c r="L3032" s="754">
        <v>2792.13</v>
      </c>
      <c r="M3032" s="754">
        <f t="shared" si="119"/>
        <v>2792.13</v>
      </c>
      <c r="N3032" s="756">
        <v>12695.4</v>
      </c>
      <c r="O3032" s="720">
        <f t="shared" si="120"/>
        <v>0</v>
      </c>
    </row>
    <row r="3033" spans="1:15" x14ac:dyDescent="0.25">
      <c r="A3033" s="207" t="e">
        <f>VLOOKUP(RIGHT(E3033,3)+0,SchLocTable!$A$2:$B$47,2,FALSE)</f>
        <v>#N/A</v>
      </c>
      <c r="B3033" s="207" t="str">
        <f>VLOOKUP(VALUE(D3033),$D$3:F$106,3,FALSE)</f>
        <v>Occupational Therapy</v>
      </c>
      <c r="C3033" s="751" t="s">
        <v>246</v>
      </c>
      <c r="D3033" s="751" t="s">
        <v>891</v>
      </c>
      <c r="E3033" s="751" t="s">
        <v>892</v>
      </c>
      <c r="F3033" s="751" t="s">
        <v>292</v>
      </c>
      <c r="G3033" s="752" t="s">
        <v>1681</v>
      </c>
      <c r="H3033" s="753">
        <v>52385</v>
      </c>
      <c r="I3033" s="754">
        <v>1153.04</v>
      </c>
      <c r="J3033" s="754">
        <v>0</v>
      </c>
      <c r="K3033" s="754">
        <v>0</v>
      </c>
      <c r="L3033" s="754">
        <v>1153.04</v>
      </c>
      <c r="M3033" s="754">
        <f t="shared" si="119"/>
        <v>1153.04</v>
      </c>
      <c r="N3033" s="756">
        <v>1153.04</v>
      </c>
      <c r="O3033" s="720">
        <f t="shared" si="120"/>
        <v>0</v>
      </c>
    </row>
    <row r="3034" spans="1:15" x14ac:dyDescent="0.25">
      <c r="A3034" s="207" t="e">
        <f>VLOOKUP(RIGHT(E3034,3)+0,SchLocTable!$A$2:$B$47,2,FALSE)</f>
        <v>#N/A</v>
      </c>
      <c r="B3034" s="207" t="str">
        <f>VLOOKUP(VALUE(D3034),$D$3:F$106,3,FALSE)</f>
        <v>Occupational Therapy</v>
      </c>
      <c r="C3034" s="751" t="s">
        <v>246</v>
      </c>
      <c r="D3034" s="751" t="s">
        <v>891</v>
      </c>
      <c r="E3034" s="751" t="s">
        <v>892</v>
      </c>
      <c r="F3034" s="751" t="s">
        <v>331</v>
      </c>
      <c r="G3034" s="752" t="s">
        <v>1681</v>
      </c>
      <c r="H3034" s="753">
        <v>52504</v>
      </c>
      <c r="I3034" s="754">
        <v>176606.05</v>
      </c>
      <c r="J3034" s="754">
        <v>0</v>
      </c>
      <c r="K3034" s="754">
        <v>0</v>
      </c>
      <c r="L3034" s="754">
        <v>35979.57</v>
      </c>
      <c r="M3034" s="754">
        <f t="shared" si="119"/>
        <v>35979.57</v>
      </c>
      <c r="N3034" s="756">
        <v>176606.05</v>
      </c>
      <c r="O3034" s="720">
        <f t="shared" si="120"/>
        <v>0</v>
      </c>
    </row>
    <row r="3035" spans="1:15" x14ac:dyDescent="0.25">
      <c r="A3035" s="207" t="e">
        <f>VLOOKUP(RIGHT(E3035,3)+0,SchLocTable!$A$2:$B$47,2,FALSE)</f>
        <v>#N/A</v>
      </c>
      <c r="B3035" s="207" t="str">
        <f>VLOOKUP(VALUE(D3035),$D$3:F$106,3,FALSE)</f>
        <v>Occupational Therapy</v>
      </c>
      <c r="C3035" s="755" t="s">
        <v>246</v>
      </c>
      <c r="D3035" s="751" t="s">
        <v>891</v>
      </c>
      <c r="E3035" s="751" t="s">
        <v>892</v>
      </c>
      <c r="F3035" s="751" t="s">
        <v>259</v>
      </c>
      <c r="G3035" s="752" t="s">
        <v>1681</v>
      </c>
      <c r="H3035" s="753">
        <v>52917</v>
      </c>
      <c r="I3035" s="754">
        <v>135852.19</v>
      </c>
      <c r="J3035" s="754">
        <v>0</v>
      </c>
      <c r="K3035" s="754">
        <v>0</v>
      </c>
      <c r="L3035" s="754">
        <v>23998.91</v>
      </c>
      <c r="M3035" s="754">
        <f t="shared" si="119"/>
        <v>23998.91</v>
      </c>
      <c r="N3035" s="756">
        <v>135852.19</v>
      </c>
      <c r="O3035" s="720">
        <f t="shared" si="120"/>
        <v>0</v>
      </c>
    </row>
    <row r="3036" spans="1:15" x14ac:dyDescent="0.25">
      <c r="A3036" s="207" t="e">
        <f>VLOOKUP(RIGHT(E3036,3)+0,SchLocTable!$A$2:$B$47,2,FALSE)</f>
        <v>#N/A</v>
      </c>
      <c r="B3036" s="207" t="str">
        <f>VLOOKUP(VALUE(D3036),$D$3:F$106,3,FALSE)</f>
        <v>Occupational Therapy</v>
      </c>
      <c r="C3036" s="751" t="s">
        <v>246</v>
      </c>
      <c r="D3036" s="751" t="s">
        <v>891</v>
      </c>
      <c r="E3036" s="751" t="s">
        <v>892</v>
      </c>
      <c r="F3036" s="751" t="s">
        <v>333</v>
      </c>
      <c r="G3036" s="752" t="s">
        <v>1681</v>
      </c>
      <c r="H3036" s="753">
        <v>52920</v>
      </c>
      <c r="I3036" s="754">
        <v>15000</v>
      </c>
      <c r="J3036" s="754">
        <v>0</v>
      </c>
      <c r="K3036" s="754">
        <v>0</v>
      </c>
      <c r="L3036" s="754">
        <v>0</v>
      </c>
      <c r="M3036" s="754">
        <f t="shared" si="119"/>
        <v>0</v>
      </c>
      <c r="N3036" s="756">
        <v>15000</v>
      </c>
      <c r="O3036" s="720">
        <f t="shared" si="120"/>
        <v>0</v>
      </c>
    </row>
    <row r="3037" spans="1:15" x14ac:dyDescent="0.25">
      <c r="A3037" s="207" t="str">
        <f>VLOOKUP(RIGHT(E3037,3)+0,SchLocTable!$A$2:$B$47,2,FALSE)</f>
        <v>Batalla</v>
      </c>
      <c r="B3037" s="207" t="str">
        <f>VLOOKUP(VALUE(D3037),$D$3:F$106,3,FALSE)</f>
        <v>Occupational Therapy</v>
      </c>
      <c r="C3037" s="751" t="s">
        <v>246</v>
      </c>
      <c r="D3037" s="751" t="s">
        <v>891</v>
      </c>
      <c r="E3037" s="751" t="s">
        <v>893</v>
      </c>
      <c r="F3037" s="751" t="s">
        <v>248</v>
      </c>
      <c r="G3037" s="752">
        <v>1</v>
      </c>
      <c r="H3037" s="753">
        <v>51000</v>
      </c>
      <c r="I3037" s="754">
        <v>92238.29</v>
      </c>
      <c r="J3037" s="754">
        <v>0</v>
      </c>
      <c r="K3037" s="754">
        <v>0</v>
      </c>
      <c r="L3037" s="754">
        <v>27483.69</v>
      </c>
      <c r="M3037" s="754">
        <f t="shared" si="119"/>
        <v>27483.69</v>
      </c>
      <c r="N3037" s="756">
        <v>92238.29</v>
      </c>
      <c r="O3037" s="720">
        <f t="shared" si="120"/>
        <v>0</v>
      </c>
    </row>
    <row r="3038" spans="1:15" x14ac:dyDescent="0.25">
      <c r="A3038" s="207" t="str">
        <f>VLOOKUP(RIGHT(E3038,3)+0,SchLocTable!$A$2:$B$47,2,FALSE)</f>
        <v>Batalla</v>
      </c>
      <c r="B3038" s="207" t="str">
        <f>VLOOKUP(VALUE(D3038),$D$3:F$106,3,FALSE)</f>
        <v>Occupational Therapy</v>
      </c>
      <c r="C3038" s="751" t="s">
        <v>246</v>
      </c>
      <c r="D3038" s="751" t="s">
        <v>891</v>
      </c>
      <c r="E3038" s="751" t="s">
        <v>893</v>
      </c>
      <c r="F3038" s="751" t="s">
        <v>257</v>
      </c>
      <c r="G3038" s="752" t="s">
        <v>1681</v>
      </c>
      <c r="H3038" s="753">
        <v>51140</v>
      </c>
      <c r="I3038" s="754">
        <v>825</v>
      </c>
      <c r="J3038" s="754">
        <v>0</v>
      </c>
      <c r="K3038" s="754">
        <v>0</v>
      </c>
      <c r="L3038" s="754">
        <v>0</v>
      </c>
      <c r="M3038" s="754">
        <f t="shared" si="119"/>
        <v>0</v>
      </c>
      <c r="N3038" s="756">
        <v>825</v>
      </c>
      <c r="O3038" s="720">
        <f t="shared" si="120"/>
        <v>0</v>
      </c>
    </row>
    <row r="3039" spans="1:15" x14ac:dyDescent="0.25">
      <c r="A3039" s="207" t="str">
        <f>VLOOKUP(RIGHT(E3039,3)+0,SchLocTable!$A$2:$B$47,2,FALSE)</f>
        <v>Batalla</v>
      </c>
      <c r="B3039" s="207" t="str">
        <f>VLOOKUP(VALUE(D3039),$D$3:F$106,3,FALSE)</f>
        <v>Occupational Therapy</v>
      </c>
      <c r="C3039" s="751" t="s">
        <v>246</v>
      </c>
      <c r="D3039" s="751" t="s">
        <v>891</v>
      </c>
      <c r="E3039" s="751" t="s">
        <v>893</v>
      </c>
      <c r="F3039" s="751" t="s">
        <v>254</v>
      </c>
      <c r="G3039" s="752" t="s">
        <v>1681</v>
      </c>
      <c r="H3039" s="753">
        <v>52360</v>
      </c>
      <c r="I3039" s="754">
        <v>1301.19</v>
      </c>
      <c r="J3039" s="754">
        <v>0</v>
      </c>
      <c r="K3039" s="754">
        <v>0</v>
      </c>
      <c r="L3039" s="754">
        <v>362.25</v>
      </c>
      <c r="M3039" s="754">
        <f t="shared" si="119"/>
        <v>362.25</v>
      </c>
      <c r="N3039" s="756">
        <v>1301.19</v>
      </c>
      <c r="O3039" s="720">
        <f t="shared" si="120"/>
        <v>0</v>
      </c>
    </row>
    <row r="3040" spans="1:15" x14ac:dyDescent="0.25">
      <c r="A3040" s="207" t="str">
        <f>VLOOKUP(RIGHT(E3040,3)+0,SchLocTable!$A$2:$B$47,2,FALSE)</f>
        <v>Batalla</v>
      </c>
      <c r="B3040" s="207" t="str">
        <f>VLOOKUP(VALUE(D3040),$D$3:F$106,3,FALSE)</f>
        <v>Occupational Therapy</v>
      </c>
      <c r="C3040" s="751" t="s">
        <v>246</v>
      </c>
      <c r="D3040" s="751" t="s">
        <v>891</v>
      </c>
      <c r="E3040" s="751" t="s">
        <v>893</v>
      </c>
      <c r="F3040" s="751" t="s">
        <v>331</v>
      </c>
      <c r="G3040" s="752" t="s">
        <v>1681</v>
      </c>
      <c r="H3040" s="753">
        <v>52504</v>
      </c>
      <c r="I3040" s="754">
        <v>18991.84</v>
      </c>
      <c r="J3040" s="754">
        <v>0</v>
      </c>
      <c r="K3040" s="754">
        <v>0</v>
      </c>
      <c r="L3040" s="754">
        <v>5658.87</v>
      </c>
      <c r="M3040" s="754">
        <f t="shared" si="119"/>
        <v>5658.87</v>
      </c>
      <c r="N3040" s="756">
        <v>18991.84</v>
      </c>
      <c r="O3040" s="720">
        <f t="shared" si="120"/>
        <v>0</v>
      </c>
    </row>
    <row r="3041" spans="1:15" x14ac:dyDescent="0.25">
      <c r="A3041" s="207" t="str">
        <f>VLOOKUP(RIGHT(E3041,3)+0,SchLocTable!$A$2:$B$47,2,FALSE)</f>
        <v>Batalla</v>
      </c>
      <c r="B3041" s="207" t="str">
        <f>VLOOKUP(VALUE(D3041),$D$3:F$106,3,FALSE)</f>
        <v>Occupational Therapy</v>
      </c>
      <c r="C3041" s="751" t="s">
        <v>246</v>
      </c>
      <c r="D3041" s="751" t="s">
        <v>891</v>
      </c>
      <c r="E3041" s="751" t="s">
        <v>893</v>
      </c>
      <c r="F3041" s="751" t="s">
        <v>259</v>
      </c>
      <c r="G3041" s="752" t="s">
        <v>1681</v>
      </c>
      <c r="H3041" s="753">
        <v>52917</v>
      </c>
      <c r="I3041" s="754">
        <v>26666.54</v>
      </c>
      <c r="J3041" s="754">
        <v>0</v>
      </c>
      <c r="K3041" s="754">
        <v>0</v>
      </c>
      <c r="L3041" s="754">
        <v>7777.02</v>
      </c>
      <c r="M3041" s="754">
        <f t="shared" si="119"/>
        <v>7777.02</v>
      </c>
      <c r="N3041" s="756">
        <v>26666.54</v>
      </c>
      <c r="O3041" s="720">
        <f t="shared" si="120"/>
        <v>0</v>
      </c>
    </row>
    <row r="3042" spans="1:15" x14ac:dyDescent="0.25">
      <c r="A3042" s="207" t="str">
        <f>VLOOKUP(RIGHT(E3042,3)+0,SchLocTable!$A$2:$B$47,2,FALSE)</f>
        <v>Skane</v>
      </c>
      <c r="B3042" s="207" t="str">
        <f>VLOOKUP(VALUE(D3042),$D$3:F$106,3,FALSE)</f>
        <v>Occupational Therapy</v>
      </c>
      <c r="C3042" s="751" t="s">
        <v>246</v>
      </c>
      <c r="D3042" s="751" t="s">
        <v>891</v>
      </c>
      <c r="E3042" s="751" t="s">
        <v>894</v>
      </c>
      <c r="F3042" s="751" t="s">
        <v>248</v>
      </c>
      <c r="G3042" s="752">
        <v>2</v>
      </c>
      <c r="H3042" s="753">
        <v>51000</v>
      </c>
      <c r="I3042" s="754">
        <v>151814.07</v>
      </c>
      <c r="J3042" s="754">
        <v>0</v>
      </c>
      <c r="K3042" s="754">
        <v>0</v>
      </c>
      <c r="L3042" s="754">
        <v>45311.46</v>
      </c>
      <c r="M3042" s="754">
        <f t="shared" si="119"/>
        <v>45311.46</v>
      </c>
      <c r="N3042" s="756">
        <v>151814.07</v>
      </c>
      <c r="O3042" s="720">
        <f t="shared" si="120"/>
        <v>0</v>
      </c>
    </row>
    <row r="3043" spans="1:15" x14ac:dyDescent="0.25">
      <c r="A3043" s="207" t="str">
        <f>VLOOKUP(RIGHT(E3043,3)+0,SchLocTable!$A$2:$B$47,2,FALSE)</f>
        <v>Skane</v>
      </c>
      <c r="B3043" s="207" t="str">
        <f>VLOOKUP(VALUE(D3043),$D$3:F$106,3,FALSE)</f>
        <v>Occupational Therapy</v>
      </c>
      <c r="C3043" s="751" t="s">
        <v>246</v>
      </c>
      <c r="D3043" s="751" t="s">
        <v>891</v>
      </c>
      <c r="E3043" s="751" t="s">
        <v>894</v>
      </c>
      <c r="F3043" s="751" t="s">
        <v>257</v>
      </c>
      <c r="G3043" s="752" t="s">
        <v>1681</v>
      </c>
      <c r="H3043" s="753">
        <v>51140</v>
      </c>
      <c r="I3043" s="754">
        <v>2100</v>
      </c>
      <c r="J3043" s="754">
        <v>0</v>
      </c>
      <c r="K3043" s="754">
        <v>0</v>
      </c>
      <c r="L3043" s="754">
        <v>0</v>
      </c>
      <c r="M3043" s="754">
        <f t="shared" si="119"/>
        <v>0</v>
      </c>
      <c r="N3043" s="756">
        <v>2100</v>
      </c>
      <c r="O3043" s="720">
        <f t="shared" si="120"/>
        <v>0</v>
      </c>
    </row>
    <row r="3044" spans="1:15" x14ac:dyDescent="0.25">
      <c r="A3044" s="207" t="str">
        <f>VLOOKUP(RIGHT(E3044,3)+0,SchLocTable!$A$2:$B$47,2,FALSE)</f>
        <v>Skane</v>
      </c>
      <c r="B3044" s="207" t="str">
        <f>VLOOKUP(VALUE(D3044),$D$3:F$106,3,FALSE)</f>
        <v>Occupational Therapy</v>
      </c>
      <c r="C3044" s="755" t="s">
        <v>246</v>
      </c>
      <c r="D3044" s="751" t="s">
        <v>891</v>
      </c>
      <c r="E3044" s="751" t="s">
        <v>894</v>
      </c>
      <c r="F3044" s="751" t="s">
        <v>402</v>
      </c>
      <c r="G3044" s="752" t="s">
        <v>1681</v>
      </c>
      <c r="H3044" s="753">
        <v>51400</v>
      </c>
      <c r="I3044" s="754">
        <v>4695.3900000000003</v>
      </c>
      <c r="J3044" s="754">
        <v>0</v>
      </c>
      <c r="K3044" s="754">
        <v>0</v>
      </c>
      <c r="L3044" s="754">
        <v>4695.3900000000003</v>
      </c>
      <c r="M3044" s="754">
        <f t="shared" si="119"/>
        <v>4695.3900000000003</v>
      </c>
      <c r="N3044" s="756">
        <v>4695.3900000000003</v>
      </c>
      <c r="O3044" s="720">
        <f t="shared" si="120"/>
        <v>0</v>
      </c>
    </row>
    <row r="3045" spans="1:15" x14ac:dyDescent="0.25">
      <c r="A3045" s="207" t="str">
        <f>VLOOKUP(RIGHT(E3045,3)+0,SchLocTable!$A$2:$B$47,2,FALSE)</f>
        <v>Skane</v>
      </c>
      <c r="B3045" s="207" t="str">
        <f>VLOOKUP(VALUE(D3045),$D$3:F$106,3,FALSE)</f>
        <v>Occupational Therapy</v>
      </c>
      <c r="C3045" s="751" t="s">
        <v>246</v>
      </c>
      <c r="D3045" s="751" t="s">
        <v>891</v>
      </c>
      <c r="E3045" s="751" t="s">
        <v>894</v>
      </c>
      <c r="F3045" s="751" t="s">
        <v>254</v>
      </c>
      <c r="G3045" s="752" t="s">
        <v>1681</v>
      </c>
      <c r="H3045" s="753">
        <v>52360</v>
      </c>
      <c r="I3045" s="754">
        <v>2233.14</v>
      </c>
      <c r="J3045" s="754">
        <v>0</v>
      </c>
      <c r="K3045" s="754">
        <v>0</v>
      </c>
      <c r="L3045" s="754">
        <v>688.85</v>
      </c>
      <c r="M3045" s="754">
        <f t="shared" si="119"/>
        <v>688.85</v>
      </c>
      <c r="N3045" s="756">
        <v>2233.14</v>
      </c>
      <c r="O3045" s="720">
        <f t="shared" si="120"/>
        <v>0</v>
      </c>
    </row>
    <row r="3046" spans="1:15" x14ac:dyDescent="0.25">
      <c r="A3046" s="207" t="str">
        <f>VLOOKUP(RIGHT(E3046,3)+0,SchLocTable!$A$2:$B$47,2,FALSE)</f>
        <v>Skane</v>
      </c>
      <c r="B3046" s="207" t="str">
        <f>VLOOKUP(VALUE(D3046),$D$3:F$106,3,FALSE)</f>
        <v>Occupational Therapy</v>
      </c>
      <c r="C3046" s="751" t="s">
        <v>246</v>
      </c>
      <c r="D3046" s="751" t="s">
        <v>891</v>
      </c>
      <c r="E3046" s="751" t="s">
        <v>894</v>
      </c>
      <c r="F3046" s="751" t="s">
        <v>331</v>
      </c>
      <c r="G3046" s="752" t="s">
        <v>1681</v>
      </c>
      <c r="H3046" s="753">
        <v>52504</v>
      </c>
      <c r="I3046" s="754">
        <v>32225.27</v>
      </c>
      <c r="J3046" s="754">
        <v>0</v>
      </c>
      <c r="K3046" s="754">
        <v>0</v>
      </c>
      <c r="L3046" s="754">
        <v>10296.379999999999</v>
      </c>
      <c r="M3046" s="754">
        <f t="shared" si="119"/>
        <v>10296.379999999999</v>
      </c>
      <c r="N3046" s="756">
        <v>32225.27</v>
      </c>
      <c r="O3046" s="720">
        <f t="shared" si="120"/>
        <v>0</v>
      </c>
    </row>
    <row r="3047" spans="1:15" x14ac:dyDescent="0.25">
      <c r="A3047" s="207" t="str">
        <f>VLOOKUP(RIGHT(E3047,3)+0,SchLocTable!$A$2:$B$47,2,FALSE)</f>
        <v>Skane</v>
      </c>
      <c r="B3047" s="207" t="str">
        <f>VLOOKUP(VALUE(D3047),$D$3:F$106,3,FALSE)</f>
        <v>Occupational Therapy</v>
      </c>
      <c r="C3047" s="751" t="s">
        <v>246</v>
      </c>
      <c r="D3047" s="751" t="s">
        <v>891</v>
      </c>
      <c r="E3047" s="751" t="s">
        <v>894</v>
      </c>
      <c r="F3047" s="751" t="s">
        <v>259</v>
      </c>
      <c r="G3047" s="752" t="s">
        <v>1681</v>
      </c>
      <c r="H3047" s="753">
        <v>52917</v>
      </c>
      <c r="I3047" s="754">
        <v>27894.81</v>
      </c>
      <c r="J3047" s="754">
        <v>0</v>
      </c>
      <c r="K3047" s="754">
        <v>0</v>
      </c>
      <c r="L3047" s="754">
        <v>8153.5</v>
      </c>
      <c r="M3047" s="754">
        <f t="shared" si="119"/>
        <v>8153.5</v>
      </c>
      <c r="N3047" s="756">
        <v>27894.81</v>
      </c>
      <c r="O3047" s="720">
        <f t="shared" si="120"/>
        <v>0</v>
      </c>
    </row>
    <row r="3048" spans="1:15" x14ac:dyDescent="0.25">
      <c r="A3048" s="207" t="str">
        <f>VLOOKUP(RIGHT(E3048,3)+0,SchLocTable!$A$2:$B$47,2,FALSE)</f>
        <v>Skane</v>
      </c>
      <c r="B3048" s="207" t="str">
        <f>VLOOKUP(VALUE(D3048),$D$3:F$106,3,FALSE)</f>
        <v>Occupational Therapy</v>
      </c>
      <c r="C3048" s="751" t="s">
        <v>246</v>
      </c>
      <c r="D3048" s="751" t="s">
        <v>891</v>
      </c>
      <c r="E3048" s="751" t="s">
        <v>894</v>
      </c>
      <c r="F3048" s="751" t="s">
        <v>333</v>
      </c>
      <c r="G3048" s="752" t="s">
        <v>1681</v>
      </c>
      <c r="H3048" s="753">
        <v>52920</v>
      </c>
      <c r="I3048" s="754">
        <v>3000</v>
      </c>
      <c r="J3048" s="754">
        <v>0</v>
      </c>
      <c r="K3048" s="754">
        <v>0</v>
      </c>
      <c r="L3048" s="754">
        <v>0</v>
      </c>
      <c r="M3048" s="754">
        <f t="shared" si="119"/>
        <v>0</v>
      </c>
      <c r="N3048" s="756">
        <v>3000</v>
      </c>
      <c r="O3048" s="720">
        <f t="shared" si="120"/>
        <v>0</v>
      </c>
    </row>
    <row r="3049" spans="1:15" x14ac:dyDescent="0.25">
      <c r="A3049" s="207" t="e">
        <f>VLOOKUP(RIGHT(E3049,3)+0,SchLocTable!$A$2:$B$47,2,FALSE)</f>
        <v>#N/A</v>
      </c>
      <c r="B3049" s="207" t="str">
        <f>VLOOKUP(VALUE(D3049),$D$3:F$106,3,FALSE)</f>
        <v>BOE Administration</v>
      </c>
      <c r="C3049" s="751" t="s">
        <v>246</v>
      </c>
      <c r="D3049" s="751" t="s">
        <v>895</v>
      </c>
      <c r="E3049" s="751" t="s">
        <v>896</v>
      </c>
      <c r="F3049" s="751" t="s">
        <v>248</v>
      </c>
      <c r="G3049" s="752">
        <v>7</v>
      </c>
      <c r="H3049" s="753">
        <v>51000</v>
      </c>
      <c r="I3049" s="754">
        <v>1104419.8600000001</v>
      </c>
      <c r="J3049" s="754">
        <v>0</v>
      </c>
      <c r="K3049" s="754">
        <v>0</v>
      </c>
      <c r="L3049" s="754">
        <v>199079.76</v>
      </c>
      <c r="M3049" s="754">
        <f t="shared" si="119"/>
        <v>199079.76</v>
      </c>
      <c r="N3049" s="756">
        <v>1104419.8600000001</v>
      </c>
      <c r="O3049" s="720">
        <f t="shared" si="120"/>
        <v>0</v>
      </c>
    </row>
    <row r="3050" spans="1:15" x14ac:dyDescent="0.25">
      <c r="A3050" s="207" t="e">
        <f>VLOOKUP(RIGHT(E3050,3)+0,SchLocTable!$A$2:$B$47,2,FALSE)</f>
        <v>#N/A</v>
      </c>
      <c r="B3050" s="207" t="str">
        <f>VLOOKUP(VALUE(D3050),$D$3:F$106,3,FALSE)</f>
        <v>BOE Administration</v>
      </c>
      <c r="C3050" s="751" t="s">
        <v>246</v>
      </c>
      <c r="D3050" s="751" t="s">
        <v>895</v>
      </c>
      <c r="E3050" s="751" t="s">
        <v>896</v>
      </c>
      <c r="F3050" s="751" t="s">
        <v>257</v>
      </c>
      <c r="G3050" s="752" t="s">
        <v>1681</v>
      </c>
      <c r="H3050" s="753">
        <v>51140</v>
      </c>
      <c r="I3050" s="754">
        <v>5200</v>
      </c>
      <c r="J3050" s="754">
        <v>0</v>
      </c>
      <c r="K3050" s="754">
        <v>0</v>
      </c>
      <c r="L3050" s="754">
        <v>1687.5</v>
      </c>
      <c r="M3050" s="754">
        <f t="shared" si="119"/>
        <v>1687.5</v>
      </c>
      <c r="N3050" s="756">
        <v>5200</v>
      </c>
      <c r="O3050" s="720">
        <f t="shared" si="120"/>
        <v>0</v>
      </c>
    </row>
    <row r="3051" spans="1:15" x14ac:dyDescent="0.25">
      <c r="A3051" s="207" t="e">
        <f>VLOOKUP(RIGHT(E3051,3)+0,SchLocTable!$A$2:$B$47,2,FALSE)</f>
        <v>#N/A</v>
      </c>
      <c r="B3051" s="207" t="str">
        <f>VLOOKUP(VALUE(D3051),$D$3:F$106,3,FALSE)</f>
        <v>BOE Administration</v>
      </c>
      <c r="C3051" s="751" t="s">
        <v>246</v>
      </c>
      <c r="D3051" s="751" t="s">
        <v>895</v>
      </c>
      <c r="E3051" s="751" t="s">
        <v>896</v>
      </c>
      <c r="F3051" s="751" t="s">
        <v>252</v>
      </c>
      <c r="G3051" s="752" t="s">
        <v>1681</v>
      </c>
      <c r="H3051" s="753">
        <v>51154</v>
      </c>
      <c r="I3051" s="754">
        <v>37232.400000000001</v>
      </c>
      <c r="J3051" s="754">
        <v>0</v>
      </c>
      <c r="K3051" s="754">
        <v>0</v>
      </c>
      <c r="L3051" s="754">
        <v>37232.400000000001</v>
      </c>
      <c r="M3051" s="754">
        <f t="shared" si="119"/>
        <v>37232.400000000001</v>
      </c>
      <c r="N3051" s="756">
        <v>37232.400000000001</v>
      </c>
      <c r="O3051" s="720">
        <f t="shared" si="120"/>
        <v>0</v>
      </c>
    </row>
    <row r="3052" spans="1:15" x14ac:dyDescent="0.25">
      <c r="A3052" s="207" t="e">
        <f>VLOOKUP(RIGHT(E3052,3)+0,SchLocTable!$A$2:$B$47,2,FALSE)</f>
        <v>#N/A</v>
      </c>
      <c r="B3052" s="207" t="str">
        <f>VLOOKUP(VALUE(D3052),$D$3:F$106,3,FALSE)</f>
        <v>BOE Administration</v>
      </c>
      <c r="C3052" s="751" t="s">
        <v>246</v>
      </c>
      <c r="D3052" s="751" t="s">
        <v>895</v>
      </c>
      <c r="E3052" s="751" t="s">
        <v>896</v>
      </c>
      <c r="F3052" s="751" t="s">
        <v>797</v>
      </c>
      <c r="G3052" s="752" t="s">
        <v>1681</v>
      </c>
      <c r="H3052" s="753">
        <v>51156</v>
      </c>
      <c r="I3052" s="754">
        <v>12884.61</v>
      </c>
      <c r="J3052" s="754">
        <v>0</v>
      </c>
      <c r="K3052" s="754">
        <v>0</v>
      </c>
      <c r="L3052" s="754">
        <v>12884.61</v>
      </c>
      <c r="M3052" s="754">
        <f t="shared" si="119"/>
        <v>12884.61</v>
      </c>
      <c r="N3052" s="756">
        <v>12884.61</v>
      </c>
      <c r="O3052" s="720">
        <f t="shared" si="120"/>
        <v>0</v>
      </c>
    </row>
    <row r="3053" spans="1:15" x14ac:dyDescent="0.25">
      <c r="A3053" s="207" t="e">
        <f>VLOOKUP(RIGHT(E3053,3)+0,SchLocTable!$A$2:$B$47,2,FALSE)</f>
        <v>#N/A</v>
      </c>
      <c r="B3053" s="207" t="str">
        <f>VLOOKUP(VALUE(D3053),$D$3:F$106,3,FALSE)</f>
        <v>BOE Administration</v>
      </c>
      <c r="C3053" s="751" t="s">
        <v>246</v>
      </c>
      <c r="D3053" s="751" t="s">
        <v>895</v>
      </c>
      <c r="E3053" s="751" t="s">
        <v>896</v>
      </c>
      <c r="F3053" s="751" t="s">
        <v>454</v>
      </c>
      <c r="G3053" s="752" t="s">
        <v>1681</v>
      </c>
      <c r="H3053" s="753">
        <v>51404</v>
      </c>
      <c r="I3053" s="754">
        <v>2200</v>
      </c>
      <c r="J3053" s="754">
        <v>0</v>
      </c>
      <c r="K3053" s="754">
        <v>0</v>
      </c>
      <c r="L3053" s="754">
        <v>2200</v>
      </c>
      <c r="M3053" s="754">
        <f t="shared" si="119"/>
        <v>2200</v>
      </c>
      <c r="N3053" s="756">
        <v>2200</v>
      </c>
      <c r="O3053" s="720">
        <f t="shared" si="120"/>
        <v>0</v>
      </c>
    </row>
    <row r="3054" spans="1:15" x14ac:dyDescent="0.25">
      <c r="A3054" s="207" t="e">
        <f>VLOOKUP(RIGHT(E3054,3)+0,SchLocTable!$A$2:$B$47,2,FALSE)</f>
        <v>#N/A</v>
      </c>
      <c r="B3054" s="207" t="str">
        <f>VLOOKUP(VALUE(D3054),$D$3:F$106,3,FALSE)</f>
        <v>BOE Administration</v>
      </c>
      <c r="C3054" s="755" t="s">
        <v>246</v>
      </c>
      <c r="D3054" s="751" t="s">
        <v>895</v>
      </c>
      <c r="E3054" s="751" t="s">
        <v>896</v>
      </c>
      <c r="F3054" s="751" t="s">
        <v>254</v>
      </c>
      <c r="G3054" s="752" t="s">
        <v>1681</v>
      </c>
      <c r="H3054" s="753">
        <v>52360</v>
      </c>
      <c r="I3054" s="754">
        <v>16735.11</v>
      </c>
      <c r="J3054" s="754">
        <v>0</v>
      </c>
      <c r="K3054" s="754">
        <v>0</v>
      </c>
      <c r="L3054" s="754">
        <v>3555.19</v>
      </c>
      <c r="M3054" s="754">
        <f t="shared" si="119"/>
        <v>3555.19</v>
      </c>
      <c r="N3054" s="756">
        <v>16735.11</v>
      </c>
      <c r="O3054" s="720">
        <f t="shared" si="120"/>
        <v>0</v>
      </c>
    </row>
    <row r="3055" spans="1:15" x14ac:dyDescent="0.25">
      <c r="A3055" s="207" t="e">
        <f>VLOOKUP(RIGHT(E3055,3)+0,SchLocTable!$A$2:$B$47,2,FALSE)</f>
        <v>#N/A</v>
      </c>
      <c r="B3055" s="207" t="str">
        <f>VLOOKUP(VALUE(D3055),$D$3:F$106,3,FALSE)</f>
        <v>BOE Administration</v>
      </c>
      <c r="C3055" s="751" t="s">
        <v>246</v>
      </c>
      <c r="D3055" s="751" t="s">
        <v>895</v>
      </c>
      <c r="E3055" s="751" t="s">
        <v>896</v>
      </c>
      <c r="F3055" s="751" t="s">
        <v>292</v>
      </c>
      <c r="G3055" s="752" t="s">
        <v>1681</v>
      </c>
      <c r="H3055" s="753">
        <v>52385</v>
      </c>
      <c r="I3055" s="754">
        <v>378.68</v>
      </c>
      <c r="J3055" s="754">
        <v>0</v>
      </c>
      <c r="K3055" s="754">
        <v>0</v>
      </c>
      <c r="L3055" s="754">
        <v>378.68</v>
      </c>
      <c r="M3055" s="754">
        <f t="shared" si="119"/>
        <v>378.68</v>
      </c>
      <c r="N3055" s="756">
        <v>378.68</v>
      </c>
      <c r="O3055" s="720">
        <f t="shared" si="120"/>
        <v>0</v>
      </c>
    </row>
    <row r="3056" spans="1:15" x14ac:dyDescent="0.25">
      <c r="A3056" s="207" t="e">
        <f>VLOOKUP(RIGHT(E3056,3)+0,SchLocTable!$A$2:$B$47,2,FALSE)</f>
        <v>#N/A</v>
      </c>
      <c r="B3056" s="207" t="str">
        <f>VLOOKUP(VALUE(D3056),$D$3:F$106,3,FALSE)</f>
        <v>BOE Administration</v>
      </c>
      <c r="C3056" s="751" t="s">
        <v>246</v>
      </c>
      <c r="D3056" s="751" t="s">
        <v>895</v>
      </c>
      <c r="E3056" s="751" t="s">
        <v>896</v>
      </c>
      <c r="F3056" s="751" t="s">
        <v>331</v>
      </c>
      <c r="G3056" s="752" t="s">
        <v>1681</v>
      </c>
      <c r="H3056" s="753">
        <v>52504</v>
      </c>
      <c r="I3056" s="754">
        <v>17819.13</v>
      </c>
      <c r="J3056" s="754">
        <v>0</v>
      </c>
      <c r="K3056" s="754">
        <v>0</v>
      </c>
      <c r="L3056" s="754">
        <v>1073.0999999999999</v>
      </c>
      <c r="M3056" s="754">
        <f t="shared" si="119"/>
        <v>1073.0999999999999</v>
      </c>
      <c r="N3056" s="756">
        <v>17819.13</v>
      </c>
      <c r="O3056" s="720">
        <f t="shared" si="120"/>
        <v>0</v>
      </c>
    </row>
    <row r="3057" spans="1:15" x14ac:dyDescent="0.25">
      <c r="A3057" s="207" t="e">
        <f>VLOOKUP(RIGHT(E3057,3)+0,SchLocTable!$A$2:$B$47,2,FALSE)</f>
        <v>#N/A</v>
      </c>
      <c r="B3057" s="207" t="str">
        <f>VLOOKUP(VALUE(D3057),$D$3:F$106,3,FALSE)</f>
        <v>BOE Administration</v>
      </c>
      <c r="C3057" s="751" t="s">
        <v>246</v>
      </c>
      <c r="D3057" s="751" t="s">
        <v>895</v>
      </c>
      <c r="E3057" s="751" t="s">
        <v>896</v>
      </c>
      <c r="F3057" s="751" t="s">
        <v>259</v>
      </c>
      <c r="G3057" s="752" t="s">
        <v>1681</v>
      </c>
      <c r="H3057" s="753">
        <v>52917</v>
      </c>
      <c r="I3057" s="754">
        <v>157152.74</v>
      </c>
      <c r="J3057" s="754">
        <v>0</v>
      </c>
      <c r="K3057" s="754">
        <v>0</v>
      </c>
      <c r="L3057" s="754">
        <v>25300.76</v>
      </c>
      <c r="M3057" s="754">
        <f t="shared" si="119"/>
        <v>25300.76</v>
      </c>
      <c r="N3057" s="756">
        <v>157152.74</v>
      </c>
      <c r="O3057" s="720">
        <f t="shared" si="120"/>
        <v>0</v>
      </c>
    </row>
    <row r="3058" spans="1:15" x14ac:dyDescent="0.25">
      <c r="A3058" s="207" t="e">
        <f>VLOOKUP(RIGHT(E3058,3)+0,SchLocTable!$A$2:$B$47,2,FALSE)</f>
        <v>#N/A</v>
      </c>
      <c r="B3058" s="207" t="str">
        <f>VLOOKUP(VALUE(D3058),$D$3:F$106,3,FALSE)</f>
        <v>BOE Administration</v>
      </c>
      <c r="C3058" s="751" t="s">
        <v>246</v>
      </c>
      <c r="D3058" s="751" t="s">
        <v>895</v>
      </c>
      <c r="E3058" s="751" t="s">
        <v>896</v>
      </c>
      <c r="F3058" s="751" t="s">
        <v>757</v>
      </c>
      <c r="G3058" s="752" t="s">
        <v>1681</v>
      </c>
      <c r="H3058" s="753">
        <v>53420</v>
      </c>
      <c r="I3058" s="754">
        <v>56542</v>
      </c>
      <c r="J3058" s="754">
        <v>0</v>
      </c>
      <c r="K3058" s="754">
        <v>0</v>
      </c>
      <c r="L3058" s="754">
        <v>55161</v>
      </c>
      <c r="M3058" s="754">
        <f t="shared" si="119"/>
        <v>55161</v>
      </c>
      <c r="N3058" s="756">
        <v>56542</v>
      </c>
      <c r="O3058" s="720">
        <f t="shared" si="120"/>
        <v>0</v>
      </c>
    </row>
    <row r="3059" spans="1:15" x14ac:dyDescent="0.25">
      <c r="A3059" s="207" t="e">
        <f>VLOOKUP(RIGHT(E3059,3)+0,SchLocTable!$A$2:$B$47,2,FALSE)</f>
        <v>#N/A</v>
      </c>
      <c r="B3059" s="207" t="str">
        <f>VLOOKUP(VALUE(D3059),$D$3:F$106,3,FALSE)</f>
        <v>BOE Administration</v>
      </c>
      <c r="C3059" s="755" t="s">
        <v>246</v>
      </c>
      <c r="D3059" s="751" t="s">
        <v>895</v>
      </c>
      <c r="E3059" s="751" t="s">
        <v>896</v>
      </c>
      <c r="F3059" s="751" t="s">
        <v>396</v>
      </c>
      <c r="G3059" s="752" t="s">
        <v>1681</v>
      </c>
      <c r="H3059" s="753">
        <v>53605</v>
      </c>
      <c r="I3059" s="754">
        <v>79675</v>
      </c>
      <c r="J3059" s="754">
        <v>4077</v>
      </c>
      <c r="K3059" s="754">
        <v>0</v>
      </c>
      <c r="L3059" s="754">
        <v>25330</v>
      </c>
      <c r="M3059" s="754">
        <f t="shared" si="119"/>
        <v>29407</v>
      </c>
      <c r="N3059" s="756">
        <v>79675</v>
      </c>
      <c r="O3059" s="720">
        <f t="shared" si="120"/>
        <v>0</v>
      </c>
    </row>
    <row r="3060" spans="1:15" x14ac:dyDescent="0.25">
      <c r="A3060" s="207" t="e">
        <f>VLOOKUP(RIGHT(E3060,3)+0,SchLocTable!$A$2:$B$47,2,FALSE)</f>
        <v>#N/A</v>
      </c>
      <c r="B3060" s="207" t="str">
        <f>VLOOKUP(VALUE(D3060),$D$3:F$106,3,FALSE)</f>
        <v>BOE Administration</v>
      </c>
      <c r="C3060" s="751" t="s">
        <v>246</v>
      </c>
      <c r="D3060" s="751" t="s">
        <v>895</v>
      </c>
      <c r="E3060" s="751" t="s">
        <v>896</v>
      </c>
      <c r="F3060" s="751" t="s">
        <v>864</v>
      </c>
      <c r="G3060" s="752" t="s">
        <v>1681</v>
      </c>
      <c r="H3060" s="753">
        <v>53905</v>
      </c>
      <c r="I3060" s="754">
        <v>3000</v>
      </c>
      <c r="J3060" s="754">
        <v>0</v>
      </c>
      <c r="K3060" s="754">
        <v>0</v>
      </c>
      <c r="L3060" s="754">
        <v>0</v>
      </c>
      <c r="M3060" s="754">
        <f t="shared" si="119"/>
        <v>0</v>
      </c>
      <c r="N3060" s="756">
        <v>3000</v>
      </c>
      <c r="O3060" s="720">
        <f t="shared" si="120"/>
        <v>0</v>
      </c>
    </row>
    <row r="3061" spans="1:15" x14ac:dyDescent="0.25">
      <c r="A3061" s="207" t="e">
        <f>VLOOKUP(RIGHT(E3061,3)+0,SchLocTable!$A$2:$B$47,2,FALSE)</f>
        <v>#N/A</v>
      </c>
      <c r="B3061" s="207" t="str">
        <f>VLOOKUP(VALUE(D3061),$D$3:F$106,3,FALSE)</f>
        <v>BOE Administration</v>
      </c>
      <c r="C3061" s="751" t="s">
        <v>246</v>
      </c>
      <c r="D3061" s="751" t="s">
        <v>895</v>
      </c>
      <c r="E3061" s="751" t="s">
        <v>896</v>
      </c>
      <c r="F3061" s="751" t="s">
        <v>372</v>
      </c>
      <c r="G3061" s="752" t="s">
        <v>1681</v>
      </c>
      <c r="H3061" s="753">
        <v>54675</v>
      </c>
      <c r="I3061" s="754">
        <v>10500</v>
      </c>
      <c r="J3061" s="754">
        <v>2261.12</v>
      </c>
      <c r="K3061" s="754">
        <v>0</v>
      </c>
      <c r="L3061" s="754">
        <v>7691.35</v>
      </c>
      <c r="M3061" s="754">
        <f t="shared" si="119"/>
        <v>9952.4700000000012</v>
      </c>
      <c r="N3061" s="756">
        <v>10500</v>
      </c>
      <c r="O3061" s="720">
        <f t="shared" si="120"/>
        <v>0</v>
      </c>
    </row>
    <row r="3062" spans="1:15" x14ac:dyDescent="0.25">
      <c r="A3062" s="207" t="e">
        <f>VLOOKUP(RIGHT(E3062,3)+0,SchLocTable!$A$2:$B$47,2,FALSE)</f>
        <v>#N/A</v>
      </c>
      <c r="B3062" s="207" t="str">
        <f>VLOOKUP(VALUE(D3062),$D$3:F$106,3,FALSE)</f>
        <v>BOE Administration</v>
      </c>
      <c r="C3062" s="755" t="s">
        <v>246</v>
      </c>
      <c r="D3062" s="751" t="s">
        <v>895</v>
      </c>
      <c r="E3062" s="751" t="s">
        <v>896</v>
      </c>
      <c r="F3062" s="751" t="s">
        <v>1765</v>
      </c>
      <c r="G3062" s="752" t="s">
        <v>1681</v>
      </c>
      <c r="H3062" s="753">
        <v>54705</v>
      </c>
      <c r="I3062" s="754">
        <v>250</v>
      </c>
      <c r="J3062" s="754">
        <v>0</v>
      </c>
      <c r="K3062" s="754">
        <v>0</v>
      </c>
      <c r="L3062" s="754">
        <v>0</v>
      </c>
      <c r="M3062" s="754">
        <f t="shared" si="119"/>
        <v>0</v>
      </c>
      <c r="N3062" s="756">
        <v>250</v>
      </c>
      <c r="O3062" s="720">
        <f t="shared" si="120"/>
        <v>0</v>
      </c>
    </row>
    <row r="3063" spans="1:15" x14ac:dyDescent="0.25">
      <c r="A3063" s="207" t="e">
        <f>VLOOKUP(RIGHT(E3063,3)+0,SchLocTable!$A$2:$B$47,2,FALSE)</f>
        <v>#N/A</v>
      </c>
      <c r="B3063" s="207" t="str">
        <f>VLOOKUP(VALUE(D3063),$D$3:F$106,3,FALSE)</f>
        <v>BOE Administration</v>
      </c>
      <c r="C3063" s="751" t="s">
        <v>246</v>
      </c>
      <c r="D3063" s="751" t="s">
        <v>895</v>
      </c>
      <c r="E3063" s="751" t="s">
        <v>896</v>
      </c>
      <c r="F3063" s="751" t="s">
        <v>381</v>
      </c>
      <c r="G3063" s="752" t="s">
        <v>1681</v>
      </c>
      <c r="H3063" s="753">
        <v>54725</v>
      </c>
      <c r="I3063" s="754">
        <v>50000</v>
      </c>
      <c r="J3063" s="754">
        <v>13204.8</v>
      </c>
      <c r="K3063" s="754">
        <v>0</v>
      </c>
      <c r="L3063" s="754">
        <v>1569.96</v>
      </c>
      <c r="M3063" s="754">
        <f t="shared" si="119"/>
        <v>14774.759999999998</v>
      </c>
      <c r="N3063" s="756">
        <v>50000</v>
      </c>
      <c r="O3063" s="720">
        <f t="shared" si="120"/>
        <v>0</v>
      </c>
    </row>
    <row r="3064" spans="1:15" x14ac:dyDescent="0.25">
      <c r="A3064" s="207" t="e">
        <f>VLOOKUP(RIGHT(E3064,3)+0,SchLocTable!$A$2:$B$47,2,FALSE)</f>
        <v>#N/A</v>
      </c>
      <c r="B3064" s="207" t="str">
        <f>VLOOKUP(VALUE(D3064),$D$3:F$106,3,FALSE)</f>
        <v>BOE Administration</v>
      </c>
      <c r="C3064" s="751" t="s">
        <v>246</v>
      </c>
      <c r="D3064" s="751" t="s">
        <v>895</v>
      </c>
      <c r="E3064" s="751" t="s">
        <v>896</v>
      </c>
      <c r="F3064" s="751" t="s">
        <v>382</v>
      </c>
      <c r="G3064" s="752" t="s">
        <v>1681</v>
      </c>
      <c r="H3064" s="753">
        <v>56180</v>
      </c>
      <c r="I3064" s="754">
        <v>112406</v>
      </c>
      <c r="J3064" s="754">
        <v>37585.99</v>
      </c>
      <c r="K3064" s="754">
        <v>0</v>
      </c>
      <c r="L3064" s="754">
        <v>20285.63</v>
      </c>
      <c r="M3064" s="754">
        <f t="shared" si="119"/>
        <v>57871.619999999995</v>
      </c>
      <c r="N3064" s="756">
        <v>112406</v>
      </c>
      <c r="O3064" s="720">
        <f t="shared" si="120"/>
        <v>0</v>
      </c>
    </row>
    <row r="3065" spans="1:15" x14ac:dyDescent="0.25">
      <c r="A3065" s="207" t="e">
        <f>VLOOKUP(RIGHT(E3065,3)+0,SchLocTable!$A$2:$B$47,2,FALSE)</f>
        <v>#N/A</v>
      </c>
      <c r="B3065" s="207" t="str">
        <f>VLOOKUP(VALUE(D3065),$D$3:F$106,3,FALSE)</f>
        <v>BOE Administration</v>
      </c>
      <c r="C3065" s="751" t="s">
        <v>246</v>
      </c>
      <c r="D3065" s="751" t="s">
        <v>895</v>
      </c>
      <c r="E3065" s="751" t="s">
        <v>896</v>
      </c>
      <c r="F3065" s="751" t="s">
        <v>2016</v>
      </c>
      <c r="G3065" s="752" t="s">
        <v>1681</v>
      </c>
      <c r="H3065" s="753">
        <v>56250</v>
      </c>
      <c r="I3065" s="754">
        <v>16440</v>
      </c>
      <c r="J3065" s="754">
        <v>2165.6999999999998</v>
      </c>
      <c r="K3065" s="754">
        <v>0</v>
      </c>
      <c r="L3065" s="754">
        <v>11410.61</v>
      </c>
      <c r="M3065" s="754">
        <f t="shared" si="119"/>
        <v>13576.310000000001</v>
      </c>
      <c r="N3065" s="756">
        <v>16440</v>
      </c>
      <c r="O3065" s="720">
        <f t="shared" si="120"/>
        <v>0</v>
      </c>
    </row>
    <row r="3066" spans="1:15" x14ac:dyDescent="0.25">
      <c r="A3066" s="207" t="e">
        <f>VLOOKUP(RIGHT(E3066,3)+0,SchLocTable!$A$2:$B$47,2,FALSE)</f>
        <v>#N/A</v>
      </c>
      <c r="B3066" s="207" t="str">
        <f>VLOOKUP(VALUE(D3066),$D$3:F$106,3,FALSE)</f>
        <v>BOE Administration</v>
      </c>
      <c r="C3066" s="751" t="s">
        <v>246</v>
      </c>
      <c r="D3066" s="751" t="s">
        <v>895</v>
      </c>
      <c r="E3066" s="751" t="s">
        <v>896</v>
      </c>
      <c r="F3066" s="751" t="s">
        <v>374</v>
      </c>
      <c r="G3066" s="752" t="s">
        <v>1681</v>
      </c>
      <c r="H3066" s="753">
        <v>59015</v>
      </c>
      <c r="I3066" s="754">
        <v>1500</v>
      </c>
      <c r="J3066" s="754">
        <v>0</v>
      </c>
      <c r="K3066" s="754">
        <v>0</v>
      </c>
      <c r="L3066" s="754">
        <v>718.2</v>
      </c>
      <c r="M3066" s="754">
        <f t="shared" si="119"/>
        <v>718.2</v>
      </c>
      <c r="N3066" s="756">
        <v>1500</v>
      </c>
      <c r="O3066" s="720">
        <f t="shared" si="120"/>
        <v>0</v>
      </c>
    </row>
    <row r="3067" spans="1:15" x14ac:dyDescent="0.25">
      <c r="A3067" s="207" t="e">
        <f>VLOOKUP(RIGHT(E3067,3)+0,SchLocTable!$A$2:$B$47,2,FALSE)</f>
        <v>#N/A</v>
      </c>
      <c r="B3067" s="207" t="str">
        <f>VLOOKUP(VALUE(D3067),$D$3:F$106,3,FALSE)</f>
        <v>BOE Administration Clericals</v>
      </c>
      <c r="C3067" s="751" t="s">
        <v>246</v>
      </c>
      <c r="D3067" s="751" t="s">
        <v>897</v>
      </c>
      <c r="E3067" s="751" t="s">
        <v>898</v>
      </c>
      <c r="F3067" s="751" t="s">
        <v>248</v>
      </c>
      <c r="G3067" s="752">
        <v>9</v>
      </c>
      <c r="H3067" s="753">
        <v>51000</v>
      </c>
      <c r="I3067" s="754">
        <v>481443.22</v>
      </c>
      <c r="J3067" s="754">
        <v>0</v>
      </c>
      <c r="K3067" s="754">
        <v>0</v>
      </c>
      <c r="L3067" s="754">
        <v>95553.35</v>
      </c>
      <c r="M3067" s="754">
        <f t="shared" si="119"/>
        <v>95553.35</v>
      </c>
      <c r="N3067" s="756">
        <v>481443.22</v>
      </c>
      <c r="O3067" s="720">
        <f t="shared" si="120"/>
        <v>0</v>
      </c>
    </row>
    <row r="3068" spans="1:15" x14ac:dyDescent="0.25">
      <c r="A3068" s="207" t="e">
        <f>VLOOKUP(RIGHT(E3068,3)+0,SchLocTable!$A$2:$B$47,2,FALSE)</f>
        <v>#N/A</v>
      </c>
      <c r="B3068" s="207" t="str">
        <f>VLOOKUP(VALUE(D3068),$D$3:F$106,3,FALSE)</f>
        <v>BOE Administration Clericals</v>
      </c>
      <c r="C3068" s="751" t="s">
        <v>246</v>
      </c>
      <c r="D3068" s="751" t="s">
        <v>897</v>
      </c>
      <c r="E3068" s="751" t="s">
        <v>898</v>
      </c>
      <c r="F3068" s="751" t="s">
        <v>250</v>
      </c>
      <c r="G3068" s="752">
        <v>2</v>
      </c>
      <c r="H3068" s="753">
        <v>51100</v>
      </c>
      <c r="I3068" s="754">
        <v>27046.46</v>
      </c>
      <c r="J3068" s="754">
        <v>0</v>
      </c>
      <c r="K3068" s="754">
        <v>0</v>
      </c>
      <c r="L3068" s="754">
        <v>4895.32</v>
      </c>
      <c r="M3068" s="754">
        <f t="shared" si="119"/>
        <v>4895.32</v>
      </c>
      <c r="N3068" s="756">
        <v>27046.46</v>
      </c>
      <c r="O3068" s="720">
        <f t="shared" si="120"/>
        <v>0</v>
      </c>
    </row>
    <row r="3069" spans="1:15" x14ac:dyDescent="0.25">
      <c r="A3069" s="207" t="e">
        <f>VLOOKUP(RIGHT(E3069,3)+0,SchLocTable!$A$2:$B$47,2,FALSE)</f>
        <v>#N/A</v>
      </c>
      <c r="B3069" s="207" t="str">
        <f>VLOOKUP(VALUE(D3069),$D$3:F$106,3,FALSE)</f>
        <v>BOE Administration Clericals</v>
      </c>
      <c r="C3069" s="751" t="s">
        <v>246</v>
      </c>
      <c r="D3069" s="751" t="s">
        <v>897</v>
      </c>
      <c r="E3069" s="751" t="s">
        <v>898</v>
      </c>
      <c r="F3069" s="751" t="s">
        <v>340</v>
      </c>
      <c r="G3069" s="752" t="s">
        <v>1681</v>
      </c>
      <c r="H3069" s="753">
        <v>51106</v>
      </c>
      <c r="I3069" s="754">
        <v>0</v>
      </c>
      <c r="J3069" s="754">
        <v>0</v>
      </c>
      <c r="K3069" s="754">
        <v>0</v>
      </c>
      <c r="L3069" s="754">
        <v>0</v>
      </c>
      <c r="M3069" s="754">
        <f t="shared" si="119"/>
        <v>0</v>
      </c>
      <c r="N3069" s="756">
        <v>0</v>
      </c>
      <c r="O3069" s="720">
        <f t="shared" si="120"/>
        <v>0</v>
      </c>
    </row>
    <row r="3070" spans="1:15" x14ac:dyDescent="0.25">
      <c r="A3070" s="207" t="e">
        <f>VLOOKUP(RIGHT(E3070,3)+0,SchLocTable!$A$2:$B$47,2,FALSE)</f>
        <v>#N/A</v>
      </c>
      <c r="B3070" s="207" t="str">
        <f>VLOOKUP(VALUE(D3070),$D$3:F$106,3,FALSE)</f>
        <v>BOE Administration Clericals</v>
      </c>
      <c r="C3070" s="751" t="s">
        <v>246</v>
      </c>
      <c r="D3070" s="751" t="s">
        <v>897</v>
      </c>
      <c r="E3070" s="751" t="s">
        <v>898</v>
      </c>
      <c r="F3070" s="751" t="s">
        <v>378</v>
      </c>
      <c r="G3070" s="752" t="s">
        <v>1681</v>
      </c>
      <c r="H3070" s="753">
        <v>51108</v>
      </c>
      <c r="I3070" s="754">
        <v>0</v>
      </c>
      <c r="J3070" s="754">
        <v>0</v>
      </c>
      <c r="K3070" s="754">
        <v>0</v>
      </c>
      <c r="L3070" s="754">
        <v>0</v>
      </c>
      <c r="M3070" s="754">
        <f t="shared" si="119"/>
        <v>0</v>
      </c>
      <c r="N3070" s="756">
        <v>0</v>
      </c>
      <c r="O3070" s="720">
        <f t="shared" si="120"/>
        <v>0</v>
      </c>
    </row>
    <row r="3071" spans="1:15" x14ac:dyDescent="0.25">
      <c r="A3071" s="207" t="e">
        <f>VLOOKUP(RIGHT(E3071,3)+0,SchLocTable!$A$2:$B$47,2,FALSE)</f>
        <v>#N/A</v>
      </c>
      <c r="B3071" s="207" t="str">
        <f>VLOOKUP(VALUE(D3071),$D$3:F$106,3,FALSE)</f>
        <v>BOE Administration Clericals</v>
      </c>
      <c r="C3071" s="751" t="s">
        <v>246</v>
      </c>
      <c r="D3071" s="751" t="s">
        <v>897</v>
      </c>
      <c r="E3071" s="751" t="s">
        <v>898</v>
      </c>
      <c r="F3071" s="751" t="s">
        <v>257</v>
      </c>
      <c r="G3071" s="752" t="s">
        <v>1681</v>
      </c>
      <c r="H3071" s="753">
        <v>51140</v>
      </c>
      <c r="I3071" s="754">
        <v>910</v>
      </c>
      <c r="J3071" s="754">
        <v>0</v>
      </c>
      <c r="K3071" s="754">
        <v>0</v>
      </c>
      <c r="L3071" s="754">
        <v>0</v>
      </c>
      <c r="M3071" s="754">
        <f t="shared" ref="M3071:M3134" si="121">SUM(J3071:L3071)</f>
        <v>0</v>
      </c>
      <c r="N3071" s="756">
        <v>910</v>
      </c>
      <c r="O3071" s="720">
        <f t="shared" ref="O3071:O3134" si="122">I3071-N3071</f>
        <v>0</v>
      </c>
    </row>
    <row r="3072" spans="1:15" x14ac:dyDescent="0.25">
      <c r="A3072" s="207" t="e">
        <f>VLOOKUP(RIGHT(E3072,3)+0,SchLocTable!$A$2:$B$47,2,FALSE)</f>
        <v>#N/A</v>
      </c>
      <c r="B3072" s="207" t="str">
        <f>VLOOKUP(VALUE(D3072),$D$3:F$106,3,FALSE)</f>
        <v>BOE Administration Clericals</v>
      </c>
      <c r="C3072" s="751" t="s">
        <v>246</v>
      </c>
      <c r="D3072" s="751" t="s">
        <v>897</v>
      </c>
      <c r="E3072" s="751" t="s">
        <v>898</v>
      </c>
      <c r="F3072" s="751" t="s">
        <v>252</v>
      </c>
      <c r="G3072" s="752" t="s">
        <v>1681</v>
      </c>
      <c r="H3072" s="753">
        <v>51154</v>
      </c>
      <c r="I3072" s="754">
        <v>0</v>
      </c>
      <c r="J3072" s="754">
        <v>0</v>
      </c>
      <c r="K3072" s="754">
        <v>0</v>
      </c>
      <c r="L3072" s="754">
        <v>0</v>
      </c>
      <c r="M3072" s="754">
        <f t="shared" si="121"/>
        <v>0</v>
      </c>
      <c r="N3072" s="756">
        <v>0</v>
      </c>
      <c r="O3072" s="720">
        <f t="shared" si="122"/>
        <v>0</v>
      </c>
    </row>
    <row r="3073" spans="1:15" x14ac:dyDescent="0.25">
      <c r="A3073" s="207" t="e">
        <f>VLOOKUP(RIGHT(E3073,3)+0,SchLocTable!$A$2:$B$47,2,FALSE)</f>
        <v>#N/A</v>
      </c>
      <c r="B3073" s="207" t="str">
        <f>VLOOKUP(VALUE(D3073),$D$3:F$106,3,FALSE)</f>
        <v>BOE Administration Clericals</v>
      </c>
      <c r="C3073" s="751" t="s">
        <v>246</v>
      </c>
      <c r="D3073" s="751" t="s">
        <v>897</v>
      </c>
      <c r="E3073" s="751" t="s">
        <v>898</v>
      </c>
      <c r="F3073" s="751" t="s">
        <v>326</v>
      </c>
      <c r="G3073" s="752" t="s">
        <v>1681</v>
      </c>
      <c r="H3073" s="753">
        <v>51314</v>
      </c>
      <c r="I3073" s="754">
        <v>0</v>
      </c>
      <c r="J3073" s="754">
        <v>0</v>
      </c>
      <c r="K3073" s="754">
        <v>0</v>
      </c>
      <c r="L3073" s="754">
        <v>0</v>
      </c>
      <c r="M3073" s="754">
        <f t="shared" si="121"/>
        <v>0</v>
      </c>
      <c r="N3073" s="756">
        <v>0</v>
      </c>
      <c r="O3073" s="720">
        <f t="shared" si="122"/>
        <v>0</v>
      </c>
    </row>
    <row r="3074" spans="1:15" x14ac:dyDescent="0.25">
      <c r="A3074" s="207" t="e">
        <f>VLOOKUP(RIGHT(E3074,3)+0,SchLocTable!$A$2:$B$47,2,FALSE)</f>
        <v>#N/A</v>
      </c>
      <c r="B3074" s="207" t="str">
        <f>VLOOKUP(VALUE(D3074),$D$3:F$106,3,FALSE)</f>
        <v>BOE Administration Clericals</v>
      </c>
      <c r="C3074" s="755" t="s">
        <v>246</v>
      </c>
      <c r="D3074" s="751" t="s">
        <v>897</v>
      </c>
      <c r="E3074" s="751" t="s">
        <v>898</v>
      </c>
      <c r="F3074" s="751" t="s">
        <v>328</v>
      </c>
      <c r="G3074" s="752" t="s">
        <v>1681</v>
      </c>
      <c r="H3074" s="753">
        <v>51318</v>
      </c>
      <c r="I3074" s="754">
        <v>55.79</v>
      </c>
      <c r="J3074" s="754">
        <v>0</v>
      </c>
      <c r="K3074" s="754">
        <v>0</v>
      </c>
      <c r="L3074" s="754">
        <v>0</v>
      </c>
      <c r="M3074" s="754">
        <f t="shared" si="121"/>
        <v>0</v>
      </c>
      <c r="N3074" s="756">
        <v>55.79</v>
      </c>
      <c r="O3074" s="720">
        <f t="shared" si="122"/>
        <v>0</v>
      </c>
    </row>
    <row r="3075" spans="1:15" x14ac:dyDescent="0.25">
      <c r="A3075" s="207" t="e">
        <f>VLOOKUP(RIGHT(E3075,3)+0,SchLocTable!$A$2:$B$47,2,FALSE)</f>
        <v>#N/A</v>
      </c>
      <c r="B3075" s="207" t="str">
        <f>VLOOKUP(VALUE(D3075),$D$3:F$106,3,FALSE)</f>
        <v>BOE Administration Clericals</v>
      </c>
      <c r="C3075" s="755" t="s">
        <v>246</v>
      </c>
      <c r="D3075" s="751" t="s">
        <v>897</v>
      </c>
      <c r="E3075" s="751" t="s">
        <v>898</v>
      </c>
      <c r="F3075" s="751" t="s">
        <v>254</v>
      </c>
      <c r="G3075" s="752" t="s">
        <v>1681</v>
      </c>
      <c r="H3075" s="753">
        <v>52360</v>
      </c>
      <c r="I3075" s="754">
        <v>7333.51</v>
      </c>
      <c r="J3075" s="754">
        <v>0</v>
      </c>
      <c r="K3075" s="754">
        <v>0</v>
      </c>
      <c r="L3075" s="754">
        <v>1416.92</v>
      </c>
      <c r="M3075" s="754">
        <f t="shared" si="121"/>
        <v>1416.92</v>
      </c>
      <c r="N3075" s="756">
        <v>7333.51</v>
      </c>
      <c r="O3075" s="720">
        <f t="shared" si="122"/>
        <v>0</v>
      </c>
    </row>
    <row r="3076" spans="1:15" x14ac:dyDescent="0.25">
      <c r="A3076" s="207" t="e">
        <f>VLOOKUP(RIGHT(E3076,3)+0,SchLocTable!$A$2:$B$47,2,FALSE)</f>
        <v>#N/A</v>
      </c>
      <c r="B3076" s="207" t="str">
        <f>VLOOKUP(VALUE(D3076),$D$3:F$106,3,FALSE)</f>
        <v>BOE Administration Clericals</v>
      </c>
      <c r="C3076" s="751" t="s">
        <v>246</v>
      </c>
      <c r="D3076" s="751" t="s">
        <v>897</v>
      </c>
      <c r="E3076" s="751" t="s">
        <v>898</v>
      </c>
      <c r="F3076" s="751" t="s">
        <v>292</v>
      </c>
      <c r="G3076" s="752" t="s">
        <v>1681</v>
      </c>
      <c r="H3076" s="753">
        <v>52385</v>
      </c>
      <c r="I3076" s="754">
        <v>5247.25</v>
      </c>
      <c r="J3076" s="754">
        <v>0</v>
      </c>
      <c r="K3076" s="754">
        <v>0</v>
      </c>
      <c r="L3076" s="754">
        <v>576.73</v>
      </c>
      <c r="M3076" s="754">
        <f t="shared" si="121"/>
        <v>576.73</v>
      </c>
      <c r="N3076" s="756">
        <v>5247.25</v>
      </c>
      <c r="O3076" s="720">
        <f t="shared" si="122"/>
        <v>0</v>
      </c>
    </row>
    <row r="3077" spans="1:15" x14ac:dyDescent="0.25">
      <c r="A3077" s="207" t="e">
        <f>VLOOKUP(RIGHT(E3077,3)+0,SchLocTable!$A$2:$B$47,2,FALSE)</f>
        <v>#N/A</v>
      </c>
      <c r="B3077" s="207" t="str">
        <f>VLOOKUP(VALUE(D3077),$D$3:F$106,3,FALSE)</f>
        <v>BOE Administration Clericals</v>
      </c>
      <c r="C3077" s="751" t="s">
        <v>246</v>
      </c>
      <c r="D3077" s="751" t="s">
        <v>897</v>
      </c>
      <c r="E3077" s="751" t="s">
        <v>898</v>
      </c>
      <c r="F3077" s="751" t="s">
        <v>331</v>
      </c>
      <c r="G3077" s="752" t="s">
        <v>1681</v>
      </c>
      <c r="H3077" s="753">
        <v>52504</v>
      </c>
      <c r="I3077" s="754">
        <v>98221.68</v>
      </c>
      <c r="J3077" s="754">
        <v>0</v>
      </c>
      <c r="K3077" s="754">
        <v>0</v>
      </c>
      <c r="L3077" s="754">
        <v>18766.96</v>
      </c>
      <c r="M3077" s="754">
        <f t="shared" si="121"/>
        <v>18766.96</v>
      </c>
      <c r="N3077" s="756">
        <v>98221.68</v>
      </c>
      <c r="O3077" s="720">
        <f t="shared" si="122"/>
        <v>0</v>
      </c>
    </row>
    <row r="3078" spans="1:15" x14ac:dyDescent="0.25">
      <c r="A3078" s="207" t="e">
        <f>VLOOKUP(RIGHT(E3078,3)+0,SchLocTable!$A$2:$B$47,2,FALSE)</f>
        <v>#N/A</v>
      </c>
      <c r="B3078" s="207" t="str">
        <f>VLOOKUP(VALUE(D3078),$D$3:F$106,3,FALSE)</f>
        <v>BOE Administration Clericals</v>
      </c>
      <c r="C3078" s="751" t="s">
        <v>246</v>
      </c>
      <c r="D3078" s="751" t="s">
        <v>897</v>
      </c>
      <c r="E3078" s="751" t="s">
        <v>898</v>
      </c>
      <c r="F3078" s="751" t="s">
        <v>259</v>
      </c>
      <c r="G3078" s="752" t="s">
        <v>1681</v>
      </c>
      <c r="H3078" s="753">
        <v>52917</v>
      </c>
      <c r="I3078" s="754">
        <v>53678.35</v>
      </c>
      <c r="J3078" s="754">
        <v>0</v>
      </c>
      <c r="K3078" s="754">
        <v>0</v>
      </c>
      <c r="L3078" s="754">
        <v>8964.4699999999993</v>
      </c>
      <c r="M3078" s="754">
        <f t="shared" si="121"/>
        <v>8964.4699999999993</v>
      </c>
      <c r="N3078" s="756">
        <v>53678.35</v>
      </c>
      <c r="O3078" s="720">
        <f t="shared" si="122"/>
        <v>0</v>
      </c>
    </row>
    <row r="3079" spans="1:15" x14ac:dyDescent="0.25">
      <c r="A3079" s="207" t="e">
        <f>VLOOKUP(RIGHT(E3079,3)+0,SchLocTable!$A$2:$B$47,2,FALSE)</f>
        <v>#N/A</v>
      </c>
      <c r="B3079" s="207" t="str">
        <f>VLOOKUP(VALUE(D3079),$D$3:F$106,3,FALSE)</f>
        <v>BOE Administration Clericals</v>
      </c>
      <c r="C3079" s="751" t="s">
        <v>246</v>
      </c>
      <c r="D3079" s="751" t="s">
        <v>897</v>
      </c>
      <c r="E3079" s="751" t="s">
        <v>898</v>
      </c>
      <c r="F3079" s="751" t="s">
        <v>333</v>
      </c>
      <c r="G3079" s="752" t="s">
        <v>1681</v>
      </c>
      <c r="H3079" s="753">
        <v>52920</v>
      </c>
      <c r="I3079" s="754">
        <v>500</v>
      </c>
      <c r="J3079" s="754">
        <v>0</v>
      </c>
      <c r="K3079" s="754">
        <v>0</v>
      </c>
      <c r="L3079" s="754">
        <v>0</v>
      </c>
      <c r="M3079" s="754">
        <f t="shared" si="121"/>
        <v>0</v>
      </c>
      <c r="N3079" s="756">
        <v>500</v>
      </c>
      <c r="O3079" s="720">
        <f t="shared" si="122"/>
        <v>0</v>
      </c>
    </row>
    <row r="3080" spans="1:15" x14ac:dyDescent="0.25">
      <c r="A3080" s="207" t="e">
        <f>VLOOKUP(RIGHT(E3080,3)+0,SchLocTable!$A$2:$B$47,2,FALSE)</f>
        <v>#N/A</v>
      </c>
      <c r="B3080" s="207" t="str">
        <f>VLOOKUP(VALUE(D3080),$D$3:F$106,3,FALSE)</f>
        <v>Legal Services</v>
      </c>
      <c r="C3080" s="751" t="s">
        <v>246</v>
      </c>
      <c r="D3080" s="751" t="s">
        <v>899</v>
      </c>
      <c r="E3080" s="751" t="s">
        <v>900</v>
      </c>
      <c r="F3080" s="751" t="s">
        <v>689</v>
      </c>
      <c r="G3080" s="752" t="s">
        <v>1681</v>
      </c>
      <c r="H3080" s="753">
        <v>56130</v>
      </c>
      <c r="I3080" s="754">
        <v>900000</v>
      </c>
      <c r="J3080" s="754">
        <v>207653</v>
      </c>
      <c r="K3080" s="754">
        <v>0</v>
      </c>
      <c r="L3080" s="754">
        <v>62392</v>
      </c>
      <c r="M3080" s="754">
        <f t="shared" si="121"/>
        <v>270045</v>
      </c>
      <c r="N3080" s="756">
        <v>900000</v>
      </c>
      <c r="O3080" s="720">
        <f t="shared" si="122"/>
        <v>0</v>
      </c>
    </row>
    <row r="3081" spans="1:15" x14ac:dyDescent="0.25">
      <c r="A3081" s="207" t="e">
        <f>VLOOKUP(RIGHT(E3081,3)+0,SchLocTable!$A$2:$B$47,2,FALSE)</f>
        <v>#N/A</v>
      </c>
      <c r="B3081" s="207" t="str">
        <f>VLOOKUP(VALUE(D3081),$D$3:F$106,3,FALSE)</f>
        <v>Human Resources</v>
      </c>
      <c r="C3081" s="751" t="s">
        <v>246</v>
      </c>
      <c r="D3081" s="751" t="s">
        <v>901</v>
      </c>
      <c r="E3081" s="751" t="s">
        <v>902</v>
      </c>
      <c r="F3081" s="751" t="s">
        <v>248</v>
      </c>
      <c r="G3081" s="752">
        <v>6</v>
      </c>
      <c r="H3081" s="753">
        <v>51000</v>
      </c>
      <c r="I3081" s="754">
        <v>779646.23</v>
      </c>
      <c r="J3081" s="754">
        <v>0</v>
      </c>
      <c r="K3081" s="754">
        <v>0</v>
      </c>
      <c r="L3081" s="754">
        <v>177939.97</v>
      </c>
      <c r="M3081" s="754">
        <f t="shared" si="121"/>
        <v>177939.97</v>
      </c>
      <c r="N3081" s="756">
        <v>779646.23</v>
      </c>
      <c r="O3081" s="720">
        <f t="shared" si="122"/>
        <v>0</v>
      </c>
    </row>
    <row r="3082" spans="1:15" x14ac:dyDescent="0.25">
      <c r="A3082" s="207" t="e">
        <f>VLOOKUP(RIGHT(E3082,3)+0,SchLocTable!$A$2:$B$47,2,FALSE)</f>
        <v>#N/A</v>
      </c>
      <c r="B3082" s="207" t="str">
        <f>VLOOKUP(VALUE(D3082),$D$3:F$106,3,FALSE)</f>
        <v>Human Resources</v>
      </c>
      <c r="C3082" s="751" t="s">
        <v>246</v>
      </c>
      <c r="D3082" s="751" t="s">
        <v>901</v>
      </c>
      <c r="E3082" s="751" t="s">
        <v>902</v>
      </c>
      <c r="F3082" s="751" t="s">
        <v>250</v>
      </c>
      <c r="G3082" s="752">
        <v>1</v>
      </c>
      <c r="H3082" s="753">
        <v>51100</v>
      </c>
      <c r="I3082" s="754">
        <v>29832</v>
      </c>
      <c r="J3082" s="754">
        <v>0</v>
      </c>
      <c r="K3082" s="754">
        <v>0</v>
      </c>
      <c r="L3082" s="754">
        <v>8655</v>
      </c>
      <c r="M3082" s="754">
        <f t="shared" si="121"/>
        <v>8655</v>
      </c>
      <c r="N3082" s="756">
        <v>29832</v>
      </c>
      <c r="O3082" s="720">
        <f t="shared" si="122"/>
        <v>0</v>
      </c>
    </row>
    <row r="3083" spans="1:15" x14ac:dyDescent="0.25">
      <c r="A3083" s="207" t="e">
        <f>VLOOKUP(RIGHT(E3083,3)+0,SchLocTable!$A$2:$B$47,2,FALSE)</f>
        <v>#N/A</v>
      </c>
      <c r="B3083" s="207" t="str">
        <f>VLOOKUP(VALUE(D3083),$D$3:F$106,3,FALSE)</f>
        <v>Human Resources</v>
      </c>
      <c r="C3083" s="751" t="s">
        <v>246</v>
      </c>
      <c r="D3083" s="751" t="s">
        <v>901</v>
      </c>
      <c r="E3083" s="751" t="s">
        <v>902</v>
      </c>
      <c r="F3083" s="751" t="s">
        <v>340</v>
      </c>
      <c r="G3083" s="752" t="s">
        <v>1681</v>
      </c>
      <c r="H3083" s="753">
        <v>51106</v>
      </c>
      <c r="I3083" s="754">
        <v>0</v>
      </c>
      <c r="J3083" s="754">
        <v>0</v>
      </c>
      <c r="K3083" s="754">
        <v>0</v>
      </c>
      <c r="L3083" s="754">
        <v>0</v>
      </c>
      <c r="M3083" s="754">
        <f t="shared" si="121"/>
        <v>0</v>
      </c>
      <c r="N3083" s="756">
        <v>0</v>
      </c>
      <c r="O3083" s="720">
        <f t="shared" si="122"/>
        <v>0</v>
      </c>
    </row>
    <row r="3084" spans="1:15" x14ac:dyDescent="0.25">
      <c r="A3084" s="207" t="e">
        <f>VLOOKUP(RIGHT(E3084,3)+0,SchLocTable!$A$2:$B$47,2,FALSE)</f>
        <v>#N/A</v>
      </c>
      <c r="B3084" s="207" t="str">
        <f>VLOOKUP(VALUE(D3084),$D$3:F$106,3,FALSE)</f>
        <v>Human Resources</v>
      </c>
      <c r="C3084" s="751" t="s">
        <v>246</v>
      </c>
      <c r="D3084" s="751" t="s">
        <v>901</v>
      </c>
      <c r="E3084" s="751" t="s">
        <v>902</v>
      </c>
      <c r="F3084" s="751" t="s">
        <v>378</v>
      </c>
      <c r="G3084" s="752" t="s">
        <v>1681</v>
      </c>
      <c r="H3084" s="753">
        <v>51108</v>
      </c>
      <c r="I3084" s="754">
        <v>0</v>
      </c>
      <c r="J3084" s="754">
        <v>0</v>
      </c>
      <c r="K3084" s="754">
        <v>0</v>
      </c>
      <c r="L3084" s="754">
        <v>0</v>
      </c>
      <c r="M3084" s="754">
        <f t="shared" si="121"/>
        <v>0</v>
      </c>
      <c r="N3084" s="756">
        <v>0</v>
      </c>
      <c r="O3084" s="720">
        <f t="shared" si="122"/>
        <v>0</v>
      </c>
    </row>
    <row r="3085" spans="1:15" x14ac:dyDescent="0.25">
      <c r="A3085" s="207" t="e">
        <f>VLOOKUP(RIGHT(E3085,3)+0,SchLocTable!$A$2:$B$47,2,FALSE)</f>
        <v>#N/A</v>
      </c>
      <c r="B3085" s="207" t="str">
        <f>VLOOKUP(VALUE(D3085),$D$3:F$106,3,FALSE)</f>
        <v>Human Resources</v>
      </c>
      <c r="C3085" s="751" t="s">
        <v>246</v>
      </c>
      <c r="D3085" s="751" t="s">
        <v>901</v>
      </c>
      <c r="E3085" s="751" t="s">
        <v>902</v>
      </c>
      <c r="F3085" s="751" t="s">
        <v>257</v>
      </c>
      <c r="G3085" s="752" t="s">
        <v>1681</v>
      </c>
      <c r="H3085" s="753">
        <v>51140</v>
      </c>
      <c r="I3085" s="754">
        <v>4643.75</v>
      </c>
      <c r="J3085" s="754">
        <v>0</v>
      </c>
      <c r="K3085" s="754">
        <v>0</v>
      </c>
      <c r="L3085" s="754">
        <v>0</v>
      </c>
      <c r="M3085" s="754">
        <f t="shared" si="121"/>
        <v>0</v>
      </c>
      <c r="N3085" s="756">
        <v>4643.75</v>
      </c>
      <c r="O3085" s="720">
        <f t="shared" si="122"/>
        <v>0</v>
      </c>
    </row>
    <row r="3086" spans="1:15" x14ac:dyDescent="0.25">
      <c r="A3086" s="207" t="e">
        <f>VLOOKUP(RIGHT(E3086,3)+0,SchLocTable!$A$2:$B$47,2,FALSE)</f>
        <v>#N/A</v>
      </c>
      <c r="B3086" s="207" t="str">
        <f>VLOOKUP(VALUE(D3086),$D$3:F$106,3,FALSE)</f>
        <v>Human Resources</v>
      </c>
      <c r="C3086" s="751" t="s">
        <v>246</v>
      </c>
      <c r="D3086" s="751" t="s">
        <v>901</v>
      </c>
      <c r="E3086" s="751" t="s">
        <v>902</v>
      </c>
      <c r="F3086" s="751" t="s">
        <v>252</v>
      </c>
      <c r="G3086" s="752" t="s">
        <v>1681</v>
      </c>
      <c r="H3086" s="753">
        <v>51154</v>
      </c>
      <c r="I3086" s="754">
        <v>0</v>
      </c>
      <c r="J3086" s="754">
        <v>0</v>
      </c>
      <c r="K3086" s="754">
        <v>0</v>
      </c>
      <c r="L3086" s="754">
        <v>0</v>
      </c>
      <c r="M3086" s="754">
        <f t="shared" si="121"/>
        <v>0</v>
      </c>
      <c r="N3086" s="756">
        <v>0</v>
      </c>
      <c r="O3086" s="720">
        <f t="shared" si="122"/>
        <v>0</v>
      </c>
    </row>
    <row r="3087" spans="1:15" x14ac:dyDescent="0.25">
      <c r="A3087" s="207" t="e">
        <f>VLOOKUP(RIGHT(E3087,3)+0,SchLocTable!$A$2:$B$47,2,FALSE)</f>
        <v>#N/A</v>
      </c>
      <c r="B3087" s="207" t="str">
        <f>VLOOKUP(VALUE(D3087),$D$3:F$106,3,FALSE)</f>
        <v>Human Resources</v>
      </c>
      <c r="C3087" s="751" t="s">
        <v>246</v>
      </c>
      <c r="D3087" s="751" t="s">
        <v>901</v>
      </c>
      <c r="E3087" s="751" t="s">
        <v>902</v>
      </c>
      <c r="F3087" s="751" t="s">
        <v>326</v>
      </c>
      <c r="G3087" s="752" t="s">
        <v>1681</v>
      </c>
      <c r="H3087" s="753">
        <v>51314</v>
      </c>
      <c r="I3087" s="754">
        <v>0</v>
      </c>
      <c r="J3087" s="754">
        <v>0</v>
      </c>
      <c r="K3087" s="754">
        <v>0</v>
      </c>
      <c r="L3087" s="754">
        <v>0</v>
      </c>
      <c r="M3087" s="754">
        <f t="shared" si="121"/>
        <v>0</v>
      </c>
      <c r="N3087" s="756">
        <v>0</v>
      </c>
      <c r="O3087" s="720">
        <f t="shared" si="122"/>
        <v>0</v>
      </c>
    </row>
    <row r="3088" spans="1:15" x14ac:dyDescent="0.25">
      <c r="A3088" s="207" t="e">
        <f>VLOOKUP(RIGHT(E3088,3)+0,SchLocTable!$A$2:$B$47,2,FALSE)</f>
        <v>#N/A</v>
      </c>
      <c r="B3088" s="207" t="str">
        <f>VLOOKUP(VALUE(D3088),$D$3:F$106,3,FALSE)</f>
        <v>Human Resources</v>
      </c>
      <c r="C3088" s="751" t="s">
        <v>246</v>
      </c>
      <c r="D3088" s="751" t="s">
        <v>901</v>
      </c>
      <c r="E3088" s="751" t="s">
        <v>902</v>
      </c>
      <c r="F3088" s="751" t="s">
        <v>328</v>
      </c>
      <c r="G3088" s="752" t="s">
        <v>1681</v>
      </c>
      <c r="H3088" s="753">
        <v>51318</v>
      </c>
      <c r="I3088" s="754">
        <v>3549.69</v>
      </c>
      <c r="J3088" s="754">
        <v>0</v>
      </c>
      <c r="K3088" s="754">
        <v>0</v>
      </c>
      <c r="L3088" s="754">
        <v>0</v>
      </c>
      <c r="M3088" s="754">
        <f t="shared" si="121"/>
        <v>0</v>
      </c>
      <c r="N3088" s="756">
        <v>3549.69</v>
      </c>
      <c r="O3088" s="720">
        <f t="shared" si="122"/>
        <v>0</v>
      </c>
    </row>
    <row r="3089" spans="1:15" x14ac:dyDescent="0.25">
      <c r="A3089" s="207" t="e">
        <f>VLOOKUP(RIGHT(E3089,3)+0,SchLocTable!$A$2:$B$47,2,FALSE)</f>
        <v>#N/A</v>
      </c>
      <c r="B3089" s="207" t="str">
        <f>VLOOKUP(VALUE(D3089),$D$3:F$106,3,FALSE)</f>
        <v>Human Resources</v>
      </c>
      <c r="C3089" s="751" t="s">
        <v>246</v>
      </c>
      <c r="D3089" s="751" t="s">
        <v>901</v>
      </c>
      <c r="E3089" s="751" t="s">
        <v>902</v>
      </c>
      <c r="F3089" s="751" t="s">
        <v>254</v>
      </c>
      <c r="G3089" s="752" t="s">
        <v>1681</v>
      </c>
      <c r="H3089" s="753">
        <v>52360</v>
      </c>
      <c r="I3089" s="754">
        <v>11646.98</v>
      </c>
      <c r="J3089" s="754">
        <v>0</v>
      </c>
      <c r="K3089" s="754">
        <v>0</v>
      </c>
      <c r="L3089" s="754">
        <v>2615.17</v>
      </c>
      <c r="M3089" s="754">
        <f t="shared" si="121"/>
        <v>2615.17</v>
      </c>
      <c r="N3089" s="756">
        <v>11646.98</v>
      </c>
      <c r="O3089" s="720">
        <f t="shared" si="122"/>
        <v>0</v>
      </c>
    </row>
    <row r="3090" spans="1:15" x14ac:dyDescent="0.25">
      <c r="A3090" s="207" t="e">
        <f>VLOOKUP(RIGHT(E3090,3)+0,SchLocTable!$A$2:$B$47,2,FALSE)</f>
        <v>#N/A</v>
      </c>
      <c r="B3090" s="207" t="str">
        <f>VLOOKUP(VALUE(D3090),$D$3:F$106,3,FALSE)</f>
        <v>Human Resources</v>
      </c>
      <c r="C3090" s="751" t="s">
        <v>246</v>
      </c>
      <c r="D3090" s="751" t="s">
        <v>901</v>
      </c>
      <c r="E3090" s="751" t="s">
        <v>902</v>
      </c>
      <c r="F3090" s="751" t="s">
        <v>292</v>
      </c>
      <c r="G3090" s="752" t="s">
        <v>1681</v>
      </c>
      <c r="H3090" s="753">
        <v>52385</v>
      </c>
      <c r="I3090" s="754">
        <v>180.74</v>
      </c>
      <c r="J3090" s="754">
        <v>0</v>
      </c>
      <c r="K3090" s="754">
        <v>0</v>
      </c>
      <c r="L3090" s="754">
        <v>180.74</v>
      </c>
      <c r="M3090" s="754">
        <f t="shared" si="121"/>
        <v>180.74</v>
      </c>
      <c r="N3090" s="756">
        <v>180.74</v>
      </c>
      <c r="O3090" s="720">
        <f t="shared" si="122"/>
        <v>0</v>
      </c>
    </row>
    <row r="3091" spans="1:15" x14ac:dyDescent="0.25">
      <c r="A3091" s="207" t="e">
        <f>VLOOKUP(RIGHT(E3091,3)+0,SchLocTable!$A$2:$B$47,2,FALSE)</f>
        <v>#N/A</v>
      </c>
      <c r="B3091" s="207" t="str">
        <f>VLOOKUP(VALUE(D3091),$D$3:F$106,3,FALSE)</f>
        <v>Human Resources</v>
      </c>
      <c r="C3091" s="751" t="s">
        <v>246</v>
      </c>
      <c r="D3091" s="751" t="s">
        <v>901</v>
      </c>
      <c r="E3091" s="751" t="s">
        <v>902</v>
      </c>
      <c r="F3091" s="751" t="s">
        <v>331</v>
      </c>
      <c r="G3091" s="752" t="s">
        <v>1681</v>
      </c>
      <c r="H3091" s="753">
        <v>52504</v>
      </c>
      <c r="I3091" s="754">
        <v>159323.99</v>
      </c>
      <c r="J3091" s="754">
        <v>0</v>
      </c>
      <c r="K3091" s="754">
        <v>0</v>
      </c>
      <c r="L3091" s="754">
        <v>35432.67</v>
      </c>
      <c r="M3091" s="754">
        <f t="shared" si="121"/>
        <v>35432.67</v>
      </c>
      <c r="N3091" s="756">
        <v>159323.99</v>
      </c>
      <c r="O3091" s="720">
        <f t="shared" si="122"/>
        <v>0</v>
      </c>
    </row>
    <row r="3092" spans="1:15" x14ac:dyDescent="0.25">
      <c r="A3092" s="207" t="e">
        <f>VLOOKUP(RIGHT(E3092,3)+0,SchLocTable!$A$2:$B$47,2,FALSE)</f>
        <v>#N/A</v>
      </c>
      <c r="B3092" s="207" t="str">
        <f>VLOOKUP(VALUE(D3092),$D$3:F$106,3,FALSE)</f>
        <v>Human Resources</v>
      </c>
      <c r="C3092" s="751" t="s">
        <v>246</v>
      </c>
      <c r="D3092" s="751" t="s">
        <v>901</v>
      </c>
      <c r="E3092" s="751" t="s">
        <v>902</v>
      </c>
      <c r="F3092" s="751" t="s">
        <v>259</v>
      </c>
      <c r="G3092" s="752" t="s">
        <v>1681</v>
      </c>
      <c r="H3092" s="753">
        <v>52917</v>
      </c>
      <c r="I3092" s="754">
        <v>63235.1</v>
      </c>
      <c r="J3092" s="754">
        <v>0</v>
      </c>
      <c r="K3092" s="754">
        <v>0</v>
      </c>
      <c r="L3092" s="754">
        <v>16568.59</v>
      </c>
      <c r="M3092" s="754">
        <f t="shared" si="121"/>
        <v>16568.59</v>
      </c>
      <c r="N3092" s="756">
        <v>63235.1</v>
      </c>
      <c r="O3092" s="720">
        <f t="shared" si="122"/>
        <v>0</v>
      </c>
    </row>
    <row r="3093" spans="1:15" x14ac:dyDescent="0.25">
      <c r="A3093" s="207" t="e">
        <f>VLOOKUP(RIGHT(E3093,3)+0,SchLocTable!$A$2:$B$47,2,FALSE)</f>
        <v>#N/A</v>
      </c>
      <c r="B3093" s="207" t="str">
        <f>VLOOKUP(VALUE(D3093),$D$3:F$106,3,FALSE)</f>
        <v>Human Resources</v>
      </c>
      <c r="C3093" s="751" t="s">
        <v>246</v>
      </c>
      <c r="D3093" s="751" t="s">
        <v>901</v>
      </c>
      <c r="E3093" s="751" t="s">
        <v>902</v>
      </c>
      <c r="F3093" s="751" t="s">
        <v>333</v>
      </c>
      <c r="G3093" s="752" t="s">
        <v>1681</v>
      </c>
      <c r="H3093" s="753">
        <v>52920</v>
      </c>
      <c r="I3093" s="754">
        <v>0</v>
      </c>
      <c r="J3093" s="754">
        <v>0</v>
      </c>
      <c r="K3093" s="754">
        <v>0</v>
      </c>
      <c r="L3093" s="754">
        <v>0</v>
      </c>
      <c r="M3093" s="754">
        <f t="shared" si="121"/>
        <v>0</v>
      </c>
      <c r="N3093" s="756">
        <v>0</v>
      </c>
      <c r="O3093" s="720">
        <f t="shared" si="122"/>
        <v>0</v>
      </c>
    </row>
    <row r="3094" spans="1:15" x14ac:dyDescent="0.25">
      <c r="A3094" s="207" t="e">
        <f>VLOOKUP(RIGHT(E3094,3)+0,SchLocTable!$A$2:$B$47,2,FALSE)</f>
        <v>#N/A</v>
      </c>
      <c r="B3094" s="207" t="str">
        <f>VLOOKUP(VALUE(D3094),$D$3:F$106,3,FALSE)</f>
        <v>Human Resources</v>
      </c>
      <c r="C3094" s="751" t="s">
        <v>246</v>
      </c>
      <c r="D3094" s="751" t="s">
        <v>901</v>
      </c>
      <c r="E3094" s="751" t="s">
        <v>902</v>
      </c>
      <c r="F3094" s="751" t="s">
        <v>396</v>
      </c>
      <c r="G3094" s="752" t="s">
        <v>1681</v>
      </c>
      <c r="H3094" s="753">
        <v>53605</v>
      </c>
      <c r="I3094" s="754">
        <v>840</v>
      </c>
      <c r="J3094" s="754">
        <v>0</v>
      </c>
      <c r="K3094" s="754">
        <v>0</v>
      </c>
      <c r="L3094" s="754">
        <v>0</v>
      </c>
      <c r="M3094" s="754">
        <f t="shared" si="121"/>
        <v>0</v>
      </c>
      <c r="N3094" s="756">
        <v>840</v>
      </c>
      <c r="O3094" s="720">
        <f t="shared" si="122"/>
        <v>0</v>
      </c>
    </row>
    <row r="3095" spans="1:15" x14ac:dyDescent="0.25">
      <c r="A3095" s="207" t="e">
        <f>VLOOKUP(RIGHT(E3095,3)+0,SchLocTable!$A$2:$B$47,2,FALSE)</f>
        <v>#N/A</v>
      </c>
      <c r="B3095" s="207" t="str">
        <f>VLOOKUP(VALUE(D3095),$D$3:F$106,3,FALSE)</f>
        <v>Human Resources</v>
      </c>
      <c r="C3095" s="751" t="s">
        <v>246</v>
      </c>
      <c r="D3095" s="751" t="s">
        <v>901</v>
      </c>
      <c r="E3095" s="751" t="s">
        <v>902</v>
      </c>
      <c r="F3095" s="751" t="s">
        <v>2017</v>
      </c>
      <c r="G3095" s="752" t="s">
        <v>1681</v>
      </c>
      <c r="H3095" s="753">
        <v>53705</v>
      </c>
      <c r="I3095" s="754">
        <v>2715</v>
      </c>
      <c r="J3095" s="754">
        <v>0</v>
      </c>
      <c r="K3095" s="754">
        <v>0</v>
      </c>
      <c r="L3095" s="754">
        <v>0</v>
      </c>
      <c r="M3095" s="754">
        <f t="shared" si="121"/>
        <v>0</v>
      </c>
      <c r="N3095" s="756">
        <v>2715</v>
      </c>
      <c r="O3095" s="720">
        <f t="shared" si="122"/>
        <v>0</v>
      </c>
    </row>
    <row r="3096" spans="1:15" x14ac:dyDescent="0.25">
      <c r="A3096" s="207" t="e">
        <f>VLOOKUP(RIGHT(E3096,3)+0,SchLocTable!$A$2:$B$47,2,FALSE)</f>
        <v>#N/A</v>
      </c>
      <c r="B3096" s="207" t="str">
        <f>VLOOKUP(VALUE(D3096),$D$3:F$106,3,FALSE)</f>
        <v>Human Resources</v>
      </c>
      <c r="C3096" s="751" t="s">
        <v>246</v>
      </c>
      <c r="D3096" s="751" t="s">
        <v>901</v>
      </c>
      <c r="E3096" s="751" t="s">
        <v>902</v>
      </c>
      <c r="F3096" s="751" t="s">
        <v>372</v>
      </c>
      <c r="G3096" s="752" t="s">
        <v>1681</v>
      </c>
      <c r="H3096" s="753">
        <v>54675</v>
      </c>
      <c r="I3096" s="754">
        <v>5468.8</v>
      </c>
      <c r="J3096" s="754">
        <v>4164.49</v>
      </c>
      <c r="K3096" s="754">
        <v>0</v>
      </c>
      <c r="L3096" s="754">
        <v>147.47999999999999</v>
      </c>
      <c r="M3096" s="754">
        <f t="shared" si="121"/>
        <v>4311.9699999999993</v>
      </c>
      <c r="N3096" s="756">
        <v>5468.8</v>
      </c>
      <c r="O3096" s="720">
        <f t="shared" si="122"/>
        <v>0</v>
      </c>
    </row>
    <row r="3097" spans="1:15" x14ac:dyDescent="0.25">
      <c r="A3097" s="207" t="e">
        <f>VLOOKUP(RIGHT(E3097,3)+0,SchLocTable!$A$2:$B$47,2,FALSE)</f>
        <v>#N/A</v>
      </c>
      <c r="B3097" s="207" t="str">
        <f>VLOOKUP(VALUE(D3097),$D$3:F$106,3,FALSE)</f>
        <v>Human Resources</v>
      </c>
      <c r="C3097" s="751" t="s">
        <v>246</v>
      </c>
      <c r="D3097" s="751" t="s">
        <v>901</v>
      </c>
      <c r="E3097" s="751" t="s">
        <v>902</v>
      </c>
      <c r="F3097" s="751" t="s">
        <v>323</v>
      </c>
      <c r="G3097" s="752" t="s">
        <v>1681</v>
      </c>
      <c r="H3097" s="753">
        <v>56115</v>
      </c>
      <c r="I3097" s="754">
        <v>21246.52</v>
      </c>
      <c r="J3097" s="754">
        <v>5975.08</v>
      </c>
      <c r="K3097" s="754">
        <v>0</v>
      </c>
      <c r="L3097" s="754">
        <v>15271.44</v>
      </c>
      <c r="M3097" s="754">
        <f t="shared" si="121"/>
        <v>21246.52</v>
      </c>
      <c r="N3097" s="756">
        <v>21246.52</v>
      </c>
      <c r="O3097" s="720">
        <f t="shared" si="122"/>
        <v>0</v>
      </c>
    </row>
    <row r="3098" spans="1:15" x14ac:dyDescent="0.25">
      <c r="A3098" s="207" t="e">
        <f>VLOOKUP(RIGHT(E3098,3)+0,SchLocTable!$A$2:$B$47,2,FALSE)</f>
        <v>#N/A</v>
      </c>
      <c r="B3098" s="207" t="str">
        <f>VLOOKUP(VALUE(D3098),$D$3:F$106,3,FALSE)</f>
        <v>Human Resources</v>
      </c>
      <c r="C3098" s="751" t="s">
        <v>246</v>
      </c>
      <c r="D3098" s="751" t="s">
        <v>901</v>
      </c>
      <c r="E3098" s="751" t="s">
        <v>902</v>
      </c>
      <c r="F3098" s="751" t="s">
        <v>382</v>
      </c>
      <c r="G3098" s="752" t="s">
        <v>1681</v>
      </c>
      <c r="H3098" s="753">
        <v>56180</v>
      </c>
      <c r="I3098" s="754">
        <v>211204</v>
      </c>
      <c r="J3098" s="754">
        <v>10471.26</v>
      </c>
      <c r="K3098" s="754">
        <v>0</v>
      </c>
      <c r="L3098" s="754">
        <v>10471.26</v>
      </c>
      <c r="M3098" s="754">
        <f t="shared" si="121"/>
        <v>20942.52</v>
      </c>
      <c r="N3098" s="756">
        <v>211204</v>
      </c>
      <c r="O3098" s="720">
        <f t="shared" si="122"/>
        <v>0</v>
      </c>
    </row>
    <row r="3099" spans="1:15" x14ac:dyDescent="0.25">
      <c r="A3099" s="207" t="e">
        <f>VLOOKUP(RIGHT(E3099,3)+0,SchLocTable!$A$2:$B$47,2,FALSE)</f>
        <v>#N/A</v>
      </c>
      <c r="B3099" s="207" t="str">
        <f>VLOOKUP(VALUE(D3099),$D$3:F$106,3,FALSE)</f>
        <v>Human Resources</v>
      </c>
      <c r="C3099" s="751" t="s">
        <v>246</v>
      </c>
      <c r="D3099" s="751" t="s">
        <v>901</v>
      </c>
      <c r="E3099" s="751" t="s">
        <v>902</v>
      </c>
      <c r="F3099" s="751" t="s">
        <v>374</v>
      </c>
      <c r="G3099" s="752" t="s">
        <v>1681</v>
      </c>
      <c r="H3099" s="753">
        <v>59015</v>
      </c>
      <c r="I3099" s="754">
        <v>906.2</v>
      </c>
      <c r="J3099" s="754">
        <v>0</v>
      </c>
      <c r="K3099" s="754">
        <v>0</v>
      </c>
      <c r="L3099" s="754">
        <v>0</v>
      </c>
      <c r="M3099" s="754">
        <f t="shared" si="121"/>
        <v>0</v>
      </c>
      <c r="N3099" s="756">
        <v>906.2</v>
      </c>
      <c r="O3099" s="720">
        <f t="shared" si="122"/>
        <v>0</v>
      </c>
    </row>
    <row r="3100" spans="1:15" x14ac:dyDescent="0.25">
      <c r="A3100" s="207" t="e">
        <f>VLOOKUP(RIGHT(E3100,3)+0,SchLocTable!$A$2:$B$47,2,FALSE)</f>
        <v>#N/A</v>
      </c>
      <c r="B3100" s="207" t="str">
        <f>VLOOKUP(VALUE(D3100),$D$3:F$106,3,FALSE)</f>
        <v>Pupil Services/Stud Assign</v>
      </c>
      <c r="C3100" s="751" t="s">
        <v>246</v>
      </c>
      <c r="D3100" s="751" t="s">
        <v>903</v>
      </c>
      <c r="E3100" s="751" t="s">
        <v>904</v>
      </c>
      <c r="F3100" s="751" t="s">
        <v>248</v>
      </c>
      <c r="G3100" s="752" t="s">
        <v>1681</v>
      </c>
      <c r="H3100" s="753">
        <v>51000</v>
      </c>
      <c r="I3100" s="754">
        <v>0</v>
      </c>
      <c r="J3100" s="754">
        <v>0</v>
      </c>
      <c r="K3100" s="754">
        <v>0</v>
      </c>
      <c r="L3100" s="754">
        <v>0</v>
      </c>
      <c r="M3100" s="754">
        <f t="shared" si="121"/>
        <v>0</v>
      </c>
      <c r="N3100" s="756">
        <v>0</v>
      </c>
      <c r="O3100" s="720">
        <f t="shared" si="122"/>
        <v>0</v>
      </c>
    </row>
    <row r="3101" spans="1:15" x14ac:dyDescent="0.25">
      <c r="A3101" s="207" t="e">
        <f>VLOOKUP(RIGHT(E3101,3)+0,SchLocTable!$A$2:$B$47,2,FALSE)</f>
        <v>#N/A</v>
      </c>
      <c r="B3101" s="207" t="str">
        <f>VLOOKUP(VALUE(D3101),$D$3:F$106,3,FALSE)</f>
        <v>Pupil Services/Stud Assign</v>
      </c>
      <c r="C3101" s="755" t="s">
        <v>246</v>
      </c>
      <c r="D3101" s="751" t="s">
        <v>903</v>
      </c>
      <c r="E3101" s="751" t="s">
        <v>904</v>
      </c>
      <c r="F3101" s="751" t="s">
        <v>257</v>
      </c>
      <c r="G3101" s="752" t="s">
        <v>1681</v>
      </c>
      <c r="H3101" s="753">
        <v>51140</v>
      </c>
      <c r="I3101" s="754">
        <v>0</v>
      </c>
      <c r="J3101" s="754">
        <v>0</v>
      </c>
      <c r="K3101" s="754">
        <v>0</v>
      </c>
      <c r="L3101" s="754">
        <v>0</v>
      </c>
      <c r="M3101" s="754">
        <f t="shared" si="121"/>
        <v>0</v>
      </c>
      <c r="N3101" s="756">
        <v>0</v>
      </c>
      <c r="O3101" s="720">
        <f t="shared" si="122"/>
        <v>0</v>
      </c>
    </row>
    <row r="3102" spans="1:15" x14ac:dyDescent="0.25">
      <c r="A3102" s="207" t="e">
        <f>VLOOKUP(RIGHT(E3102,3)+0,SchLocTable!$A$2:$B$47,2,FALSE)</f>
        <v>#N/A</v>
      </c>
      <c r="B3102" s="207" t="str">
        <f>VLOOKUP(VALUE(D3102),$D$3:F$106,3,FALSE)</f>
        <v>Pupil Services/Stud Assign</v>
      </c>
      <c r="C3102" s="755" t="s">
        <v>246</v>
      </c>
      <c r="D3102" s="751" t="s">
        <v>903</v>
      </c>
      <c r="E3102" s="751" t="s">
        <v>904</v>
      </c>
      <c r="F3102" s="751" t="s">
        <v>454</v>
      </c>
      <c r="G3102" s="752" t="s">
        <v>1681</v>
      </c>
      <c r="H3102" s="753">
        <v>51404</v>
      </c>
      <c r="I3102" s="754">
        <v>0</v>
      </c>
      <c r="J3102" s="754">
        <v>0</v>
      </c>
      <c r="K3102" s="754">
        <v>0</v>
      </c>
      <c r="L3102" s="754">
        <v>0</v>
      </c>
      <c r="M3102" s="754">
        <f t="shared" si="121"/>
        <v>0</v>
      </c>
      <c r="N3102" s="756">
        <v>0</v>
      </c>
      <c r="O3102" s="720">
        <f t="shared" si="122"/>
        <v>0</v>
      </c>
    </row>
    <row r="3103" spans="1:15" x14ac:dyDescent="0.25">
      <c r="A3103" s="207" t="e">
        <f>VLOOKUP(RIGHT(E3103,3)+0,SchLocTable!$A$2:$B$47,2,FALSE)</f>
        <v>#N/A</v>
      </c>
      <c r="B3103" s="207" t="str">
        <f>VLOOKUP(VALUE(D3103),$D$3:F$106,3,FALSE)</f>
        <v>Pupil Services/Stud Assign</v>
      </c>
      <c r="C3103" s="755" t="s">
        <v>246</v>
      </c>
      <c r="D3103" s="751" t="s">
        <v>903</v>
      </c>
      <c r="E3103" s="751" t="s">
        <v>904</v>
      </c>
      <c r="F3103" s="751" t="s">
        <v>254</v>
      </c>
      <c r="G3103" s="752" t="s">
        <v>1681</v>
      </c>
      <c r="H3103" s="753">
        <v>52360</v>
      </c>
      <c r="I3103" s="754">
        <v>0</v>
      </c>
      <c r="J3103" s="754">
        <v>0</v>
      </c>
      <c r="K3103" s="754">
        <v>0</v>
      </c>
      <c r="L3103" s="754">
        <v>0</v>
      </c>
      <c r="M3103" s="754">
        <f t="shared" si="121"/>
        <v>0</v>
      </c>
      <c r="N3103" s="756">
        <v>0</v>
      </c>
      <c r="O3103" s="720">
        <f t="shared" si="122"/>
        <v>0</v>
      </c>
    </row>
    <row r="3104" spans="1:15" x14ac:dyDescent="0.25">
      <c r="A3104" s="207" t="e">
        <f>VLOOKUP(RIGHT(E3104,3)+0,SchLocTable!$A$2:$B$47,2,FALSE)</f>
        <v>#N/A</v>
      </c>
      <c r="B3104" s="207" t="str">
        <f>VLOOKUP(VALUE(D3104),$D$3:F$106,3,FALSE)</f>
        <v>Pupil Services/Stud Assign</v>
      </c>
      <c r="C3104" s="755" t="s">
        <v>246</v>
      </c>
      <c r="D3104" s="751" t="s">
        <v>903</v>
      </c>
      <c r="E3104" s="751" t="s">
        <v>904</v>
      </c>
      <c r="F3104" s="751" t="s">
        <v>259</v>
      </c>
      <c r="G3104" s="752" t="s">
        <v>1681</v>
      </c>
      <c r="H3104" s="753">
        <v>52917</v>
      </c>
      <c r="I3104" s="754">
        <v>0</v>
      </c>
      <c r="J3104" s="754">
        <v>0</v>
      </c>
      <c r="K3104" s="754">
        <v>0</v>
      </c>
      <c r="L3104" s="754">
        <v>0</v>
      </c>
      <c r="M3104" s="754">
        <f t="shared" si="121"/>
        <v>0</v>
      </c>
      <c r="N3104" s="756">
        <v>0</v>
      </c>
      <c r="O3104" s="720">
        <f t="shared" si="122"/>
        <v>0</v>
      </c>
    </row>
    <row r="3105" spans="1:15" x14ac:dyDescent="0.25">
      <c r="A3105" s="207" t="e">
        <f>VLOOKUP(RIGHT(E3105,3)+0,SchLocTable!$A$2:$B$47,2,FALSE)</f>
        <v>#N/A</v>
      </c>
      <c r="B3105" s="207" t="str">
        <f>VLOOKUP(VALUE(D3105),$D$3:F$106,3,FALSE)</f>
        <v>Pupil Services/Stud Assign</v>
      </c>
      <c r="C3105" s="751" t="s">
        <v>246</v>
      </c>
      <c r="D3105" s="751" t="s">
        <v>903</v>
      </c>
      <c r="E3105" s="751" t="s">
        <v>904</v>
      </c>
      <c r="F3105" s="751" t="s">
        <v>372</v>
      </c>
      <c r="G3105" s="752" t="s">
        <v>1681</v>
      </c>
      <c r="H3105" s="753">
        <v>54675</v>
      </c>
      <c r="I3105" s="754">
        <v>1500</v>
      </c>
      <c r="J3105" s="754">
        <v>0</v>
      </c>
      <c r="K3105" s="754">
        <v>0</v>
      </c>
      <c r="L3105" s="754">
        <v>0</v>
      </c>
      <c r="M3105" s="754">
        <f t="shared" si="121"/>
        <v>0</v>
      </c>
      <c r="N3105" s="756">
        <v>1500</v>
      </c>
      <c r="O3105" s="720">
        <f t="shared" si="122"/>
        <v>0</v>
      </c>
    </row>
    <row r="3106" spans="1:15" x14ac:dyDescent="0.25">
      <c r="A3106" s="207" t="e">
        <f>VLOOKUP(RIGHT(E3106,3)+0,SchLocTable!$A$2:$B$47,2,FALSE)</f>
        <v>#N/A</v>
      </c>
      <c r="B3106" s="207" t="str">
        <f>VLOOKUP(VALUE(D3106),$D$3:F$106,3,FALSE)</f>
        <v>Pupil Services/Stud Assign</v>
      </c>
      <c r="C3106" s="751" t="s">
        <v>246</v>
      </c>
      <c r="D3106" s="751" t="s">
        <v>903</v>
      </c>
      <c r="E3106" s="751" t="s">
        <v>904</v>
      </c>
      <c r="F3106" s="751" t="s">
        <v>829</v>
      </c>
      <c r="G3106" s="752" t="s">
        <v>1681</v>
      </c>
      <c r="H3106" s="753">
        <v>56075</v>
      </c>
      <c r="I3106" s="754">
        <v>18370.5</v>
      </c>
      <c r="J3106" s="754">
        <v>0</v>
      </c>
      <c r="K3106" s="754">
        <v>0</v>
      </c>
      <c r="L3106" s="754">
        <v>0</v>
      </c>
      <c r="M3106" s="754">
        <f t="shared" si="121"/>
        <v>0</v>
      </c>
      <c r="N3106" s="756">
        <v>18370.5</v>
      </c>
      <c r="O3106" s="720">
        <f t="shared" si="122"/>
        <v>0</v>
      </c>
    </row>
    <row r="3107" spans="1:15" x14ac:dyDescent="0.25">
      <c r="A3107" s="207" t="e">
        <f>VLOOKUP(RIGHT(E3107,3)+0,SchLocTable!$A$2:$B$47,2,FALSE)</f>
        <v>#N/A</v>
      </c>
      <c r="B3107" s="207" t="str">
        <f>VLOOKUP(VALUE(D3107),$D$3:F$106,3,FALSE)</f>
        <v>Pupil Services/Stud Assign</v>
      </c>
      <c r="C3107" s="751" t="s">
        <v>246</v>
      </c>
      <c r="D3107" s="751" t="s">
        <v>903</v>
      </c>
      <c r="E3107" s="751" t="s">
        <v>904</v>
      </c>
      <c r="F3107" s="751" t="s">
        <v>689</v>
      </c>
      <c r="G3107" s="752" t="s">
        <v>1681</v>
      </c>
      <c r="H3107" s="753">
        <v>56130</v>
      </c>
      <c r="I3107" s="754">
        <v>3125</v>
      </c>
      <c r="J3107" s="754">
        <v>0</v>
      </c>
      <c r="K3107" s="754">
        <v>0</v>
      </c>
      <c r="L3107" s="754">
        <v>0</v>
      </c>
      <c r="M3107" s="754">
        <f t="shared" si="121"/>
        <v>0</v>
      </c>
      <c r="N3107" s="756">
        <v>3125</v>
      </c>
      <c r="O3107" s="720">
        <f t="shared" si="122"/>
        <v>0</v>
      </c>
    </row>
    <row r="3108" spans="1:15" x14ac:dyDescent="0.25">
      <c r="A3108" s="207" t="e">
        <f>VLOOKUP(RIGHT(E3108,3)+0,SchLocTable!$A$2:$B$47,2,FALSE)</f>
        <v>#N/A</v>
      </c>
      <c r="B3108" s="207" t="str">
        <f>VLOOKUP(VALUE(D3108),$D$3:F$106,3,FALSE)</f>
        <v>Pupil Services/Stud Assign</v>
      </c>
      <c r="C3108" s="751" t="s">
        <v>246</v>
      </c>
      <c r="D3108" s="751" t="s">
        <v>903</v>
      </c>
      <c r="E3108" s="751" t="s">
        <v>904</v>
      </c>
      <c r="F3108" s="751" t="s">
        <v>1488</v>
      </c>
      <c r="G3108" s="752" t="s">
        <v>1681</v>
      </c>
      <c r="H3108" s="753">
        <v>56165</v>
      </c>
      <c r="I3108" s="754">
        <v>4850</v>
      </c>
      <c r="J3108" s="754">
        <v>0</v>
      </c>
      <c r="K3108" s="754">
        <v>0</v>
      </c>
      <c r="L3108" s="754">
        <v>0</v>
      </c>
      <c r="M3108" s="754">
        <f t="shared" si="121"/>
        <v>0</v>
      </c>
      <c r="N3108" s="756">
        <v>4850</v>
      </c>
      <c r="O3108" s="720">
        <f t="shared" si="122"/>
        <v>0</v>
      </c>
    </row>
    <row r="3109" spans="1:15" x14ac:dyDescent="0.25">
      <c r="A3109" s="207" t="e">
        <f>VLOOKUP(RIGHT(E3109,3)+0,SchLocTable!$A$2:$B$47,2,FALSE)</f>
        <v>#N/A</v>
      </c>
      <c r="B3109" s="207" t="str">
        <f>VLOOKUP(VALUE(D3109),$D$3:F$106,3,FALSE)</f>
        <v>Pupil Services/Stud Assign</v>
      </c>
      <c r="C3109" s="751" t="s">
        <v>246</v>
      </c>
      <c r="D3109" s="751" t="s">
        <v>903</v>
      </c>
      <c r="E3109" s="751" t="s">
        <v>904</v>
      </c>
      <c r="F3109" s="751" t="s">
        <v>374</v>
      </c>
      <c r="G3109" s="752" t="s">
        <v>1681</v>
      </c>
      <c r="H3109" s="753">
        <v>59015</v>
      </c>
      <c r="I3109" s="754">
        <v>5020</v>
      </c>
      <c r="J3109" s="754">
        <v>0</v>
      </c>
      <c r="K3109" s="754">
        <v>0</v>
      </c>
      <c r="L3109" s="754">
        <v>0</v>
      </c>
      <c r="M3109" s="754">
        <f t="shared" si="121"/>
        <v>0</v>
      </c>
      <c r="N3109" s="756">
        <v>5020</v>
      </c>
      <c r="O3109" s="720">
        <f t="shared" si="122"/>
        <v>0</v>
      </c>
    </row>
    <row r="3110" spans="1:15" x14ac:dyDescent="0.25">
      <c r="A3110" s="207" t="e">
        <f>VLOOKUP(RIGHT(E3110,3)+0,SchLocTable!$A$2:$B$47,2,FALSE)</f>
        <v>#N/A</v>
      </c>
      <c r="B3110" s="207" t="str">
        <f>VLOOKUP(VALUE(D3110),$D$3:F$106,3,FALSE)</f>
        <v>Student Data Support</v>
      </c>
      <c r="C3110" s="751" t="s">
        <v>246</v>
      </c>
      <c r="D3110" s="751" t="s">
        <v>905</v>
      </c>
      <c r="E3110" s="751" t="s">
        <v>906</v>
      </c>
      <c r="F3110" s="751" t="s">
        <v>248</v>
      </c>
      <c r="G3110" s="752">
        <v>7</v>
      </c>
      <c r="H3110" s="753">
        <v>51000</v>
      </c>
      <c r="I3110" s="754">
        <v>633386.17000000004</v>
      </c>
      <c r="J3110" s="754">
        <v>0</v>
      </c>
      <c r="K3110" s="754">
        <v>0</v>
      </c>
      <c r="L3110" s="754">
        <v>183630.35</v>
      </c>
      <c r="M3110" s="754">
        <f t="shared" si="121"/>
        <v>183630.35</v>
      </c>
      <c r="N3110" s="756">
        <v>633386.17000000004</v>
      </c>
      <c r="O3110" s="720">
        <f t="shared" si="122"/>
        <v>0</v>
      </c>
    </row>
    <row r="3111" spans="1:15" x14ac:dyDescent="0.25">
      <c r="A3111" s="207" t="e">
        <f>VLOOKUP(RIGHT(E3111,3)+0,SchLocTable!$A$2:$B$47,2,FALSE)</f>
        <v>#N/A</v>
      </c>
      <c r="B3111" s="207" t="str">
        <f>VLOOKUP(VALUE(D3111),$D$3:F$106,3,FALSE)</f>
        <v>Student Data Support</v>
      </c>
      <c r="C3111" s="751" t="s">
        <v>246</v>
      </c>
      <c r="D3111" s="751" t="s">
        <v>905</v>
      </c>
      <c r="E3111" s="751" t="s">
        <v>906</v>
      </c>
      <c r="F3111" s="751" t="s">
        <v>257</v>
      </c>
      <c r="G3111" s="752" t="s">
        <v>1681</v>
      </c>
      <c r="H3111" s="753">
        <v>51140</v>
      </c>
      <c r="I3111" s="754">
        <v>1650</v>
      </c>
      <c r="J3111" s="754">
        <v>0</v>
      </c>
      <c r="K3111" s="754">
        <v>0</v>
      </c>
      <c r="L3111" s="754">
        <v>0</v>
      </c>
      <c r="M3111" s="754">
        <f t="shared" si="121"/>
        <v>0</v>
      </c>
      <c r="N3111" s="756">
        <v>1650</v>
      </c>
      <c r="O3111" s="720">
        <f t="shared" si="122"/>
        <v>0</v>
      </c>
    </row>
    <row r="3112" spans="1:15" x14ac:dyDescent="0.25">
      <c r="A3112" s="207" t="e">
        <f>VLOOKUP(RIGHT(E3112,3)+0,SchLocTable!$A$2:$B$47,2,FALSE)</f>
        <v>#N/A</v>
      </c>
      <c r="B3112" s="207" t="str">
        <f>VLOOKUP(VALUE(D3112),$D$3:F$106,3,FALSE)</f>
        <v>Student Data Support</v>
      </c>
      <c r="C3112" s="751" t="s">
        <v>246</v>
      </c>
      <c r="D3112" s="751" t="s">
        <v>905</v>
      </c>
      <c r="E3112" s="751" t="s">
        <v>906</v>
      </c>
      <c r="F3112" s="751" t="s">
        <v>797</v>
      </c>
      <c r="G3112" s="752" t="s">
        <v>1681</v>
      </c>
      <c r="H3112" s="753">
        <v>51156</v>
      </c>
      <c r="I3112" s="754">
        <v>0</v>
      </c>
      <c r="J3112" s="754">
        <v>0</v>
      </c>
      <c r="K3112" s="754">
        <v>0</v>
      </c>
      <c r="L3112" s="754">
        <v>0</v>
      </c>
      <c r="M3112" s="754">
        <f t="shared" si="121"/>
        <v>0</v>
      </c>
      <c r="N3112" s="756">
        <v>0</v>
      </c>
      <c r="O3112" s="720">
        <f t="shared" si="122"/>
        <v>0</v>
      </c>
    </row>
    <row r="3113" spans="1:15" x14ac:dyDescent="0.25">
      <c r="A3113" s="207" t="e">
        <f>VLOOKUP(RIGHT(E3113,3)+0,SchLocTable!$A$2:$B$47,2,FALSE)</f>
        <v>#N/A</v>
      </c>
      <c r="B3113" s="207" t="str">
        <f>VLOOKUP(VALUE(D3113),$D$3:F$106,3,FALSE)</f>
        <v>Student Data Support</v>
      </c>
      <c r="C3113" s="751" t="s">
        <v>246</v>
      </c>
      <c r="D3113" s="751" t="s">
        <v>905</v>
      </c>
      <c r="E3113" s="751" t="s">
        <v>906</v>
      </c>
      <c r="F3113" s="751" t="s">
        <v>454</v>
      </c>
      <c r="G3113" s="752" t="s">
        <v>1681</v>
      </c>
      <c r="H3113" s="753">
        <v>51404</v>
      </c>
      <c r="I3113" s="754">
        <v>240</v>
      </c>
      <c r="J3113" s="754">
        <v>0</v>
      </c>
      <c r="K3113" s="754">
        <v>0</v>
      </c>
      <c r="L3113" s="754">
        <v>240</v>
      </c>
      <c r="M3113" s="754">
        <f t="shared" si="121"/>
        <v>240</v>
      </c>
      <c r="N3113" s="756">
        <v>240</v>
      </c>
      <c r="O3113" s="720">
        <f t="shared" si="122"/>
        <v>0</v>
      </c>
    </row>
    <row r="3114" spans="1:15" x14ac:dyDescent="0.25">
      <c r="A3114" s="207" t="e">
        <f>VLOOKUP(RIGHT(E3114,3)+0,SchLocTable!$A$2:$B$47,2,FALSE)</f>
        <v>#N/A</v>
      </c>
      <c r="B3114" s="207" t="str">
        <f>VLOOKUP(VALUE(D3114),$D$3:F$106,3,FALSE)</f>
        <v>Student Data Support</v>
      </c>
      <c r="C3114" s="751" t="s">
        <v>246</v>
      </c>
      <c r="D3114" s="751" t="s">
        <v>905</v>
      </c>
      <c r="E3114" s="751" t="s">
        <v>906</v>
      </c>
      <c r="F3114" s="751" t="s">
        <v>254</v>
      </c>
      <c r="G3114" s="752" t="s">
        <v>1681</v>
      </c>
      <c r="H3114" s="753">
        <v>52360</v>
      </c>
      <c r="I3114" s="754">
        <v>9055.8700000000008</v>
      </c>
      <c r="J3114" s="754">
        <v>0</v>
      </c>
      <c r="K3114" s="754">
        <v>0</v>
      </c>
      <c r="L3114" s="754">
        <v>2534.41</v>
      </c>
      <c r="M3114" s="754">
        <f t="shared" si="121"/>
        <v>2534.41</v>
      </c>
      <c r="N3114" s="756">
        <v>9055.8700000000008</v>
      </c>
      <c r="O3114" s="720">
        <f t="shared" si="122"/>
        <v>0</v>
      </c>
    </row>
    <row r="3115" spans="1:15" x14ac:dyDescent="0.25">
      <c r="A3115" s="207" t="e">
        <f>VLOOKUP(RIGHT(E3115,3)+0,SchLocTable!$A$2:$B$47,2,FALSE)</f>
        <v>#N/A</v>
      </c>
      <c r="B3115" s="207" t="str">
        <f>VLOOKUP(VALUE(D3115),$D$3:F$106,3,FALSE)</f>
        <v>Student Data Support</v>
      </c>
      <c r="C3115" s="751" t="s">
        <v>246</v>
      </c>
      <c r="D3115" s="751" t="s">
        <v>905</v>
      </c>
      <c r="E3115" s="751" t="s">
        <v>906</v>
      </c>
      <c r="F3115" s="751" t="s">
        <v>292</v>
      </c>
      <c r="G3115" s="752" t="s">
        <v>1681</v>
      </c>
      <c r="H3115" s="753">
        <v>52385</v>
      </c>
      <c r="I3115" s="754">
        <v>66.760000000000005</v>
      </c>
      <c r="J3115" s="754">
        <v>0</v>
      </c>
      <c r="K3115" s="754">
        <v>0</v>
      </c>
      <c r="L3115" s="754">
        <v>66.760000000000005</v>
      </c>
      <c r="M3115" s="754">
        <f t="shared" si="121"/>
        <v>66.760000000000005</v>
      </c>
      <c r="N3115" s="756">
        <v>66.760000000000005</v>
      </c>
      <c r="O3115" s="720">
        <f t="shared" si="122"/>
        <v>0</v>
      </c>
    </row>
    <row r="3116" spans="1:15" x14ac:dyDescent="0.25">
      <c r="A3116" s="207" t="e">
        <f>VLOOKUP(RIGHT(E3116,3)+0,SchLocTable!$A$2:$B$47,2,FALSE)</f>
        <v>#N/A</v>
      </c>
      <c r="B3116" s="207" t="str">
        <f>VLOOKUP(VALUE(D3116),$D$3:F$106,3,FALSE)</f>
        <v>Student Data Support</v>
      </c>
      <c r="C3116" s="751" t="s">
        <v>246</v>
      </c>
      <c r="D3116" s="751" t="s">
        <v>905</v>
      </c>
      <c r="E3116" s="751" t="s">
        <v>906</v>
      </c>
      <c r="F3116" s="751" t="s">
        <v>331</v>
      </c>
      <c r="G3116" s="752" t="s">
        <v>1681</v>
      </c>
      <c r="H3116" s="753">
        <v>52504</v>
      </c>
      <c r="I3116" s="754">
        <v>130147.36</v>
      </c>
      <c r="J3116" s="754">
        <v>0</v>
      </c>
      <c r="K3116" s="754">
        <v>0</v>
      </c>
      <c r="L3116" s="754">
        <v>37542.639999999999</v>
      </c>
      <c r="M3116" s="754">
        <f t="shared" si="121"/>
        <v>37542.639999999999</v>
      </c>
      <c r="N3116" s="756">
        <v>130147.36</v>
      </c>
      <c r="O3116" s="720">
        <f t="shared" si="122"/>
        <v>0</v>
      </c>
    </row>
    <row r="3117" spans="1:15" x14ac:dyDescent="0.25">
      <c r="A3117" s="207" t="e">
        <f>VLOOKUP(RIGHT(E3117,3)+0,SchLocTable!$A$2:$B$47,2,FALSE)</f>
        <v>#N/A</v>
      </c>
      <c r="B3117" s="207" t="str">
        <f>VLOOKUP(VALUE(D3117),$D$3:F$106,3,FALSE)</f>
        <v>Student Data Support</v>
      </c>
      <c r="C3117" s="751" t="s">
        <v>246</v>
      </c>
      <c r="D3117" s="751" t="s">
        <v>905</v>
      </c>
      <c r="E3117" s="751" t="s">
        <v>906</v>
      </c>
      <c r="F3117" s="751" t="s">
        <v>259</v>
      </c>
      <c r="G3117" s="752" t="s">
        <v>1681</v>
      </c>
      <c r="H3117" s="753">
        <v>52917</v>
      </c>
      <c r="I3117" s="754">
        <v>59464.67</v>
      </c>
      <c r="J3117" s="754">
        <v>0</v>
      </c>
      <c r="K3117" s="754">
        <v>0</v>
      </c>
      <c r="L3117" s="754">
        <v>18226.72</v>
      </c>
      <c r="M3117" s="754">
        <f t="shared" si="121"/>
        <v>18226.72</v>
      </c>
      <c r="N3117" s="756">
        <v>59464.67</v>
      </c>
      <c r="O3117" s="720">
        <f t="shared" si="122"/>
        <v>0</v>
      </c>
    </row>
    <row r="3118" spans="1:15" x14ac:dyDescent="0.25">
      <c r="A3118" s="207" t="e">
        <f>VLOOKUP(RIGHT(E3118,3)+0,SchLocTable!$A$2:$B$47,2,FALSE)</f>
        <v>#N/A</v>
      </c>
      <c r="B3118" s="207" t="str">
        <f>VLOOKUP(VALUE(D3118),$D$3:F$106,3,FALSE)</f>
        <v>Student Data Support</v>
      </c>
      <c r="C3118" s="751" t="s">
        <v>246</v>
      </c>
      <c r="D3118" s="751" t="s">
        <v>905</v>
      </c>
      <c r="E3118" s="751" t="s">
        <v>906</v>
      </c>
      <c r="F3118" s="751" t="s">
        <v>333</v>
      </c>
      <c r="G3118" s="752" t="s">
        <v>1681</v>
      </c>
      <c r="H3118" s="753">
        <v>52920</v>
      </c>
      <c r="I3118" s="754">
        <v>500</v>
      </c>
      <c r="J3118" s="754">
        <v>0</v>
      </c>
      <c r="K3118" s="754">
        <v>0</v>
      </c>
      <c r="L3118" s="754">
        <v>0</v>
      </c>
      <c r="M3118" s="754">
        <f t="shared" si="121"/>
        <v>0</v>
      </c>
      <c r="N3118" s="756">
        <v>500</v>
      </c>
      <c r="O3118" s="720">
        <f t="shared" si="122"/>
        <v>0</v>
      </c>
    </row>
    <row r="3119" spans="1:15" x14ac:dyDescent="0.25">
      <c r="A3119" s="207" t="e">
        <f>VLOOKUP(RIGHT(E3119,3)+0,SchLocTable!$A$2:$B$47,2,FALSE)</f>
        <v>#N/A</v>
      </c>
      <c r="B3119" s="207" t="str">
        <f>VLOOKUP(VALUE(D3119),$D$3:F$106,3,FALSE)</f>
        <v>Business Office</v>
      </c>
      <c r="C3119" s="751" t="s">
        <v>246</v>
      </c>
      <c r="D3119" s="751" t="s">
        <v>908</v>
      </c>
      <c r="E3119" s="751" t="s">
        <v>909</v>
      </c>
      <c r="F3119" s="751" t="s">
        <v>248</v>
      </c>
      <c r="G3119" s="752">
        <v>3</v>
      </c>
      <c r="H3119" s="753">
        <v>51000</v>
      </c>
      <c r="I3119" s="754">
        <v>509303.75</v>
      </c>
      <c r="J3119" s="754">
        <v>0</v>
      </c>
      <c r="K3119" s="754">
        <v>0</v>
      </c>
      <c r="L3119" s="754">
        <v>179673.43</v>
      </c>
      <c r="M3119" s="754">
        <f t="shared" si="121"/>
        <v>179673.43</v>
      </c>
      <c r="N3119" s="756">
        <v>509303.75</v>
      </c>
      <c r="O3119" s="720">
        <f t="shared" si="122"/>
        <v>0</v>
      </c>
    </row>
    <row r="3120" spans="1:15" x14ac:dyDescent="0.25">
      <c r="A3120" s="207" t="e">
        <f>VLOOKUP(RIGHT(E3120,3)+0,SchLocTable!$A$2:$B$47,2,FALSE)</f>
        <v>#N/A</v>
      </c>
      <c r="B3120" s="207" t="str">
        <f>VLOOKUP(VALUE(D3120),$D$3:F$106,3,FALSE)</f>
        <v>Business Office</v>
      </c>
      <c r="C3120" s="751" t="s">
        <v>246</v>
      </c>
      <c r="D3120" s="751" t="s">
        <v>908</v>
      </c>
      <c r="E3120" s="751" t="s">
        <v>909</v>
      </c>
      <c r="F3120" s="751" t="s">
        <v>257</v>
      </c>
      <c r="G3120" s="752" t="s">
        <v>1681</v>
      </c>
      <c r="H3120" s="753">
        <v>51140</v>
      </c>
      <c r="I3120" s="754">
        <v>750</v>
      </c>
      <c r="J3120" s="754">
        <v>0</v>
      </c>
      <c r="K3120" s="754">
        <v>0</v>
      </c>
      <c r="L3120" s="754">
        <v>0</v>
      </c>
      <c r="M3120" s="754">
        <f t="shared" si="121"/>
        <v>0</v>
      </c>
      <c r="N3120" s="756">
        <v>750</v>
      </c>
      <c r="O3120" s="720">
        <f t="shared" si="122"/>
        <v>0</v>
      </c>
    </row>
    <row r="3121" spans="1:15" x14ac:dyDescent="0.25">
      <c r="A3121" s="207" t="e">
        <f>VLOOKUP(RIGHT(E3121,3)+0,SchLocTable!$A$2:$B$47,2,FALSE)</f>
        <v>#N/A</v>
      </c>
      <c r="B3121" s="207" t="str">
        <f>VLOOKUP(VALUE(D3121),$D$3:F$106,3,FALSE)</f>
        <v>Business Office</v>
      </c>
      <c r="C3121" s="751" t="s">
        <v>246</v>
      </c>
      <c r="D3121" s="751" t="s">
        <v>908</v>
      </c>
      <c r="E3121" s="751" t="s">
        <v>909</v>
      </c>
      <c r="F3121" s="751" t="s">
        <v>254</v>
      </c>
      <c r="G3121" s="752" t="s">
        <v>1681</v>
      </c>
      <c r="H3121" s="753">
        <v>52360</v>
      </c>
      <c r="I3121" s="754">
        <v>7394.4</v>
      </c>
      <c r="J3121" s="754">
        <v>0</v>
      </c>
      <c r="K3121" s="754">
        <v>0</v>
      </c>
      <c r="L3121" s="754">
        <v>2614.7600000000002</v>
      </c>
      <c r="M3121" s="754">
        <f t="shared" si="121"/>
        <v>2614.7600000000002</v>
      </c>
      <c r="N3121" s="756">
        <v>7394.4</v>
      </c>
      <c r="O3121" s="720">
        <f t="shared" si="122"/>
        <v>0</v>
      </c>
    </row>
    <row r="3122" spans="1:15" x14ac:dyDescent="0.25">
      <c r="A3122" s="207" t="e">
        <f>VLOOKUP(RIGHT(E3122,3)+0,SchLocTable!$A$2:$B$47,2,FALSE)</f>
        <v>#N/A</v>
      </c>
      <c r="B3122" s="207" t="str">
        <f>VLOOKUP(VALUE(D3122),$D$3:F$106,3,FALSE)</f>
        <v>Business Office</v>
      </c>
      <c r="C3122" s="751" t="s">
        <v>246</v>
      </c>
      <c r="D3122" s="751" t="s">
        <v>908</v>
      </c>
      <c r="E3122" s="751" t="s">
        <v>909</v>
      </c>
      <c r="F3122" s="751" t="s">
        <v>292</v>
      </c>
      <c r="G3122" s="752" t="s">
        <v>1681</v>
      </c>
      <c r="H3122" s="753">
        <v>52385</v>
      </c>
      <c r="I3122" s="754">
        <v>2208.6799999999998</v>
      </c>
      <c r="J3122" s="754">
        <v>0</v>
      </c>
      <c r="K3122" s="754">
        <v>0</v>
      </c>
      <c r="L3122" s="754">
        <v>2208.6799999999998</v>
      </c>
      <c r="M3122" s="754">
        <f t="shared" si="121"/>
        <v>2208.6799999999998</v>
      </c>
      <c r="N3122" s="756">
        <v>2208.6799999999998</v>
      </c>
      <c r="O3122" s="720">
        <f t="shared" si="122"/>
        <v>0</v>
      </c>
    </row>
    <row r="3123" spans="1:15" x14ac:dyDescent="0.25">
      <c r="A3123" s="207" t="e">
        <f>VLOOKUP(RIGHT(E3123,3)+0,SchLocTable!$A$2:$B$47,2,FALSE)</f>
        <v>#N/A</v>
      </c>
      <c r="B3123" s="207" t="str">
        <f>VLOOKUP(VALUE(D3123),$D$3:F$106,3,FALSE)</f>
        <v>Business Office</v>
      </c>
      <c r="C3123" s="751" t="s">
        <v>246</v>
      </c>
      <c r="D3123" s="751" t="s">
        <v>908</v>
      </c>
      <c r="E3123" s="751" t="s">
        <v>909</v>
      </c>
      <c r="F3123" s="751" t="s">
        <v>331</v>
      </c>
      <c r="G3123" s="752" t="s">
        <v>1681</v>
      </c>
      <c r="H3123" s="753">
        <v>52504</v>
      </c>
      <c r="I3123" s="754">
        <v>74425.73</v>
      </c>
      <c r="J3123" s="754">
        <v>0</v>
      </c>
      <c r="K3123" s="754">
        <v>0</v>
      </c>
      <c r="L3123" s="754">
        <v>23245.5</v>
      </c>
      <c r="M3123" s="754">
        <f t="shared" si="121"/>
        <v>23245.5</v>
      </c>
      <c r="N3123" s="756">
        <v>74425.73</v>
      </c>
      <c r="O3123" s="720">
        <f t="shared" si="122"/>
        <v>0</v>
      </c>
    </row>
    <row r="3124" spans="1:15" x14ac:dyDescent="0.25">
      <c r="A3124" s="207" t="e">
        <f>VLOOKUP(RIGHT(E3124,3)+0,SchLocTable!$A$2:$B$47,2,FALSE)</f>
        <v>#N/A</v>
      </c>
      <c r="B3124" s="207" t="str">
        <f>VLOOKUP(VALUE(D3124),$D$3:F$106,3,FALSE)</f>
        <v>Business Office</v>
      </c>
      <c r="C3124" s="751" t="s">
        <v>246</v>
      </c>
      <c r="D3124" s="751" t="s">
        <v>908</v>
      </c>
      <c r="E3124" s="751" t="s">
        <v>909</v>
      </c>
      <c r="F3124" s="751" t="s">
        <v>259</v>
      </c>
      <c r="G3124" s="752" t="s">
        <v>1681</v>
      </c>
      <c r="H3124" s="753">
        <v>52917</v>
      </c>
      <c r="I3124" s="754">
        <v>20607.61</v>
      </c>
      <c r="J3124" s="754">
        <v>0</v>
      </c>
      <c r="K3124" s="754">
        <v>0</v>
      </c>
      <c r="L3124" s="754">
        <v>1272.0999999999999</v>
      </c>
      <c r="M3124" s="754">
        <f t="shared" si="121"/>
        <v>1272.0999999999999</v>
      </c>
      <c r="N3124" s="756">
        <v>20607.61</v>
      </c>
      <c r="O3124" s="720">
        <f t="shared" si="122"/>
        <v>0</v>
      </c>
    </row>
    <row r="3125" spans="1:15" x14ac:dyDescent="0.25">
      <c r="A3125" s="207" t="e">
        <f>VLOOKUP(RIGHT(E3125,3)+0,SchLocTable!$A$2:$B$47,2,FALSE)</f>
        <v>#N/A</v>
      </c>
      <c r="B3125" s="207" t="str">
        <f>VLOOKUP(VALUE(D3125),$D$3:F$106,3,FALSE)</f>
        <v>Business Office</v>
      </c>
      <c r="C3125" s="751" t="s">
        <v>246</v>
      </c>
      <c r="D3125" s="751" t="s">
        <v>908</v>
      </c>
      <c r="E3125" s="751" t="s">
        <v>909</v>
      </c>
      <c r="F3125" s="751" t="s">
        <v>333</v>
      </c>
      <c r="G3125" s="752" t="s">
        <v>1681</v>
      </c>
      <c r="H3125" s="753">
        <v>52920</v>
      </c>
      <c r="I3125" s="754">
        <v>2000</v>
      </c>
      <c r="J3125" s="754">
        <v>0</v>
      </c>
      <c r="K3125" s="754">
        <v>0</v>
      </c>
      <c r="L3125" s="754">
        <v>1000</v>
      </c>
      <c r="M3125" s="754">
        <f t="shared" si="121"/>
        <v>1000</v>
      </c>
      <c r="N3125" s="756">
        <v>2000</v>
      </c>
      <c r="O3125" s="720">
        <f t="shared" si="122"/>
        <v>0</v>
      </c>
    </row>
    <row r="3126" spans="1:15" x14ac:dyDescent="0.25">
      <c r="A3126" s="207" t="e">
        <f>VLOOKUP(RIGHT(E3126,3)+0,SchLocTable!$A$2:$B$47,2,FALSE)</f>
        <v>#N/A</v>
      </c>
      <c r="B3126" s="207" t="str">
        <f>VLOOKUP(VALUE(D3126),$D$3:F$106,3,FALSE)</f>
        <v>Business Office</v>
      </c>
      <c r="C3126" s="751" t="s">
        <v>246</v>
      </c>
      <c r="D3126" s="751" t="s">
        <v>908</v>
      </c>
      <c r="E3126" s="751" t="s">
        <v>909</v>
      </c>
      <c r="F3126" s="751" t="s">
        <v>910</v>
      </c>
      <c r="G3126" s="752" t="s">
        <v>1681</v>
      </c>
      <c r="H3126" s="753">
        <v>55155</v>
      </c>
      <c r="I3126" s="754">
        <v>849887</v>
      </c>
      <c r="J3126" s="754">
        <v>542511.66</v>
      </c>
      <c r="K3126" s="754">
        <v>0</v>
      </c>
      <c r="L3126" s="754">
        <v>306109.65000000002</v>
      </c>
      <c r="M3126" s="754">
        <f t="shared" si="121"/>
        <v>848621.31</v>
      </c>
      <c r="N3126" s="756">
        <v>849887</v>
      </c>
      <c r="O3126" s="720">
        <f t="shared" si="122"/>
        <v>0</v>
      </c>
    </row>
    <row r="3127" spans="1:15" x14ac:dyDescent="0.25">
      <c r="A3127" s="207" t="e">
        <f>VLOOKUP(RIGHT(E3127,3)+0,SchLocTable!$A$2:$B$47,2,FALSE)</f>
        <v>#N/A</v>
      </c>
      <c r="B3127" s="207" t="str">
        <f>VLOOKUP(VALUE(D3127),$D$3:F$106,3,FALSE)</f>
        <v>Business Office Clericals</v>
      </c>
      <c r="C3127" s="751" t="s">
        <v>246</v>
      </c>
      <c r="D3127" s="751" t="s">
        <v>911</v>
      </c>
      <c r="E3127" s="751" t="s">
        <v>912</v>
      </c>
      <c r="F3127" s="751" t="s">
        <v>248</v>
      </c>
      <c r="G3127" s="752">
        <v>5</v>
      </c>
      <c r="H3127" s="753">
        <v>51000</v>
      </c>
      <c r="I3127" s="754">
        <v>358311.6</v>
      </c>
      <c r="J3127" s="754">
        <v>0</v>
      </c>
      <c r="K3127" s="754">
        <v>0</v>
      </c>
      <c r="L3127" s="754">
        <v>124313.57</v>
      </c>
      <c r="M3127" s="754">
        <f t="shared" si="121"/>
        <v>124313.57</v>
      </c>
      <c r="N3127" s="756">
        <v>358311.6</v>
      </c>
      <c r="O3127" s="720">
        <f t="shared" si="122"/>
        <v>0</v>
      </c>
    </row>
    <row r="3128" spans="1:15" x14ac:dyDescent="0.25">
      <c r="A3128" s="207" t="e">
        <f>VLOOKUP(RIGHT(E3128,3)+0,SchLocTable!$A$2:$B$47,2,FALSE)</f>
        <v>#N/A</v>
      </c>
      <c r="B3128" s="207" t="str">
        <f>VLOOKUP(VALUE(D3128),$D$3:F$106,3,FALSE)</f>
        <v>Business Office Clericals</v>
      </c>
      <c r="C3128" s="751" t="s">
        <v>246</v>
      </c>
      <c r="D3128" s="751" t="s">
        <v>911</v>
      </c>
      <c r="E3128" s="751" t="s">
        <v>912</v>
      </c>
      <c r="F3128" s="751" t="s">
        <v>250</v>
      </c>
      <c r="G3128" s="752">
        <v>1</v>
      </c>
      <c r="H3128" s="753">
        <v>51100</v>
      </c>
      <c r="I3128" s="754">
        <v>122148</v>
      </c>
      <c r="J3128" s="754">
        <v>0</v>
      </c>
      <c r="K3128" s="754">
        <v>0</v>
      </c>
      <c r="L3128" s="754">
        <v>37440</v>
      </c>
      <c r="M3128" s="754">
        <f t="shared" si="121"/>
        <v>37440</v>
      </c>
      <c r="N3128" s="756">
        <v>122148</v>
      </c>
      <c r="O3128" s="720">
        <f t="shared" si="122"/>
        <v>0</v>
      </c>
    </row>
    <row r="3129" spans="1:15" x14ac:dyDescent="0.25">
      <c r="A3129" s="207" t="e">
        <f>VLOOKUP(RIGHT(E3129,3)+0,SchLocTable!$A$2:$B$47,2,FALSE)</f>
        <v>#N/A</v>
      </c>
      <c r="B3129" s="207" t="str">
        <f>VLOOKUP(VALUE(D3129),$D$3:F$106,3,FALSE)</f>
        <v>Business Office Clericals</v>
      </c>
      <c r="C3129" s="751" t="s">
        <v>246</v>
      </c>
      <c r="D3129" s="751" t="s">
        <v>911</v>
      </c>
      <c r="E3129" s="751" t="s">
        <v>912</v>
      </c>
      <c r="F3129" s="751" t="s">
        <v>257</v>
      </c>
      <c r="G3129" s="752" t="s">
        <v>1681</v>
      </c>
      <c r="H3129" s="753">
        <v>51140</v>
      </c>
      <c r="I3129" s="754">
        <v>11520</v>
      </c>
      <c r="J3129" s="754">
        <v>0</v>
      </c>
      <c r="K3129" s="754">
        <v>0</v>
      </c>
      <c r="L3129" s="754">
        <v>0</v>
      </c>
      <c r="M3129" s="754">
        <f t="shared" si="121"/>
        <v>0</v>
      </c>
      <c r="N3129" s="756">
        <v>11520</v>
      </c>
      <c r="O3129" s="720">
        <f t="shared" si="122"/>
        <v>0</v>
      </c>
    </row>
    <row r="3130" spans="1:15" x14ac:dyDescent="0.25">
      <c r="A3130" s="207" t="e">
        <f>VLOOKUP(RIGHT(E3130,3)+0,SchLocTable!$A$2:$B$47,2,FALSE)</f>
        <v>#N/A</v>
      </c>
      <c r="B3130" s="207" t="str">
        <f>VLOOKUP(VALUE(D3130),$D$3:F$106,3,FALSE)</f>
        <v>Business Office Clericals</v>
      </c>
      <c r="C3130" s="751" t="s">
        <v>246</v>
      </c>
      <c r="D3130" s="751" t="s">
        <v>911</v>
      </c>
      <c r="E3130" s="751" t="s">
        <v>912</v>
      </c>
      <c r="F3130" s="751" t="s">
        <v>797</v>
      </c>
      <c r="G3130" s="752" t="s">
        <v>1681</v>
      </c>
      <c r="H3130" s="753">
        <v>51156</v>
      </c>
      <c r="I3130" s="754">
        <v>0</v>
      </c>
      <c r="J3130" s="754">
        <v>0</v>
      </c>
      <c r="K3130" s="754">
        <v>0</v>
      </c>
      <c r="L3130" s="754">
        <v>0</v>
      </c>
      <c r="M3130" s="754">
        <f t="shared" si="121"/>
        <v>0</v>
      </c>
      <c r="N3130" s="756">
        <v>0</v>
      </c>
      <c r="O3130" s="720">
        <f t="shared" si="122"/>
        <v>0</v>
      </c>
    </row>
    <row r="3131" spans="1:15" x14ac:dyDescent="0.25">
      <c r="A3131" s="207" t="e">
        <f>VLOOKUP(RIGHT(E3131,3)+0,SchLocTable!$A$2:$B$47,2,FALSE)</f>
        <v>#N/A</v>
      </c>
      <c r="B3131" s="207" t="str">
        <f>VLOOKUP(VALUE(D3131),$D$3:F$106,3,FALSE)</f>
        <v>Business Office Clericals</v>
      </c>
      <c r="C3131" s="755" t="s">
        <v>246</v>
      </c>
      <c r="D3131" s="751" t="s">
        <v>911</v>
      </c>
      <c r="E3131" s="751" t="s">
        <v>912</v>
      </c>
      <c r="F3131" s="751" t="s">
        <v>254</v>
      </c>
      <c r="G3131" s="752" t="s">
        <v>1681</v>
      </c>
      <c r="H3131" s="753">
        <v>52360</v>
      </c>
      <c r="I3131" s="754">
        <v>6913.42</v>
      </c>
      <c r="J3131" s="754">
        <v>0</v>
      </c>
      <c r="K3131" s="754">
        <v>0</v>
      </c>
      <c r="L3131" s="754">
        <v>2292.1799999999998</v>
      </c>
      <c r="M3131" s="754">
        <f t="shared" si="121"/>
        <v>2292.1799999999998</v>
      </c>
      <c r="N3131" s="756">
        <v>6913.42</v>
      </c>
      <c r="O3131" s="720">
        <f t="shared" si="122"/>
        <v>0</v>
      </c>
    </row>
    <row r="3132" spans="1:15" x14ac:dyDescent="0.25">
      <c r="A3132" s="207" t="e">
        <f>VLOOKUP(RIGHT(E3132,3)+0,SchLocTable!$A$2:$B$47,2,FALSE)</f>
        <v>#N/A</v>
      </c>
      <c r="B3132" s="207" t="str">
        <f>VLOOKUP(VALUE(D3132),$D$3:F$106,3,FALSE)</f>
        <v>Business Office Clericals</v>
      </c>
      <c r="C3132" s="751" t="s">
        <v>246</v>
      </c>
      <c r="D3132" s="751" t="s">
        <v>911</v>
      </c>
      <c r="E3132" s="751" t="s">
        <v>912</v>
      </c>
      <c r="F3132" s="751" t="s">
        <v>292</v>
      </c>
      <c r="G3132" s="752" t="s">
        <v>1681</v>
      </c>
      <c r="H3132" s="753">
        <v>52385</v>
      </c>
      <c r="I3132" s="754">
        <v>0</v>
      </c>
      <c r="J3132" s="754">
        <v>0</v>
      </c>
      <c r="K3132" s="754">
        <v>0</v>
      </c>
      <c r="L3132" s="754">
        <v>0</v>
      </c>
      <c r="M3132" s="754">
        <f t="shared" si="121"/>
        <v>0</v>
      </c>
      <c r="N3132" s="756">
        <v>0</v>
      </c>
      <c r="O3132" s="720">
        <f t="shared" si="122"/>
        <v>0</v>
      </c>
    </row>
    <row r="3133" spans="1:15" x14ac:dyDescent="0.25">
      <c r="A3133" s="207" t="e">
        <f>VLOOKUP(RIGHT(E3133,3)+0,SchLocTable!$A$2:$B$47,2,FALSE)</f>
        <v>#N/A</v>
      </c>
      <c r="B3133" s="207" t="str">
        <f>VLOOKUP(VALUE(D3133),$D$3:F$106,3,FALSE)</f>
        <v>Business Office Clericals</v>
      </c>
      <c r="C3133" s="751" t="s">
        <v>246</v>
      </c>
      <c r="D3133" s="751" t="s">
        <v>911</v>
      </c>
      <c r="E3133" s="751" t="s">
        <v>912</v>
      </c>
      <c r="F3133" s="751" t="s">
        <v>331</v>
      </c>
      <c r="G3133" s="752" t="s">
        <v>1681</v>
      </c>
      <c r="H3133" s="753">
        <v>52504</v>
      </c>
      <c r="I3133" s="754">
        <v>73214.149999999994</v>
      </c>
      <c r="J3133" s="754">
        <v>0</v>
      </c>
      <c r="K3133" s="754">
        <v>0</v>
      </c>
      <c r="L3133" s="754">
        <v>25033.96</v>
      </c>
      <c r="M3133" s="754">
        <f t="shared" si="121"/>
        <v>25033.96</v>
      </c>
      <c r="N3133" s="756">
        <v>73214.149999999994</v>
      </c>
      <c r="O3133" s="720">
        <f t="shared" si="122"/>
        <v>0</v>
      </c>
    </row>
    <row r="3134" spans="1:15" x14ac:dyDescent="0.25">
      <c r="A3134" s="207" t="e">
        <f>VLOOKUP(RIGHT(E3134,3)+0,SchLocTable!$A$2:$B$47,2,FALSE)</f>
        <v>#N/A</v>
      </c>
      <c r="B3134" s="207" t="str">
        <f>VLOOKUP(VALUE(D3134),$D$3:F$106,3,FALSE)</f>
        <v>Business Office Clericals</v>
      </c>
      <c r="C3134" s="751" t="s">
        <v>246</v>
      </c>
      <c r="D3134" s="751" t="s">
        <v>911</v>
      </c>
      <c r="E3134" s="751" t="s">
        <v>912</v>
      </c>
      <c r="F3134" s="751" t="s">
        <v>259</v>
      </c>
      <c r="G3134" s="752" t="s">
        <v>1681</v>
      </c>
      <c r="H3134" s="753">
        <v>52917</v>
      </c>
      <c r="I3134" s="754">
        <v>62779.75</v>
      </c>
      <c r="J3134" s="754">
        <v>0</v>
      </c>
      <c r="K3134" s="754">
        <v>0</v>
      </c>
      <c r="L3134" s="754">
        <v>19645.28</v>
      </c>
      <c r="M3134" s="754">
        <f t="shared" si="121"/>
        <v>19645.28</v>
      </c>
      <c r="N3134" s="756">
        <v>62779.75</v>
      </c>
      <c r="O3134" s="720">
        <f t="shared" si="122"/>
        <v>0</v>
      </c>
    </row>
    <row r="3135" spans="1:15" x14ac:dyDescent="0.25">
      <c r="A3135" s="207" t="e">
        <f>VLOOKUP(RIGHT(E3135,3)+0,SchLocTable!$A$2:$B$47,2,FALSE)</f>
        <v>#N/A</v>
      </c>
      <c r="B3135" s="207" t="str">
        <f>VLOOKUP(VALUE(D3135),$D$3:F$106,3,FALSE)</f>
        <v>Business Office Clericals</v>
      </c>
      <c r="C3135" s="751" t="s">
        <v>246</v>
      </c>
      <c r="D3135" s="751" t="s">
        <v>911</v>
      </c>
      <c r="E3135" s="751" t="s">
        <v>912</v>
      </c>
      <c r="F3135" s="751" t="s">
        <v>333</v>
      </c>
      <c r="G3135" s="752" t="s">
        <v>1681</v>
      </c>
      <c r="H3135" s="753">
        <v>52920</v>
      </c>
      <c r="I3135" s="754">
        <v>2500</v>
      </c>
      <c r="J3135" s="754">
        <v>0</v>
      </c>
      <c r="K3135" s="754">
        <v>0</v>
      </c>
      <c r="L3135" s="754">
        <v>0</v>
      </c>
      <c r="M3135" s="754">
        <f t="shared" ref="M3135:M3198" si="123">SUM(J3135:L3135)</f>
        <v>0</v>
      </c>
      <c r="N3135" s="756">
        <v>2500</v>
      </c>
      <c r="O3135" s="720">
        <f t="shared" ref="O3135:O3198" si="124">I3135-N3135</f>
        <v>0</v>
      </c>
    </row>
    <row r="3136" spans="1:15" x14ac:dyDescent="0.25">
      <c r="A3136" s="207" t="e">
        <f>VLOOKUP(RIGHT(E3136,3)+0,SchLocTable!$A$2:$B$47,2,FALSE)</f>
        <v>#N/A</v>
      </c>
      <c r="B3136" s="207" t="str">
        <f>VLOOKUP(VALUE(D3136),$D$3:F$106,3,FALSE)</f>
        <v>Payroll</v>
      </c>
      <c r="C3136" s="751" t="s">
        <v>246</v>
      </c>
      <c r="D3136" s="751" t="s">
        <v>913</v>
      </c>
      <c r="E3136" s="751" t="s">
        <v>914</v>
      </c>
      <c r="F3136" s="751" t="s">
        <v>248</v>
      </c>
      <c r="G3136" s="752">
        <v>6</v>
      </c>
      <c r="H3136" s="753">
        <v>51000</v>
      </c>
      <c r="I3136" s="754">
        <v>449324.68</v>
      </c>
      <c r="J3136" s="754">
        <v>0</v>
      </c>
      <c r="K3136" s="754">
        <v>0</v>
      </c>
      <c r="L3136" s="754">
        <v>125719.12</v>
      </c>
      <c r="M3136" s="754">
        <f t="shared" si="123"/>
        <v>125719.12</v>
      </c>
      <c r="N3136" s="756">
        <v>449324.68</v>
      </c>
      <c r="O3136" s="720">
        <f t="shared" si="124"/>
        <v>0</v>
      </c>
    </row>
    <row r="3137" spans="1:15" x14ac:dyDescent="0.25">
      <c r="A3137" s="207" t="e">
        <f>VLOOKUP(RIGHT(E3137,3)+0,SchLocTable!$A$2:$B$47,2,FALSE)</f>
        <v>#N/A</v>
      </c>
      <c r="B3137" s="207" t="str">
        <f>VLOOKUP(VALUE(D3137),$D$3:F$106,3,FALSE)</f>
        <v>Payroll</v>
      </c>
      <c r="C3137" s="751" t="s">
        <v>246</v>
      </c>
      <c r="D3137" s="751" t="s">
        <v>913</v>
      </c>
      <c r="E3137" s="751" t="s">
        <v>914</v>
      </c>
      <c r="F3137" s="751" t="s">
        <v>250</v>
      </c>
      <c r="G3137" s="752">
        <v>2</v>
      </c>
      <c r="H3137" s="753">
        <v>51100</v>
      </c>
      <c r="I3137" s="754">
        <v>95016.6</v>
      </c>
      <c r="J3137" s="754">
        <v>0</v>
      </c>
      <c r="K3137" s="754">
        <v>0</v>
      </c>
      <c r="L3137" s="754">
        <v>16987.5</v>
      </c>
      <c r="M3137" s="754">
        <f t="shared" si="123"/>
        <v>16987.5</v>
      </c>
      <c r="N3137" s="756">
        <v>95016.6</v>
      </c>
      <c r="O3137" s="720">
        <f t="shared" si="124"/>
        <v>0</v>
      </c>
    </row>
    <row r="3138" spans="1:15" x14ac:dyDescent="0.25">
      <c r="A3138" s="207" t="e">
        <f>VLOOKUP(RIGHT(E3138,3)+0,SchLocTable!$A$2:$B$47,2,FALSE)</f>
        <v>#N/A</v>
      </c>
      <c r="B3138" s="207" t="str">
        <f>VLOOKUP(VALUE(D3138),$D$3:F$106,3,FALSE)</f>
        <v>Payroll</v>
      </c>
      <c r="C3138" s="751" t="s">
        <v>246</v>
      </c>
      <c r="D3138" s="751" t="s">
        <v>913</v>
      </c>
      <c r="E3138" s="751" t="s">
        <v>914</v>
      </c>
      <c r="F3138" s="751" t="s">
        <v>340</v>
      </c>
      <c r="G3138" s="752" t="s">
        <v>1681</v>
      </c>
      <c r="H3138" s="753">
        <v>51106</v>
      </c>
      <c r="I3138" s="754">
        <v>5594.83</v>
      </c>
      <c r="J3138" s="754">
        <v>0</v>
      </c>
      <c r="K3138" s="754">
        <v>0</v>
      </c>
      <c r="L3138" s="754">
        <v>2619.79</v>
      </c>
      <c r="M3138" s="754">
        <f t="shared" si="123"/>
        <v>2619.79</v>
      </c>
      <c r="N3138" s="756">
        <v>5594.83</v>
      </c>
      <c r="O3138" s="720">
        <f t="shared" si="124"/>
        <v>0</v>
      </c>
    </row>
    <row r="3139" spans="1:15" x14ac:dyDescent="0.25">
      <c r="A3139" s="207" t="e">
        <f>VLOOKUP(RIGHT(E3139,3)+0,SchLocTable!$A$2:$B$47,2,FALSE)</f>
        <v>#N/A</v>
      </c>
      <c r="B3139" s="207" t="str">
        <f>VLOOKUP(VALUE(D3139),$D$3:F$106,3,FALSE)</f>
        <v>Payroll</v>
      </c>
      <c r="C3139" s="751" t="s">
        <v>246</v>
      </c>
      <c r="D3139" s="751" t="s">
        <v>913</v>
      </c>
      <c r="E3139" s="751" t="s">
        <v>914</v>
      </c>
      <c r="F3139" s="751" t="s">
        <v>378</v>
      </c>
      <c r="G3139" s="752" t="s">
        <v>1681</v>
      </c>
      <c r="H3139" s="753">
        <v>51108</v>
      </c>
      <c r="I3139" s="754">
        <v>17492.03</v>
      </c>
      <c r="J3139" s="754">
        <v>0</v>
      </c>
      <c r="K3139" s="754">
        <v>0</v>
      </c>
      <c r="L3139" s="754">
        <v>12783.95</v>
      </c>
      <c r="M3139" s="754">
        <f t="shared" si="123"/>
        <v>12783.95</v>
      </c>
      <c r="N3139" s="756">
        <v>17492.03</v>
      </c>
      <c r="O3139" s="720">
        <f t="shared" si="124"/>
        <v>0</v>
      </c>
    </row>
    <row r="3140" spans="1:15" x14ac:dyDescent="0.25">
      <c r="A3140" s="207" t="e">
        <f>VLOOKUP(RIGHT(E3140,3)+0,SchLocTable!$A$2:$B$47,2,FALSE)</f>
        <v>#N/A</v>
      </c>
      <c r="B3140" s="207" t="str">
        <f>VLOOKUP(VALUE(D3140),$D$3:F$106,3,FALSE)</f>
        <v>Payroll</v>
      </c>
      <c r="C3140" s="751" t="s">
        <v>246</v>
      </c>
      <c r="D3140" s="751" t="s">
        <v>913</v>
      </c>
      <c r="E3140" s="751" t="s">
        <v>914</v>
      </c>
      <c r="F3140" s="751" t="s">
        <v>915</v>
      </c>
      <c r="G3140" s="752" t="s">
        <v>1681</v>
      </c>
      <c r="H3140" s="753">
        <v>51116</v>
      </c>
      <c r="I3140" s="754">
        <v>77.48</v>
      </c>
      <c r="J3140" s="754">
        <v>0</v>
      </c>
      <c r="K3140" s="754">
        <v>0</v>
      </c>
      <c r="L3140" s="754">
        <v>77.48</v>
      </c>
      <c r="M3140" s="754">
        <f t="shared" si="123"/>
        <v>77.48</v>
      </c>
      <c r="N3140" s="756">
        <v>77.48</v>
      </c>
      <c r="O3140" s="720">
        <f t="shared" si="124"/>
        <v>0</v>
      </c>
    </row>
    <row r="3141" spans="1:15" x14ac:dyDescent="0.25">
      <c r="A3141" s="207" t="e">
        <f>VLOOKUP(RIGHT(E3141,3)+0,SchLocTable!$A$2:$B$47,2,FALSE)</f>
        <v>#N/A</v>
      </c>
      <c r="B3141" s="207" t="str">
        <f>VLOOKUP(VALUE(D3141),$D$3:F$106,3,FALSE)</f>
        <v>Payroll</v>
      </c>
      <c r="C3141" s="751" t="s">
        <v>246</v>
      </c>
      <c r="D3141" s="751" t="s">
        <v>913</v>
      </c>
      <c r="E3141" s="751" t="s">
        <v>914</v>
      </c>
      <c r="F3141" s="751" t="s">
        <v>257</v>
      </c>
      <c r="G3141" s="752" t="s">
        <v>1681</v>
      </c>
      <c r="H3141" s="753">
        <v>51140</v>
      </c>
      <c r="I3141" s="754">
        <v>6600</v>
      </c>
      <c r="J3141" s="754">
        <v>0</v>
      </c>
      <c r="K3141" s="754">
        <v>0</v>
      </c>
      <c r="L3141" s="754">
        <v>825</v>
      </c>
      <c r="M3141" s="754">
        <f t="shared" si="123"/>
        <v>825</v>
      </c>
      <c r="N3141" s="756">
        <v>6600</v>
      </c>
      <c r="O3141" s="720">
        <f t="shared" si="124"/>
        <v>0</v>
      </c>
    </row>
    <row r="3142" spans="1:15" x14ac:dyDescent="0.25">
      <c r="A3142" s="207" t="e">
        <f>VLOOKUP(RIGHT(E3142,3)+0,SchLocTable!$A$2:$B$47,2,FALSE)</f>
        <v>#N/A</v>
      </c>
      <c r="B3142" s="207" t="str">
        <f>VLOOKUP(VALUE(D3142),$D$3:F$106,3,FALSE)</f>
        <v>Payroll</v>
      </c>
      <c r="C3142" s="751" t="s">
        <v>246</v>
      </c>
      <c r="D3142" s="751" t="s">
        <v>913</v>
      </c>
      <c r="E3142" s="751" t="s">
        <v>914</v>
      </c>
      <c r="F3142" s="751" t="s">
        <v>252</v>
      </c>
      <c r="G3142" s="752" t="s">
        <v>1681</v>
      </c>
      <c r="H3142" s="753">
        <v>51154</v>
      </c>
      <c r="I3142" s="754">
        <v>1713.91</v>
      </c>
      <c r="J3142" s="754">
        <v>0</v>
      </c>
      <c r="K3142" s="754">
        <v>0</v>
      </c>
      <c r="L3142" s="754">
        <v>1713.91</v>
      </c>
      <c r="M3142" s="754">
        <f t="shared" si="123"/>
        <v>1713.91</v>
      </c>
      <c r="N3142" s="756">
        <v>1713.91</v>
      </c>
      <c r="O3142" s="720">
        <f t="shared" si="124"/>
        <v>0</v>
      </c>
    </row>
    <row r="3143" spans="1:15" x14ac:dyDescent="0.25">
      <c r="A3143" s="207" t="e">
        <f>VLOOKUP(RIGHT(E3143,3)+0,SchLocTable!$A$2:$B$47,2,FALSE)</f>
        <v>#N/A</v>
      </c>
      <c r="B3143" s="207" t="str">
        <f>VLOOKUP(VALUE(D3143),$D$3:F$106,3,FALSE)</f>
        <v>Payroll</v>
      </c>
      <c r="C3143" s="751" t="s">
        <v>246</v>
      </c>
      <c r="D3143" s="751" t="s">
        <v>913</v>
      </c>
      <c r="E3143" s="751" t="s">
        <v>914</v>
      </c>
      <c r="F3143" s="751" t="s">
        <v>797</v>
      </c>
      <c r="G3143" s="752" t="s">
        <v>1681</v>
      </c>
      <c r="H3143" s="753">
        <v>51156</v>
      </c>
      <c r="I3143" s="754">
        <v>0</v>
      </c>
      <c r="J3143" s="754">
        <v>0</v>
      </c>
      <c r="K3143" s="754">
        <v>0</v>
      </c>
      <c r="L3143" s="754">
        <v>0</v>
      </c>
      <c r="M3143" s="754">
        <f t="shared" si="123"/>
        <v>0</v>
      </c>
      <c r="N3143" s="756">
        <v>0</v>
      </c>
      <c r="O3143" s="720">
        <f t="shared" si="124"/>
        <v>0</v>
      </c>
    </row>
    <row r="3144" spans="1:15" x14ac:dyDescent="0.25">
      <c r="A3144" s="207" t="e">
        <f>VLOOKUP(RIGHT(E3144,3)+0,SchLocTable!$A$2:$B$47,2,FALSE)</f>
        <v>#N/A</v>
      </c>
      <c r="B3144" s="207" t="str">
        <f>VLOOKUP(VALUE(D3144),$D$3:F$106,3,FALSE)</f>
        <v>Payroll</v>
      </c>
      <c r="C3144" s="755" t="s">
        <v>246</v>
      </c>
      <c r="D3144" s="751" t="s">
        <v>913</v>
      </c>
      <c r="E3144" s="751" t="s">
        <v>914</v>
      </c>
      <c r="F3144" s="751" t="s">
        <v>326</v>
      </c>
      <c r="G3144" s="752" t="s">
        <v>1681</v>
      </c>
      <c r="H3144" s="753">
        <v>51314</v>
      </c>
      <c r="I3144" s="754">
        <v>1976.21</v>
      </c>
      <c r="J3144" s="754">
        <v>0</v>
      </c>
      <c r="K3144" s="754">
        <v>0</v>
      </c>
      <c r="L3144" s="754">
        <v>1976.21</v>
      </c>
      <c r="M3144" s="754">
        <f t="shared" si="123"/>
        <v>1976.21</v>
      </c>
      <c r="N3144" s="756">
        <v>1976.21</v>
      </c>
      <c r="O3144" s="720">
        <f t="shared" si="124"/>
        <v>0</v>
      </c>
    </row>
    <row r="3145" spans="1:15" x14ac:dyDescent="0.25">
      <c r="A3145" s="207" t="e">
        <f>VLOOKUP(RIGHT(E3145,3)+0,SchLocTable!$A$2:$B$47,2,FALSE)</f>
        <v>#N/A</v>
      </c>
      <c r="B3145" s="207" t="str">
        <f>VLOOKUP(VALUE(D3145),$D$3:F$106,3,FALSE)</f>
        <v>Payroll</v>
      </c>
      <c r="C3145" s="751" t="s">
        <v>246</v>
      </c>
      <c r="D3145" s="751" t="s">
        <v>913</v>
      </c>
      <c r="E3145" s="751" t="s">
        <v>914</v>
      </c>
      <c r="F3145" s="751" t="s">
        <v>328</v>
      </c>
      <c r="G3145" s="752" t="s">
        <v>1681</v>
      </c>
      <c r="H3145" s="753">
        <v>51318</v>
      </c>
      <c r="I3145" s="754">
        <v>1548.73</v>
      </c>
      <c r="J3145" s="754">
        <v>0</v>
      </c>
      <c r="K3145" s="754">
        <v>0</v>
      </c>
      <c r="L3145" s="754">
        <v>35.93</v>
      </c>
      <c r="M3145" s="754">
        <f t="shared" si="123"/>
        <v>35.93</v>
      </c>
      <c r="N3145" s="756">
        <v>1548.73</v>
      </c>
      <c r="O3145" s="720">
        <f t="shared" si="124"/>
        <v>0</v>
      </c>
    </row>
    <row r="3146" spans="1:15" x14ac:dyDescent="0.25">
      <c r="A3146" s="207" t="e">
        <f>VLOOKUP(RIGHT(E3146,3)+0,SchLocTable!$A$2:$B$47,2,FALSE)</f>
        <v>#N/A</v>
      </c>
      <c r="B3146" s="207" t="str">
        <f>VLOOKUP(VALUE(D3146),$D$3:F$106,3,FALSE)</f>
        <v>Payroll</v>
      </c>
      <c r="C3146" s="751" t="s">
        <v>246</v>
      </c>
      <c r="D3146" s="751" t="s">
        <v>913</v>
      </c>
      <c r="E3146" s="751" t="s">
        <v>914</v>
      </c>
      <c r="F3146" s="751" t="s">
        <v>254</v>
      </c>
      <c r="G3146" s="752" t="s">
        <v>1681</v>
      </c>
      <c r="H3146" s="753">
        <v>52360</v>
      </c>
      <c r="I3146" s="754">
        <v>8211.7099999999991</v>
      </c>
      <c r="J3146" s="754">
        <v>0</v>
      </c>
      <c r="K3146" s="754">
        <v>0</v>
      </c>
      <c r="L3146" s="754">
        <v>2276.6</v>
      </c>
      <c r="M3146" s="754">
        <f t="shared" si="123"/>
        <v>2276.6</v>
      </c>
      <c r="N3146" s="756">
        <v>8211.7099999999991</v>
      </c>
      <c r="O3146" s="720">
        <f t="shared" si="124"/>
        <v>0</v>
      </c>
    </row>
    <row r="3147" spans="1:15" x14ac:dyDescent="0.25">
      <c r="A3147" s="207" t="e">
        <f>VLOOKUP(RIGHT(E3147,3)+0,SchLocTable!$A$2:$B$47,2,FALSE)</f>
        <v>#N/A</v>
      </c>
      <c r="B3147" s="207" t="str">
        <f>VLOOKUP(VALUE(D3147),$D$3:F$106,3,FALSE)</f>
        <v>Payroll</v>
      </c>
      <c r="C3147" s="751" t="s">
        <v>246</v>
      </c>
      <c r="D3147" s="751" t="s">
        <v>913</v>
      </c>
      <c r="E3147" s="751" t="s">
        <v>914</v>
      </c>
      <c r="F3147" s="751" t="s">
        <v>292</v>
      </c>
      <c r="G3147" s="752" t="s">
        <v>1681</v>
      </c>
      <c r="H3147" s="753">
        <v>52385</v>
      </c>
      <c r="I3147" s="754">
        <v>1903.47</v>
      </c>
      <c r="J3147" s="754">
        <v>0</v>
      </c>
      <c r="K3147" s="754">
        <v>0</v>
      </c>
      <c r="L3147" s="754">
        <v>231.03</v>
      </c>
      <c r="M3147" s="754">
        <f t="shared" si="123"/>
        <v>231.03</v>
      </c>
      <c r="N3147" s="756">
        <v>1903.47</v>
      </c>
      <c r="O3147" s="720">
        <f t="shared" si="124"/>
        <v>0</v>
      </c>
    </row>
    <row r="3148" spans="1:15" x14ac:dyDescent="0.25">
      <c r="A3148" s="207" t="e">
        <f>VLOOKUP(RIGHT(E3148,3)+0,SchLocTable!$A$2:$B$47,2,FALSE)</f>
        <v>#N/A</v>
      </c>
      <c r="B3148" s="207" t="str">
        <f>VLOOKUP(VALUE(D3148),$D$3:F$106,3,FALSE)</f>
        <v>Payroll</v>
      </c>
      <c r="C3148" s="751" t="s">
        <v>246</v>
      </c>
      <c r="D3148" s="751" t="s">
        <v>913</v>
      </c>
      <c r="E3148" s="751" t="s">
        <v>914</v>
      </c>
      <c r="F3148" s="751" t="s">
        <v>331</v>
      </c>
      <c r="G3148" s="752" t="s">
        <v>1681</v>
      </c>
      <c r="H3148" s="753">
        <v>52504</v>
      </c>
      <c r="I3148" s="754">
        <v>96149.34</v>
      </c>
      <c r="J3148" s="754">
        <v>0</v>
      </c>
      <c r="K3148" s="754">
        <v>0</v>
      </c>
      <c r="L3148" s="754">
        <v>27937</v>
      </c>
      <c r="M3148" s="754">
        <f t="shared" si="123"/>
        <v>27937</v>
      </c>
      <c r="N3148" s="756">
        <v>96149.34</v>
      </c>
      <c r="O3148" s="720">
        <f t="shared" si="124"/>
        <v>0</v>
      </c>
    </row>
    <row r="3149" spans="1:15" x14ac:dyDescent="0.25">
      <c r="A3149" s="207" t="e">
        <f>VLOOKUP(RIGHT(E3149,3)+0,SchLocTable!$A$2:$B$47,2,FALSE)</f>
        <v>#N/A</v>
      </c>
      <c r="B3149" s="207" t="str">
        <f>VLOOKUP(VALUE(D3149),$D$3:F$106,3,FALSE)</f>
        <v>Payroll</v>
      </c>
      <c r="C3149" s="751" t="s">
        <v>246</v>
      </c>
      <c r="D3149" s="751" t="s">
        <v>913</v>
      </c>
      <c r="E3149" s="751" t="s">
        <v>914</v>
      </c>
      <c r="F3149" s="751" t="s">
        <v>259</v>
      </c>
      <c r="G3149" s="752" t="s">
        <v>1681</v>
      </c>
      <c r="H3149" s="753">
        <v>52917</v>
      </c>
      <c r="I3149" s="754">
        <v>46816.9</v>
      </c>
      <c r="J3149" s="754">
        <v>0</v>
      </c>
      <c r="K3149" s="754">
        <v>0</v>
      </c>
      <c r="L3149" s="754">
        <v>15557.11</v>
      </c>
      <c r="M3149" s="754">
        <f t="shared" si="123"/>
        <v>15557.11</v>
      </c>
      <c r="N3149" s="756">
        <v>46816.9</v>
      </c>
      <c r="O3149" s="720">
        <f t="shared" si="124"/>
        <v>0</v>
      </c>
    </row>
    <row r="3150" spans="1:15" x14ac:dyDescent="0.25">
      <c r="A3150" s="207" t="e">
        <f>VLOOKUP(RIGHT(E3150,3)+0,SchLocTable!$A$2:$B$47,2,FALSE)</f>
        <v>#N/A</v>
      </c>
      <c r="B3150" s="207" t="str">
        <f>VLOOKUP(VALUE(D3150),$D$3:F$106,3,FALSE)</f>
        <v>Payroll</v>
      </c>
      <c r="C3150" s="751" t="s">
        <v>246</v>
      </c>
      <c r="D3150" s="751" t="s">
        <v>913</v>
      </c>
      <c r="E3150" s="751" t="s">
        <v>914</v>
      </c>
      <c r="F3150" s="751" t="s">
        <v>333</v>
      </c>
      <c r="G3150" s="752" t="s">
        <v>1681</v>
      </c>
      <c r="H3150" s="753">
        <v>52920</v>
      </c>
      <c r="I3150" s="754">
        <v>500</v>
      </c>
      <c r="J3150" s="754">
        <v>0</v>
      </c>
      <c r="K3150" s="754">
        <v>0</v>
      </c>
      <c r="L3150" s="754">
        <v>0</v>
      </c>
      <c r="M3150" s="754">
        <f t="shared" si="123"/>
        <v>0</v>
      </c>
      <c r="N3150" s="756">
        <v>500</v>
      </c>
      <c r="O3150" s="720">
        <f t="shared" si="124"/>
        <v>0</v>
      </c>
    </row>
    <row r="3151" spans="1:15" x14ac:dyDescent="0.25">
      <c r="A3151" s="207" t="e">
        <f>VLOOKUP(RIGHT(E3151,3)+0,SchLocTable!$A$2:$B$47,2,FALSE)</f>
        <v>#N/A</v>
      </c>
      <c r="B3151" s="207" t="str">
        <f>VLOOKUP(VALUE(D3151),$D$3:F$106,3,FALSE)</f>
        <v>Stockroom</v>
      </c>
      <c r="C3151" s="751" t="s">
        <v>246</v>
      </c>
      <c r="D3151" s="751" t="s">
        <v>917</v>
      </c>
      <c r="E3151" s="751" t="s">
        <v>918</v>
      </c>
      <c r="F3151" s="751" t="s">
        <v>248</v>
      </c>
      <c r="G3151" s="752">
        <v>4</v>
      </c>
      <c r="H3151" s="753">
        <v>51000</v>
      </c>
      <c r="I3151" s="754">
        <v>230781.07</v>
      </c>
      <c r="J3151" s="754">
        <v>0</v>
      </c>
      <c r="K3151" s="754">
        <v>0</v>
      </c>
      <c r="L3151" s="754">
        <v>71990.570000000007</v>
      </c>
      <c r="M3151" s="754">
        <f t="shared" si="123"/>
        <v>71990.570000000007</v>
      </c>
      <c r="N3151" s="756">
        <v>230781.07</v>
      </c>
      <c r="O3151" s="720">
        <f t="shared" si="124"/>
        <v>0</v>
      </c>
    </row>
    <row r="3152" spans="1:15" x14ac:dyDescent="0.25">
      <c r="A3152" s="207" t="e">
        <f>VLOOKUP(RIGHT(E3152,3)+0,SchLocTable!$A$2:$B$47,2,FALSE)</f>
        <v>#N/A</v>
      </c>
      <c r="B3152" s="207" t="str">
        <f>VLOOKUP(VALUE(D3152),$D$3:F$106,3,FALSE)</f>
        <v>Stockroom</v>
      </c>
      <c r="C3152" s="751" t="s">
        <v>246</v>
      </c>
      <c r="D3152" s="751" t="s">
        <v>917</v>
      </c>
      <c r="E3152" s="751" t="s">
        <v>918</v>
      </c>
      <c r="F3152" s="751" t="s">
        <v>919</v>
      </c>
      <c r="G3152" s="752" t="s">
        <v>1681</v>
      </c>
      <c r="H3152" s="753">
        <v>51102</v>
      </c>
      <c r="I3152" s="754">
        <v>0</v>
      </c>
      <c r="J3152" s="754">
        <v>0</v>
      </c>
      <c r="K3152" s="754">
        <v>0</v>
      </c>
      <c r="L3152" s="754">
        <v>0</v>
      </c>
      <c r="M3152" s="754">
        <f t="shared" si="123"/>
        <v>0</v>
      </c>
      <c r="N3152" s="756">
        <v>0</v>
      </c>
      <c r="O3152" s="720">
        <f t="shared" si="124"/>
        <v>0</v>
      </c>
    </row>
    <row r="3153" spans="1:15" x14ac:dyDescent="0.25">
      <c r="A3153" s="207" t="e">
        <f>VLOOKUP(RIGHT(E3153,3)+0,SchLocTable!$A$2:$B$47,2,FALSE)</f>
        <v>#N/A</v>
      </c>
      <c r="B3153" s="207" t="str">
        <f>VLOOKUP(VALUE(D3153),$D$3:F$106,3,FALSE)</f>
        <v>Stockroom</v>
      </c>
      <c r="C3153" s="751" t="s">
        <v>246</v>
      </c>
      <c r="D3153" s="751" t="s">
        <v>917</v>
      </c>
      <c r="E3153" s="751" t="s">
        <v>918</v>
      </c>
      <c r="F3153" s="751" t="s">
        <v>378</v>
      </c>
      <c r="G3153" s="752" t="s">
        <v>1681</v>
      </c>
      <c r="H3153" s="753">
        <v>51108</v>
      </c>
      <c r="I3153" s="754">
        <v>22479.82</v>
      </c>
      <c r="J3153" s="754">
        <v>0</v>
      </c>
      <c r="K3153" s="754">
        <v>0</v>
      </c>
      <c r="L3153" s="754">
        <v>6544.22</v>
      </c>
      <c r="M3153" s="754">
        <f t="shared" si="123"/>
        <v>6544.22</v>
      </c>
      <c r="N3153" s="756">
        <v>22479.82</v>
      </c>
      <c r="O3153" s="720">
        <f t="shared" si="124"/>
        <v>0</v>
      </c>
    </row>
    <row r="3154" spans="1:15" x14ac:dyDescent="0.25">
      <c r="A3154" s="207" t="e">
        <f>VLOOKUP(RIGHT(E3154,3)+0,SchLocTable!$A$2:$B$47,2,FALSE)</f>
        <v>#N/A</v>
      </c>
      <c r="B3154" s="207" t="str">
        <f>VLOOKUP(VALUE(D3154),$D$3:F$106,3,FALSE)</f>
        <v>Stockroom</v>
      </c>
      <c r="C3154" s="751" t="s">
        <v>246</v>
      </c>
      <c r="D3154" s="751" t="s">
        <v>917</v>
      </c>
      <c r="E3154" s="751" t="s">
        <v>918</v>
      </c>
      <c r="F3154" s="751" t="s">
        <v>380</v>
      </c>
      <c r="G3154" s="752" t="s">
        <v>1681</v>
      </c>
      <c r="H3154" s="753">
        <v>51122</v>
      </c>
      <c r="I3154" s="754">
        <v>4639.04</v>
      </c>
      <c r="J3154" s="754">
        <v>0</v>
      </c>
      <c r="K3154" s="754">
        <v>0</v>
      </c>
      <c r="L3154" s="754">
        <v>2514.46</v>
      </c>
      <c r="M3154" s="754">
        <f t="shared" si="123"/>
        <v>2514.46</v>
      </c>
      <c r="N3154" s="756">
        <v>4639.04</v>
      </c>
      <c r="O3154" s="720">
        <f t="shared" si="124"/>
        <v>0</v>
      </c>
    </row>
    <row r="3155" spans="1:15" x14ac:dyDescent="0.25">
      <c r="A3155" s="207" t="e">
        <f>VLOOKUP(RIGHT(E3155,3)+0,SchLocTable!$A$2:$B$47,2,FALSE)</f>
        <v>#N/A</v>
      </c>
      <c r="B3155" s="207" t="str">
        <f>VLOOKUP(VALUE(D3155),$D$3:F$106,3,FALSE)</f>
        <v>Stockroom</v>
      </c>
      <c r="C3155" s="751" t="s">
        <v>246</v>
      </c>
      <c r="D3155" s="751" t="s">
        <v>917</v>
      </c>
      <c r="E3155" s="751" t="s">
        <v>918</v>
      </c>
      <c r="F3155" s="751" t="s">
        <v>993</v>
      </c>
      <c r="G3155" s="752" t="s">
        <v>1681</v>
      </c>
      <c r="H3155" s="753">
        <v>51138</v>
      </c>
      <c r="I3155" s="754">
        <v>2069.08</v>
      </c>
      <c r="J3155" s="754">
        <v>0</v>
      </c>
      <c r="K3155" s="754">
        <v>0</v>
      </c>
      <c r="L3155" s="754">
        <v>368</v>
      </c>
      <c r="M3155" s="754">
        <f t="shared" si="123"/>
        <v>368</v>
      </c>
      <c r="N3155" s="756">
        <v>2069.08</v>
      </c>
      <c r="O3155" s="720">
        <f t="shared" si="124"/>
        <v>0</v>
      </c>
    </row>
    <row r="3156" spans="1:15" x14ac:dyDescent="0.25">
      <c r="A3156" s="207" t="e">
        <f>VLOOKUP(RIGHT(E3156,3)+0,SchLocTable!$A$2:$B$47,2,FALSE)</f>
        <v>#N/A</v>
      </c>
      <c r="B3156" s="207" t="str">
        <f>VLOOKUP(VALUE(D3156),$D$3:F$106,3,FALSE)</f>
        <v>Stockroom</v>
      </c>
      <c r="C3156" s="751" t="s">
        <v>246</v>
      </c>
      <c r="D3156" s="751" t="s">
        <v>917</v>
      </c>
      <c r="E3156" s="751" t="s">
        <v>918</v>
      </c>
      <c r="F3156" s="751" t="s">
        <v>257</v>
      </c>
      <c r="G3156" s="752" t="s">
        <v>1681</v>
      </c>
      <c r="H3156" s="753">
        <v>51140</v>
      </c>
      <c r="I3156" s="754">
        <v>5965</v>
      </c>
      <c r="J3156" s="754">
        <v>0</v>
      </c>
      <c r="K3156" s="754">
        <v>0</v>
      </c>
      <c r="L3156" s="754">
        <v>0</v>
      </c>
      <c r="M3156" s="754">
        <f t="shared" si="123"/>
        <v>0</v>
      </c>
      <c r="N3156" s="756">
        <v>5965</v>
      </c>
      <c r="O3156" s="720">
        <f t="shared" si="124"/>
        <v>0</v>
      </c>
    </row>
    <row r="3157" spans="1:15" x14ac:dyDescent="0.25">
      <c r="A3157" s="207" t="e">
        <f>VLOOKUP(RIGHT(E3157,3)+0,SchLocTable!$A$2:$B$47,2,FALSE)</f>
        <v>#N/A</v>
      </c>
      <c r="B3157" s="207" t="str">
        <f>VLOOKUP(VALUE(D3157),$D$3:F$106,3,FALSE)</f>
        <v>Stockroom</v>
      </c>
      <c r="C3157" s="751" t="s">
        <v>246</v>
      </c>
      <c r="D3157" s="751" t="s">
        <v>917</v>
      </c>
      <c r="E3157" s="751" t="s">
        <v>918</v>
      </c>
      <c r="F3157" s="751" t="s">
        <v>252</v>
      </c>
      <c r="G3157" s="752" t="s">
        <v>1681</v>
      </c>
      <c r="H3157" s="753">
        <v>51154</v>
      </c>
      <c r="I3157" s="754">
        <v>0</v>
      </c>
      <c r="J3157" s="754">
        <v>0</v>
      </c>
      <c r="K3157" s="754">
        <v>0</v>
      </c>
      <c r="L3157" s="754">
        <v>0</v>
      </c>
      <c r="M3157" s="754">
        <f t="shared" si="123"/>
        <v>0</v>
      </c>
      <c r="N3157" s="756">
        <v>0</v>
      </c>
      <c r="O3157" s="720">
        <f t="shared" si="124"/>
        <v>0</v>
      </c>
    </row>
    <row r="3158" spans="1:15" x14ac:dyDescent="0.25">
      <c r="A3158" s="207" t="e">
        <f>VLOOKUP(RIGHT(E3158,3)+0,SchLocTable!$A$2:$B$47,2,FALSE)</f>
        <v>#N/A</v>
      </c>
      <c r="B3158" s="207" t="str">
        <f>VLOOKUP(VALUE(D3158),$D$3:F$106,3,FALSE)</f>
        <v>Stockroom</v>
      </c>
      <c r="C3158" s="751" t="s">
        <v>246</v>
      </c>
      <c r="D3158" s="751" t="s">
        <v>917</v>
      </c>
      <c r="E3158" s="751" t="s">
        <v>918</v>
      </c>
      <c r="F3158" s="751" t="s">
        <v>797</v>
      </c>
      <c r="G3158" s="752" t="s">
        <v>1681</v>
      </c>
      <c r="H3158" s="753">
        <v>51156</v>
      </c>
      <c r="I3158" s="754">
        <v>0</v>
      </c>
      <c r="J3158" s="754">
        <v>0</v>
      </c>
      <c r="K3158" s="754">
        <v>0</v>
      </c>
      <c r="L3158" s="754">
        <v>0</v>
      </c>
      <c r="M3158" s="754">
        <f t="shared" si="123"/>
        <v>0</v>
      </c>
      <c r="N3158" s="756">
        <v>0</v>
      </c>
      <c r="O3158" s="720">
        <f t="shared" si="124"/>
        <v>0</v>
      </c>
    </row>
    <row r="3159" spans="1:15" x14ac:dyDescent="0.25">
      <c r="A3159" s="207" t="e">
        <f>VLOOKUP(RIGHT(E3159,3)+0,SchLocTable!$A$2:$B$47,2,FALSE)</f>
        <v>#N/A</v>
      </c>
      <c r="B3159" s="207" t="str">
        <f>VLOOKUP(VALUE(D3159),$D$3:F$106,3,FALSE)</f>
        <v>Stockroom</v>
      </c>
      <c r="C3159" s="751" t="s">
        <v>246</v>
      </c>
      <c r="D3159" s="751" t="s">
        <v>917</v>
      </c>
      <c r="E3159" s="751" t="s">
        <v>918</v>
      </c>
      <c r="F3159" s="751" t="s">
        <v>326</v>
      </c>
      <c r="G3159" s="752" t="s">
        <v>1681</v>
      </c>
      <c r="H3159" s="753">
        <v>51314</v>
      </c>
      <c r="I3159" s="754">
        <v>0</v>
      </c>
      <c r="J3159" s="754">
        <v>0</v>
      </c>
      <c r="K3159" s="754">
        <v>0</v>
      </c>
      <c r="L3159" s="754">
        <v>0</v>
      </c>
      <c r="M3159" s="754">
        <f t="shared" si="123"/>
        <v>0</v>
      </c>
      <c r="N3159" s="756">
        <v>0</v>
      </c>
      <c r="O3159" s="720">
        <f t="shared" si="124"/>
        <v>0</v>
      </c>
    </row>
    <row r="3160" spans="1:15" x14ac:dyDescent="0.25">
      <c r="A3160" s="207" t="e">
        <f>VLOOKUP(RIGHT(E3160,3)+0,SchLocTable!$A$2:$B$47,2,FALSE)</f>
        <v>#N/A</v>
      </c>
      <c r="B3160" s="207" t="str">
        <f>VLOOKUP(VALUE(D3160),$D$3:F$106,3,FALSE)</f>
        <v>Stockroom</v>
      </c>
      <c r="C3160" s="751" t="s">
        <v>246</v>
      </c>
      <c r="D3160" s="751" t="s">
        <v>917</v>
      </c>
      <c r="E3160" s="751" t="s">
        <v>918</v>
      </c>
      <c r="F3160" s="751" t="s">
        <v>328</v>
      </c>
      <c r="G3160" s="752" t="s">
        <v>1681</v>
      </c>
      <c r="H3160" s="753">
        <v>51318</v>
      </c>
      <c r="I3160" s="754">
        <v>886.03</v>
      </c>
      <c r="J3160" s="754">
        <v>0</v>
      </c>
      <c r="K3160" s="754">
        <v>0</v>
      </c>
      <c r="L3160" s="754">
        <v>0</v>
      </c>
      <c r="M3160" s="754">
        <f t="shared" si="123"/>
        <v>0</v>
      </c>
      <c r="N3160" s="756">
        <v>886.03</v>
      </c>
      <c r="O3160" s="720">
        <f t="shared" si="124"/>
        <v>0</v>
      </c>
    </row>
    <row r="3161" spans="1:15" x14ac:dyDescent="0.25">
      <c r="A3161" s="207" t="e">
        <f>VLOOKUP(RIGHT(E3161,3)+0,SchLocTable!$A$2:$B$47,2,FALSE)</f>
        <v>#N/A</v>
      </c>
      <c r="B3161" s="207" t="str">
        <f>VLOOKUP(VALUE(D3161),$D$3:F$106,3,FALSE)</f>
        <v>Stockroom</v>
      </c>
      <c r="C3161" s="751" t="s">
        <v>246</v>
      </c>
      <c r="D3161" s="751" t="s">
        <v>917</v>
      </c>
      <c r="E3161" s="751" t="s">
        <v>918</v>
      </c>
      <c r="F3161" s="751" t="s">
        <v>254</v>
      </c>
      <c r="G3161" s="752" t="s">
        <v>1681</v>
      </c>
      <c r="H3161" s="753">
        <v>52360</v>
      </c>
      <c r="I3161" s="754">
        <v>3192.68</v>
      </c>
      <c r="J3161" s="754">
        <v>0</v>
      </c>
      <c r="K3161" s="754">
        <v>0</v>
      </c>
      <c r="L3161" s="754">
        <v>603.67999999999995</v>
      </c>
      <c r="M3161" s="754">
        <f t="shared" si="123"/>
        <v>603.67999999999995</v>
      </c>
      <c r="N3161" s="756">
        <v>3192.68</v>
      </c>
      <c r="O3161" s="720">
        <f t="shared" si="124"/>
        <v>0</v>
      </c>
    </row>
    <row r="3162" spans="1:15" x14ac:dyDescent="0.25">
      <c r="A3162" s="207" t="e">
        <f>VLOOKUP(RIGHT(E3162,3)+0,SchLocTable!$A$2:$B$47,2,FALSE)</f>
        <v>#N/A</v>
      </c>
      <c r="B3162" s="207" t="str">
        <f>VLOOKUP(VALUE(D3162),$D$3:F$106,3,FALSE)</f>
        <v>Stockroom</v>
      </c>
      <c r="C3162" s="751" t="s">
        <v>246</v>
      </c>
      <c r="D3162" s="751" t="s">
        <v>917</v>
      </c>
      <c r="E3162" s="751" t="s">
        <v>918</v>
      </c>
      <c r="F3162" s="751" t="s">
        <v>806</v>
      </c>
      <c r="G3162" s="752" t="s">
        <v>1681</v>
      </c>
      <c r="H3162" s="753">
        <v>52397</v>
      </c>
      <c r="I3162" s="754">
        <v>0</v>
      </c>
      <c r="J3162" s="754">
        <v>0</v>
      </c>
      <c r="K3162" s="754">
        <v>0</v>
      </c>
      <c r="L3162" s="754">
        <v>0</v>
      </c>
      <c r="M3162" s="754">
        <f t="shared" si="123"/>
        <v>0</v>
      </c>
      <c r="N3162" s="756">
        <v>0</v>
      </c>
      <c r="O3162" s="720">
        <f t="shared" si="124"/>
        <v>0</v>
      </c>
    </row>
    <row r="3163" spans="1:15" x14ac:dyDescent="0.25">
      <c r="A3163" s="207" t="e">
        <f>VLOOKUP(RIGHT(E3163,3)+0,SchLocTable!$A$2:$B$47,2,FALSE)</f>
        <v>#N/A</v>
      </c>
      <c r="B3163" s="207" t="str">
        <f>VLOOKUP(VALUE(D3163),$D$3:F$106,3,FALSE)</f>
        <v>Stockroom</v>
      </c>
      <c r="C3163" s="751" t="s">
        <v>246</v>
      </c>
      <c r="D3163" s="751" t="s">
        <v>917</v>
      </c>
      <c r="E3163" s="751" t="s">
        <v>918</v>
      </c>
      <c r="F3163" s="751" t="s">
        <v>331</v>
      </c>
      <c r="G3163" s="752" t="s">
        <v>1681</v>
      </c>
      <c r="H3163" s="753">
        <v>52504</v>
      </c>
      <c r="I3163" s="754">
        <v>53527.49</v>
      </c>
      <c r="J3163" s="754">
        <v>0</v>
      </c>
      <c r="K3163" s="754">
        <v>0</v>
      </c>
      <c r="L3163" s="754">
        <v>16763.68</v>
      </c>
      <c r="M3163" s="754">
        <f t="shared" si="123"/>
        <v>16763.68</v>
      </c>
      <c r="N3163" s="756">
        <v>53527.49</v>
      </c>
      <c r="O3163" s="720">
        <f t="shared" si="124"/>
        <v>0</v>
      </c>
    </row>
    <row r="3164" spans="1:15" x14ac:dyDescent="0.25">
      <c r="A3164" s="207" t="e">
        <f>VLOOKUP(RIGHT(E3164,3)+0,SchLocTable!$A$2:$B$47,2,FALSE)</f>
        <v>#N/A</v>
      </c>
      <c r="B3164" s="207" t="str">
        <f>VLOOKUP(VALUE(D3164),$D$3:F$106,3,FALSE)</f>
        <v>Stockroom</v>
      </c>
      <c r="C3164" s="751" t="s">
        <v>246</v>
      </c>
      <c r="D3164" s="751" t="s">
        <v>917</v>
      </c>
      <c r="E3164" s="751" t="s">
        <v>918</v>
      </c>
      <c r="F3164" s="751" t="s">
        <v>259</v>
      </c>
      <c r="G3164" s="752" t="s">
        <v>1681</v>
      </c>
      <c r="H3164" s="753">
        <v>52917</v>
      </c>
      <c r="I3164" s="754">
        <v>55771.519999999997</v>
      </c>
      <c r="J3164" s="754">
        <v>0</v>
      </c>
      <c r="K3164" s="754">
        <v>0</v>
      </c>
      <c r="L3164" s="754">
        <v>17094.72</v>
      </c>
      <c r="M3164" s="754">
        <f t="shared" si="123"/>
        <v>17094.72</v>
      </c>
      <c r="N3164" s="756">
        <v>55771.519999999997</v>
      </c>
      <c r="O3164" s="720">
        <f t="shared" si="124"/>
        <v>0</v>
      </c>
    </row>
    <row r="3165" spans="1:15" x14ac:dyDescent="0.25">
      <c r="A3165" s="207" t="e">
        <f>VLOOKUP(RIGHT(E3165,3)+0,SchLocTable!$A$2:$B$47,2,FALSE)</f>
        <v>#N/A</v>
      </c>
      <c r="B3165" s="207" t="str">
        <f>VLOOKUP(VALUE(D3165),$D$3:F$106,3,FALSE)</f>
        <v>Technology</v>
      </c>
      <c r="C3165" s="755" t="s">
        <v>246</v>
      </c>
      <c r="D3165" s="751" t="s">
        <v>920</v>
      </c>
      <c r="E3165" s="751" t="s">
        <v>921</v>
      </c>
      <c r="F3165" s="751" t="s">
        <v>248</v>
      </c>
      <c r="G3165" s="752">
        <v>14</v>
      </c>
      <c r="H3165" s="753">
        <v>51000</v>
      </c>
      <c r="I3165" s="754">
        <v>1038018.14</v>
      </c>
      <c r="J3165" s="754">
        <v>0</v>
      </c>
      <c r="K3165" s="754">
        <v>0</v>
      </c>
      <c r="L3165" s="754">
        <v>285821.53999999998</v>
      </c>
      <c r="M3165" s="754">
        <f t="shared" si="123"/>
        <v>285821.53999999998</v>
      </c>
      <c r="N3165" s="756">
        <v>1038018.14</v>
      </c>
      <c r="O3165" s="720">
        <f t="shared" si="124"/>
        <v>0</v>
      </c>
    </row>
    <row r="3166" spans="1:15" x14ac:dyDescent="0.25">
      <c r="A3166" s="207" t="e">
        <f>VLOOKUP(RIGHT(E3166,3)+0,SchLocTable!$A$2:$B$47,2,FALSE)</f>
        <v>#N/A</v>
      </c>
      <c r="B3166" s="207" t="str">
        <f>VLOOKUP(VALUE(D3166),$D$3:F$106,3,FALSE)</f>
        <v>Technology</v>
      </c>
      <c r="C3166" s="751" t="s">
        <v>246</v>
      </c>
      <c r="D3166" s="751" t="s">
        <v>920</v>
      </c>
      <c r="E3166" s="751" t="s">
        <v>921</v>
      </c>
      <c r="F3166" s="751" t="s">
        <v>250</v>
      </c>
      <c r="G3166" s="752" t="s">
        <v>1681</v>
      </c>
      <c r="H3166" s="753">
        <v>51100</v>
      </c>
      <c r="I3166" s="754">
        <v>0</v>
      </c>
      <c r="J3166" s="754">
        <v>0</v>
      </c>
      <c r="K3166" s="754">
        <v>0</v>
      </c>
      <c r="L3166" s="754">
        <v>0</v>
      </c>
      <c r="M3166" s="754">
        <f t="shared" si="123"/>
        <v>0</v>
      </c>
      <c r="N3166" s="756">
        <v>0</v>
      </c>
      <c r="O3166" s="720">
        <f t="shared" si="124"/>
        <v>0</v>
      </c>
    </row>
    <row r="3167" spans="1:15" x14ac:dyDescent="0.25">
      <c r="A3167" s="207" t="e">
        <f>VLOOKUP(RIGHT(E3167,3)+0,SchLocTable!$A$2:$B$47,2,FALSE)</f>
        <v>#N/A</v>
      </c>
      <c r="B3167" s="207" t="str">
        <f>VLOOKUP(VALUE(D3167),$D$3:F$106,3,FALSE)</f>
        <v>Technology</v>
      </c>
      <c r="C3167" s="751" t="s">
        <v>246</v>
      </c>
      <c r="D3167" s="751" t="s">
        <v>920</v>
      </c>
      <c r="E3167" s="751" t="s">
        <v>921</v>
      </c>
      <c r="F3167" s="751" t="s">
        <v>378</v>
      </c>
      <c r="G3167" s="752" t="s">
        <v>1681</v>
      </c>
      <c r="H3167" s="753">
        <v>51108</v>
      </c>
      <c r="I3167" s="754">
        <v>79409.38</v>
      </c>
      <c r="J3167" s="754">
        <v>0</v>
      </c>
      <c r="K3167" s="754">
        <v>0</v>
      </c>
      <c r="L3167" s="754">
        <v>11315.89</v>
      </c>
      <c r="M3167" s="754">
        <f t="shared" si="123"/>
        <v>11315.89</v>
      </c>
      <c r="N3167" s="756">
        <v>79409.38</v>
      </c>
      <c r="O3167" s="720">
        <f t="shared" si="124"/>
        <v>0</v>
      </c>
    </row>
    <row r="3168" spans="1:15" x14ac:dyDescent="0.25">
      <c r="A3168" s="207" t="e">
        <f>VLOOKUP(RIGHT(E3168,3)+0,SchLocTable!$A$2:$B$47,2,FALSE)</f>
        <v>#N/A</v>
      </c>
      <c r="B3168" s="207" t="str">
        <f>VLOOKUP(VALUE(D3168),$D$3:F$106,3,FALSE)</f>
        <v>Technology</v>
      </c>
      <c r="C3168" s="751" t="s">
        <v>246</v>
      </c>
      <c r="D3168" s="751" t="s">
        <v>920</v>
      </c>
      <c r="E3168" s="751" t="s">
        <v>921</v>
      </c>
      <c r="F3168" s="751" t="s">
        <v>257</v>
      </c>
      <c r="G3168" s="752" t="s">
        <v>1681</v>
      </c>
      <c r="H3168" s="753">
        <v>51140</v>
      </c>
      <c r="I3168" s="754">
        <v>3080</v>
      </c>
      <c r="J3168" s="754">
        <v>0</v>
      </c>
      <c r="K3168" s="754">
        <v>0</v>
      </c>
      <c r="L3168" s="754">
        <v>0</v>
      </c>
      <c r="M3168" s="754">
        <f t="shared" si="123"/>
        <v>0</v>
      </c>
      <c r="N3168" s="756">
        <v>3080</v>
      </c>
      <c r="O3168" s="720">
        <f t="shared" si="124"/>
        <v>0</v>
      </c>
    </row>
    <row r="3169" spans="1:15" x14ac:dyDescent="0.25">
      <c r="A3169" s="207" t="e">
        <f>VLOOKUP(RIGHT(E3169,3)+0,SchLocTable!$A$2:$B$47,2,FALSE)</f>
        <v>#N/A</v>
      </c>
      <c r="B3169" s="207" t="str">
        <f>VLOOKUP(VALUE(D3169),$D$3:F$106,3,FALSE)</f>
        <v>Technology</v>
      </c>
      <c r="C3169" s="751" t="s">
        <v>246</v>
      </c>
      <c r="D3169" s="751" t="s">
        <v>920</v>
      </c>
      <c r="E3169" s="751" t="s">
        <v>921</v>
      </c>
      <c r="F3169" s="751" t="s">
        <v>797</v>
      </c>
      <c r="G3169" s="752" t="s">
        <v>1681</v>
      </c>
      <c r="H3169" s="753">
        <v>51156</v>
      </c>
      <c r="I3169" s="754">
        <v>0</v>
      </c>
      <c r="J3169" s="754">
        <v>0</v>
      </c>
      <c r="K3169" s="754">
        <v>0</v>
      </c>
      <c r="L3169" s="754">
        <v>0</v>
      </c>
      <c r="M3169" s="754">
        <f t="shared" si="123"/>
        <v>0</v>
      </c>
      <c r="N3169" s="756">
        <v>0</v>
      </c>
      <c r="O3169" s="720">
        <f t="shared" si="124"/>
        <v>0</v>
      </c>
    </row>
    <row r="3170" spans="1:15" x14ac:dyDescent="0.25">
      <c r="A3170" s="207" t="e">
        <f>VLOOKUP(RIGHT(E3170,3)+0,SchLocTable!$A$2:$B$47,2,FALSE)</f>
        <v>#N/A</v>
      </c>
      <c r="B3170" s="207" t="str">
        <f>VLOOKUP(VALUE(D3170),$D$3:F$106,3,FALSE)</f>
        <v>Technology</v>
      </c>
      <c r="C3170" s="751" t="s">
        <v>246</v>
      </c>
      <c r="D3170" s="751" t="s">
        <v>920</v>
      </c>
      <c r="E3170" s="751" t="s">
        <v>921</v>
      </c>
      <c r="F3170" s="751" t="s">
        <v>326</v>
      </c>
      <c r="G3170" s="752" t="s">
        <v>1681</v>
      </c>
      <c r="H3170" s="753">
        <v>51314</v>
      </c>
      <c r="I3170" s="754">
        <v>0</v>
      </c>
      <c r="J3170" s="754">
        <v>0</v>
      </c>
      <c r="K3170" s="754">
        <v>0</v>
      </c>
      <c r="L3170" s="754">
        <v>0</v>
      </c>
      <c r="M3170" s="754">
        <f t="shared" si="123"/>
        <v>0</v>
      </c>
      <c r="N3170" s="756">
        <v>0</v>
      </c>
      <c r="O3170" s="720">
        <f t="shared" si="124"/>
        <v>0</v>
      </c>
    </row>
    <row r="3171" spans="1:15" x14ac:dyDescent="0.25">
      <c r="A3171" s="207" t="e">
        <f>VLOOKUP(RIGHT(E3171,3)+0,SchLocTable!$A$2:$B$47,2,FALSE)</f>
        <v>#N/A</v>
      </c>
      <c r="B3171" s="207" t="str">
        <f>VLOOKUP(VALUE(D3171),$D$3:F$106,3,FALSE)</f>
        <v>Technology</v>
      </c>
      <c r="C3171" s="751" t="s">
        <v>246</v>
      </c>
      <c r="D3171" s="751" t="s">
        <v>920</v>
      </c>
      <c r="E3171" s="751" t="s">
        <v>921</v>
      </c>
      <c r="F3171" s="751" t="s">
        <v>454</v>
      </c>
      <c r="G3171" s="752" t="s">
        <v>1681</v>
      </c>
      <c r="H3171" s="753">
        <v>51404</v>
      </c>
      <c r="I3171" s="754">
        <v>3000</v>
      </c>
      <c r="J3171" s="754">
        <v>0</v>
      </c>
      <c r="K3171" s="754">
        <v>0</v>
      </c>
      <c r="L3171" s="754">
        <v>3000</v>
      </c>
      <c r="M3171" s="754">
        <f t="shared" si="123"/>
        <v>3000</v>
      </c>
      <c r="N3171" s="756">
        <v>3000</v>
      </c>
      <c r="O3171" s="720">
        <f t="shared" si="124"/>
        <v>0</v>
      </c>
    </row>
    <row r="3172" spans="1:15" x14ac:dyDescent="0.25">
      <c r="A3172" s="207" t="e">
        <f>VLOOKUP(RIGHT(E3172,3)+0,SchLocTable!$A$2:$B$47,2,FALSE)</f>
        <v>#N/A</v>
      </c>
      <c r="B3172" s="207" t="str">
        <f>VLOOKUP(VALUE(D3172),$D$3:F$106,3,FALSE)</f>
        <v>Technology</v>
      </c>
      <c r="C3172" s="751" t="s">
        <v>246</v>
      </c>
      <c r="D3172" s="751" t="s">
        <v>920</v>
      </c>
      <c r="E3172" s="751" t="s">
        <v>921</v>
      </c>
      <c r="F3172" s="751" t="s">
        <v>254</v>
      </c>
      <c r="G3172" s="752" t="s">
        <v>1681</v>
      </c>
      <c r="H3172" s="753">
        <v>52360</v>
      </c>
      <c r="I3172" s="754">
        <v>15915.6</v>
      </c>
      <c r="J3172" s="754">
        <v>0</v>
      </c>
      <c r="K3172" s="754">
        <v>0</v>
      </c>
      <c r="L3172" s="754">
        <v>4021.39</v>
      </c>
      <c r="M3172" s="754">
        <f t="shared" si="123"/>
        <v>4021.39</v>
      </c>
      <c r="N3172" s="756">
        <v>15915.6</v>
      </c>
      <c r="O3172" s="720">
        <f t="shared" si="124"/>
        <v>0</v>
      </c>
    </row>
    <row r="3173" spans="1:15" x14ac:dyDescent="0.25">
      <c r="A3173" s="207" t="e">
        <f>VLOOKUP(RIGHT(E3173,3)+0,SchLocTable!$A$2:$B$47,2,FALSE)</f>
        <v>#N/A</v>
      </c>
      <c r="B3173" s="207" t="str">
        <f>VLOOKUP(VALUE(D3173),$D$3:F$106,3,FALSE)</f>
        <v>Technology</v>
      </c>
      <c r="C3173" s="751" t="s">
        <v>246</v>
      </c>
      <c r="D3173" s="751" t="s">
        <v>920</v>
      </c>
      <c r="E3173" s="751" t="s">
        <v>921</v>
      </c>
      <c r="F3173" s="751" t="s">
        <v>292</v>
      </c>
      <c r="G3173" s="752" t="s">
        <v>1681</v>
      </c>
      <c r="H3173" s="753">
        <v>52385</v>
      </c>
      <c r="I3173" s="754">
        <v>16444.37</v>
      </c>
      <c r="J3173" s="754">
        <v>0</v>
      </c>
      <c r="K3173" s="754">
        <v>0</v>
      </c>
      <c r="L3173" s="754">
        <v>3305.94</v>
      </c>
      <c r="M3173" s="754">
        <f t="shared" si="123"/>
        <v>3305.94</v>
      </c>
      <c r="N3173" s="756">
        <v>16444.37</v>
      </c>
      <c r="O3173" s="720">
        <f t="shared" si="124"/>
        <v>0</v>
      </c>
    </row>
    <row r="3174" spans="1:15" x14ac:dyDescent="0.25">
      <c r="A3174" s="207" t="e">
        <f>VLOOKUP(RIGHT(E3174,3)+0,SchLocTable!$A$2:$B$47,2,FALSE)</f>
        <v>#N/A</v>
      </c>
      <c r="B3174" s="207" t="str">
        <f>VLOOKUP(VALUE(D3174),$D$3:F$106,3,FALSE)</f>
        <v>Technology</v>
      </c>
      <c r="C3174" s="751" t="s">
        <v>246</v>
      </c>
      <c r="D3174" s="751" t="s">
        <v>920</v>
      </c>
      <c r="E3174" s="751" t="s">
        <v>921</v>
      </c>
      <c r="F3174" s="751" t="s">
        <v>806</v>
      </c>
      <c r="G3174" s="752" t="s">
        <v>1681</v>
      </c>
      <c r="H3174" s="753">
        <v>52397</v>
      </c>
      <c r="I3174" s="754">
        <v>0</v>
      </c>
      <c r="J3174" s="754">
        <v>0</v>
      </c>
      <c r="K3174" s="754">
        <v>0</v>
      </c>
      <c r="L3174" s="754">
        <v>0</v>
      </c>
      <c r="M3174" s="754">
        <f t="shared" si="123"/>
        <v>0</v>
      </c>
      <c r="N3174" s="756">
        <v>0</v>
      </c>
      <c r="O3174" s="720">
        <f t="shared" si="124"/>
        <v>0</v>
      </c>
    </row>
    <row r="3175" spans="1:15" x14ac:dyDescent="0.25">
      <c r="A3175" s="207" t="e">
        <f>VLOOKUP(RIGHT(E3175,3)+0,SchLocTable!$A$2:$B$47,2,FALSE)</f>
        <v>#N/A</v>
      </c>
      <c r="B3175" s="207" t="str">
        <f>VLOOKUP(VALUE(D3175),$D$3:F$106,3,FALSE)</f>
        <v>Technology</v>
      </c>
      <c r="C3175" s="751" t="s">
        <v>246</v>
      </c>
      <c r="D3175" s="751" t="s">
        <v>920</v>
      </c>
      <c r="E3175" s="751" t="s">
        <v>921</v>
      </c>
      <c r="F3175" s="751" t="s">
        <v>331</v>
      </c>
      <c r="G3175" s="752" t="s">
        <v>1681</v>
      </c>
      <c r="H3175" s="753">
        <v>52504</v>
      </c>
      <c r="I3175" s="754">
        <v>218555.97</v>
      </c>
      <c r="J3175" s="754">
        <v>0</v>
      </c>
      <c r="K3175" s="754">
        <v>0</v>
      </c>
      <c r="L3175" s="754">
        <v>49658.239999999998</v>
      </c>
      <c r="M3175" s="754">
        <f t="shared" si="123"/>
        <v>49658.239999999998</v>
      </c>
      <c r="N3175" s="756">
        <v>218555.97</v>
      </c>
      <c r="O3175" s="720">
        <f t="shared" si="124"/>
        <v>0</v>
      </c>
    </row>
    <row r="3176" spans="1:15" x14ac:dyDescent="0.25">
      <c r="A3176" s="207" t="e">
        <f>VLOOKUP(RIGHT(E3176,3)+0,SchLocTable!$A$2:$B$47,2,FALSE)</f>
        <v>#N/A</v>
      </c>
      <c r="B3176" s="207" t="str">
        <f>VLOOKUP(VALUE(D3176),$D$3:F$106,3,FALSE)</f>
        <v>Technology</v>
      </c>
      <c r="C3176" s="751" t="s">
        <v>246</v>
      </c>
      <c r="D3176" s="751" t="s">
        <v>920</v>
      </c>
      <c r="E3176" s="751" t="s">
        <v>921</v>
      </c>
      <c r="F3176" s="751" t="s">
        <v>259</v>
      </c>
      <c r="G3176" s="752" t="s">
        <v>1681</v>
      </c>
      <c r="H3176" s="753">
        <v>52917</v>
      </c>
      <c r="I3176" s="754">
        <v>171537.53</v>
      </c>
      <c r="J3176" s="754">
        <v>0</v>
      </c>
      <c r="K3176" s="754">
        <v>0</v>
      </c>
      <c r="L3176" s="754">
        <v>46975.5</v>
      </c>
      <c r="M3176" s="754">
        <f t="shared" si="123"/>
        <v>46975.5</v>
      </c>
      <c r="N3176" s="756">
        <v>171537.53</v>
      </c>
      <c r="O3176" s="720">
        <f t="shared" si="124"/>
        <v>0</v>
      </c>
    </row>
    <row r="3177" spans="1:15" x14ac:dyDescent="0.25">
      <c r="A3177" s="207" t="e">
        <f>VLOOKUP(RIGHT(E3177,3)+0,SchLocTable!$A$2:$B$47,2,FALSE)</f>
        <v>#N/A</v>
      </c>
      <c r="B3177" s="207" t="str">
        <f>VLOOKUP(VALUE(D3177),$D$3:F$106,3,FALSE)</f>
        <v>Technology</v>
      </c>
      <c r="C3177" s="751" t="s">
        <v>246</v>
      </c>
      <c r="D3177" s="751" t="s">
        <v>920</v>
      </c>
      <c r="E3177" s="751" t="s">
        <v>921</v>
      </c>
      <c r="F3177" s="751" t="s">
        <v>333</v>
      </c>
      <c r="G3177" s="752" t="s">
        <v>1681</v>
      </c>
      <c r="H3177" s="753">
        <v>52920</v>
      </c>
      <c r="I3177" s="754">
        <v>958.35</v>
      </c>
      <c r="J3177" s="754">
        <v>0</v>
      </c>
      <c r="K3177" s="754">
        <v>0</v>
      </c>
      <c r="L3177" s="754">
        <v>0</v>
      </c>
      <c r="M3177" s="754">
        <f t="shared" si="123"/>
        <v>0</v>
      </c>
      <c r="N3177" s="756">
        <v>958.35</v>
      </c>
      <c r="O3177" s="720">
        <f t="shared" si="124"/>
        <v>0</v>
      </c>
    </row>
    <row r="3178" spans="1:15" x14ac:dyDescent="0.25">
      <c r="A3178" s="207" t="e">
        <f>VLOOKUP(RIGHT(E3178,3)+0,SchLocTable!$A$2:$B$47,2,FALSE)</f>
        <v>#N/A</v>
      </c>
      <c r="B3178" s="207" t="str">
        <f>VLOOKUP(VALUE(D3178),$D$3:F$106,3,FALSE)</f>
        <v>Technology</v>
      </c>
      <c r="C3178" s="751" t="s">
        <v>246</v>
      </c>
      <c r="D3178" s="751" t="s">
        <v>920</v>
      </c>
      <c r="E3178" s="751" t="s">
        <v>921</v>
      </c>
      <c r="F3178" s="751" t="s">
        <v>922</v>
      </c>
      <c r="G3178" s="752" t="s">
        <v>1681</v>
      </c>
      <c r="H3178" s="753">
        <v>53720</v>
      </c>
      <c r="I3178" s="754">
        <v>435000</v>
      </c>
      <c r="J3178" s="754">
        <v>238016.05</v>
      </c>
      <c r="K3178" s="754">
        <v>0</v>
      </c>
      <c r="L3178" s="754">
        <v>107739.52</v>
      </c>
      <c r="M3178" s="754">
        <f t="shared" si="123"/>
        <v>345755.57</v>
      </c>
      <c r="N3178" s="756">
        <v>435000</v>
      </c>
      <c r="O3178" s="720">
        <f t="shared" si="124"/>
        <v>0</v>
      </c>
    </row>
    <row r="3179" spans="1:15" x14ac:dyDescent="0.25">
      <c r="A3179" s="207" t="e">
        <f>VLOOKUP(RIGHT(E3179,3)+0,SchLocTable!$A$2:$B$47,2,FALSE)</f>
        <v>#N/A</v>
      </c>
      <c r="B3179" s="207" t="str">
        <f>VLOOKUP(VALUE(D3179),$D$3:F$106,3,FALSE)</f>
        <v>Technology</v>
      </c>
      <c r="C3179" s="751" t="s">
        <v>246</v>
      </c>
      <c r="D3179" s="751" t="s">
        <v>920</v>
      </c>
      <c r="E3179" s="751" t="s">
        <v>921</v>
      </c>
      <c r="F3179" s="751" t="s">
        <v>907</v>
      </c>
      <c r="G3179" s="752" t="s">
        <v>1681</v>
      </c>
      <c r="H3179" s="753">
        <v>54550</v>
      </c>
      <c r="I3179" s="754">
        <v>327625</v>
      </c>
      <c r="J3179" s="754">
        <v>0</v>
      </c>
      <c r="K3179" s="754">
        <v>0</v>
      </c>
      <c r="L3179" s="754">
        <v>0</v>
      </c>
      <c r="M3179" s="754">
        <f t="shared" si="123"/>
        <v>0</v>
      </c>
      <c r="N3179" s="756">
        <v>327625</v>
      </c>
      <c r="O3179" s="720">
        <f t="shared" si="124"/>
        <v>0</v>
      </c>
    </row>
    <row r="3180" spans="1:15" x14ac:dyDescent="0.25">
      <c r="A3180" s="207" t="e">
        <f>VLOOKUP(RIGHT(E3180,3)+0,SchLocTable!$A$2:$B$47,2,FALSE)</f>
        <v>#N/A</v>
      </c>
      <c r="B3180" s="207" t="str">
        <f>VLOOKUP(VALUE(D3180),$D$3:F$106,3,FALSE)</f>
        <v>Technology</v>
      </c>
      <c r="C3180" s="751" t="s">
        <v>246</v>
      </c>
      <c r="D3180" s="751" t="s">
        <v>920</v>
      </c>
      <c r="E3180" s="751" t="s">
        <v>921</v>
      </c>
      <c r="F3180" s="751" t="s">
        <v>758</v>
      </c>
      <c r="G3180" s="752" t="s">
        <v>1681</v>
      </c>
      <c r="H3180" s="753">
        <v>54555</v>
      </c>
      <c r="I3180" s="754">
        <v>22666.75</v>
      </c>
      <c r="J3180" s="754">
        <v>12145.04</v>
      </c>
      <c r="K3180" s="754">
        <v>0</v>
      </c>
      <c r="L3180" s="754">
        <v>8121.71</v>
      </c>
      <c r="M3180" s="754">
        <f t="shared" si="123"/>
        <v>20266.75</v>
      </c>
      <c r="N3180" s="756">
        <v>22666.75</v>
      </c>
      <c r="O3180" s="720">
        <f t="shared" si="124"/>
        <v>0</v>
      </c>
    </row>
    <row r="3181" spans="1:15" x14ac:dyDescent="0.25">
      <c r="A3181" s="207" t="e">
        <f>VLOOKUP(RIGHT(E3181,3)+0,SchLocTable!$A$2:$B$47,2,FALSE)</f>
        <v>#N/A</v>
      </c>
      <c r="B3181" s="207" t="str">
        <f>VLOOKUP(VALUE(D3181),$D$3:F$106,3,FALSE)</f>
        <v>Technology</v>
      </c>
      <c r="C3181" s="751" t="s">
        <v>246</v>
      </c>
      <c r="D3181" s="751" t="s">
        <v>920</v>
      </c>
      <c r="E3181" s="751" t="s">
        <v>921</v>
      </c>
      <c r="F3181" s="751" t="s">
        <v>923</v>
      </c>
      <c r="G3181" s="752" t="s">
        <v>1681</v>
      </c>
      <c r="H3181" s="753">
        <v>54560</v>
      </c>
      <c r="I3181" s="754">
        <v>35700</v>
      </c>
      <c r="J3181" s="754">
        <v>9959.24</v>
      </c>
      <c r="K3181" s="754">
        <v>0</v>
      </c>
      <c r="L3181" s="754">
        <v>40.76</v>
      </c>
      <c r="M3181" s="754">
        <f t="shared" si="123"/>
        <v>10000</v>
      </c>
      <c r="N3181" s="756">
        <v>35700</v>
      </c>
      <c r="O3181" s="720">
        <f t="shared" si="124"/>
        <v>0</v>
      </c>
    </row>
    <row r="3182" spans="1:15" x14ac:dyDescent="0.25">
      <c r="A3182" s="207" t="e">
        <f>VLOOKUP(RIGHT(E3182,3)+0,SchLocTable!$A$2:$B$47,2,FALSE)</f>
        <v>#N/A</v>
      </c>
      <c r="B3182" s="207" t="str">
        <f>VLOOKUP(VALUE(D3182),$D$3:F$106,3,FALSE)</f>
        <v>Technology</v>
      </c>
      <c r="C3182" s="751" t="s">
        <v>246</v>
      </c>
      <c r="D3182" s="751" t="s">
        <v>920</v>
      </c>
      <c r="E3182" s="751" t="s">
        <v>921</v>
      </c>
      <c r="F3182" s="751" t="s">
        <v>2018</v>
      </c>
      <c r="G3182" s="752" t="s">
        <v>1681</v>
      </c>
      <c r="H3182" s="753">
        <v>54570</v>
      </c>
      <c r="I3182" s="754">
        <v>1000</v>
      </c>
      <c r="J3182" s="754">
        <v>0</v>
      </c>
      <c r="K3182" s="754">
        <v>0</v>
      </c>
      <c r="L3182" s="754">
        <v>0</v>
      </c>
      <c r="M3182" s="754">
        <f t="shared" si="123"/>
        <v>0</v>
      </c>
      <c r="N3182" s="756">
        <v>1000</v>
      </c>
      <c r="O3182" s="720">
        <f t="shared" si="124"/>
        <v>0</v>
      </c>
    </row>
    <row r="3183" spans="1:15" x14ac:dyDescent="0.25">
      <c r="A3183" s="207" t="e">
        <f>VLOOKUP(RIGHT(E3183,3)+0,SchLocTable!$A$2:$B$47,2,FALSE)</f>
        <v>#N/A</v>
      </c>
      <c r="B3183" s="207" t="str">
        <f>VLOOKUP(VALUE(D3183),$D$3:F$106,3,FALSE)</f>
        <v>Technology</v>
      </c>
      <c r="C3183" s="751" t="s">
        <v>246</v>
      </c>
      <c r="D3183" s="751" t="s">
        <v>920</v>
      </c>
      <c r="E3183" s="751" t="s">
        <v>921</v>
      </c>
      <c r="F3183" s="751" t="s">
        <v>372</v>
      </c>
      <c r="G3183" s="752" t="s">
        <v>1681</v>
      </c>
      <c r="H3183" s="753">
        <v>54675</v>
      </c>
      <c r="I3183" s="754">
        <v>5700</v>
      </c>
      <c r="J3183" s="754">
        <v>71.760000000000005</v>
      </c>
      <c r="K3183" s="754">
        <v>0</v>
      </c>
      <c r="L3183" s="754">
        <v>479.55</v>
      </c>
      <c r="M3183" s="754">
        <f t="shared" si="123"/>
        <v>551.31000000000006</v>
      </c>
      <c r="N3183" s="756">
        <v>5700</v>
      </c>
      <c r="O3183" s="720">
        <f t="shared" si="124"/>
        <v>0</v>
      </c>
    </row>
    <row r="3184" spans="1:15" x14ac:dyDescent="0.25">
      <c r="A3184" s="207" t="e">
        <f>VLOOKUP(RIGHT(E3184,3)+0,SchLocTable!$A$2:$B$47,2,FALSE)</f>
        <v>#N/A</v>
      </c>
      <c r="B3184" s="207" t="str">
        <f>VLOOKUP(VALUE(D3184),$D$3:F$106,3,FALSE)</f>
        <v>Technology</v>
      </c>
      <c r="C3184" s="751" t="s">
        <v>246</v>
      </c>
      <c r="D3184" s="751" t="s">
        <v>920</v>
      </c>
      <c r="E3184" s="751" t="s">
        <v>921</v>
      </c>
      <c r="F3184" s="751" t="s">
        <v>924</v>
      </c>
      <c r="G3184" s="752" t="s">
        <v>1681</v>
      </c>
      <c r="H3184" s="753">
        <v>55055</v>
      </c>
      <c r="I3184" s="754">
        <v>5935</v>
      </c>
      <c r="J3184" s="754">
        <v>0</v>
      </c>
      <c r="K3184" s="754">
        <v>0</v>
      </c>
      <c r="L3184" s="754">
        <v>0</v>
      </c>
      <c r="M3184" s="754">
        <f t="shared" si="123"/>
        <v>0</v>
      </c>
      <c r="N3184" s="756">
        <v>5935</v>
      </c>
      <c r="O3184" s="720">
        <f t="shared" si="124"/>
        <v>0</v>
      </c>
    </row>
    <row r="3185" spans="1:15" x14ac:dyDescent="0.25">
      <c r="A3185" s="207" t="e">
        <f>VLOOKUP(RIGHT(E3185,3)+0,SchLocTable!$A$2:$B$47,2,FALSE)</f>
        <v>#N/A</v>
      </c>
      <c r="B3185" s="207" t="str">
        <f>VLOOKUP(VALUE(D3185),$D$3:F$106,3,FALSE)</f>
        <v>Technology</v>
      </c>
      <c r="C3185" s="751" t="s">
        <v>246</v>
      </c>
      <c r="D3185" s="755" t="s">
        <v>920</v>
      </c>
      <c r="E3185" s="751" t="s">
        <v>921</v>
      </c>
      <c r="F3185" s="751" t="s">
        <v>382</v>
      </c>
      <c r="G3185" s="752" t="s">
        <v>1681</v>
      </c>
      <c r="H3185" s="753">
        <v>56180</v>
      </c>
      <c r="I3185" s="754">
        <v>1843070.25</v>
      </c>
      <c r="J3185" s="754">
        <v>5859.9</v>
      </c>
      <c r="K3185" s="754">
        <v>0</v>
      </c>
      <c r="L3185" s="754">
        <v>13455.75</v>
      </c>
      <c r="M3185" s="754">
        <f t="shared" si="123"/>
        <v>19315.650000000001</v>
      </c>
      <c r="N3185" s="756">
        <v>728220.25</v>
      </c>
      <c r="O3185" s="720">
        <f t="shared" si="124"/>
        <v>1114850</v>
      </c>
    </row>
    <row r="3186" spans="1:15" x14ac:dyDescent="0.25">
      <c r="A3186" s="207" t="e">
        <f>VLOOKUP(RIGHT(E3186,3)+0,SchLocTable!$A$2:$B$47,2,FALSE)</f>
        <v>#N/A</v>
      </c>
      <c r="B3186" s="207" t="str">
        <f>VLOOKUP(VALUE(D3186),$D$3:F$106,3,FALSE)</f>
        <v>Technology</v>
      </c>
      <c r="C3186" s="751" t="s">
        <v>246</v>
      </c>
      <c r="D3186" s="751" t="s">
        <v>920</v>
      </c>
      <c r="E3186" s="751" t="s">
        <v>921</v>
      </c>
      <c r="F3186" s="751" t="s">
        <v>926</v>
      </c>
      <c r="G3186" s="752" t="s">
        <v>1681</v>
      </c>
      <c r="H3186" s="753">
        <v>59005</v>
      </c>
      <c r="I3186" s="754">
        <v>10000</v>
      </c>
      <c r="J3186" s="754">
        <v>0</v>
      </c>
      <c r="K3186" s="754">
        <v>0</v>
      </c>
      <c r="L3186" s="754">
        <v>0</v>
      </c>
      <c r="M3186" s="754">
        <f t="shared" si="123"/>
        <v>0</v>
      </c>
      <c r="N3186" s="756">
        <v>10000</v>
      </c>
      <c r="O3186" s="720">
        <f t="shared" si="124"/>
        <v>0</v>
      </c>
    </row>
    <row r="3187" spans="1:15" x14ac:dyDescent="0.25">
      <c r="A3187" s="207" t="e">
        <f>VLOOKUP(RIGHT(E3187,3)+0,SchLocTable!$A$2:$B$47,2,FALSE)</f>
        <v>#N/A</v>
      </c>
      <c r="B3187" s="207" t="str">
        <f>VLOOKUP(VALUE(D3187),$D$3:F$106,3,FALSE)</f>
        <v>Technology</v>
      </c>
      <c r="C3187" s="751" t="s">
        <v>246</v>
      </c>
      <c r="D3187" s="751" t="s">
        <v>920</v>
      </c>
      <c r="E3187" s="751" t="s">
        <v>921</v>
      </c>
      <c r="F3187" s="751" t="s">
        <v>374</v>
      </c>
      <c r="G3187" s="752" t="s">
        <v>1681</v>
      </c>
      <c r="H3187" s="753">
        <v>59015</v>
      </c>
      <c r="I3187" s="754">
        <v>200</v>
      </c>
      <c r="J3187" s="754">
        <v>0</v>
      </c>
      <c r="K3187" s="754">
        <v>0</v>
      </c>
      <c r="L3187" s="754">
        <v>0</v>
      </c>
      <c r="M3187" s="754">
        <f t="shared" si="123"/>
        <v>0</v>
      </c>
      <c r="N3187" s="756">
        <v>200</v>
      </c>
      <c r="O3187" s="720">
        <f t="shared" si="124"/>
        <v>0</v>
      </c>
    </row>
    <row r="3188" spans="1:15" x14ac:dyDescent="0.25">
      <c r="A3188" s="207" t="e">
        <f>VLOOKUP(RIGHT(E3188,3)+0,SchLocTable!$A$2:$B$47,2,FALSE)</f>
        <v>#N/A</v>
      </c>
      <c r="B3188" s="207" t="str">
        <f>VLOOKUP(VALUE(D3188),$D$3:F$106,3,FALSE)</f>
        <v>Transportation Office</v>
      </c>
      <c r="C3188" s="751" t="s">
        <v>246</v>
      </c>
      <c r="D3188" s="751" t="s">
        <v>928</v>
      </c>
      <c r="E3188" s="751" t="s">
        <v>929</v>
      </c>
      <c r="F3188" s="751" t="s">
        <v>248</v>
      </c>
      <c r="G3188" s="752">
        <v>1</v>
      </c>
      <c r="H3188" s="753">
        <v>51000</v>
      </c>
      <c r="I3188" s="754">
        <v>49721.73</v>
      </c>
      <c r="J3188" s="754">
        <v>0</v>
      </c>
      <c r="K3188" s="754">
        <v>0</v>
      </c>
      <c r="L3188" s="754">
        <v>15016</v>
      </c>
      <c r="M3188" s="754">
        <f t="shared" si="123"/>
        <v>15016</v>
      </c>
      <c r="N3188" s="756">
        <v>49721.73</v>
      </c>
      <c r="O3188" s="720">
        <f t="shared" si="124"/>
        <v>0</v>
      </c>
    </row>
    <row r="3189" spans="1:15" x14ac:dyDescent="0.25">
      <c r="A3189" s="207" t="e">
        <f>VLOOKUP(RIGHT(E3189,3)+0,SchLocTable!$A$2:$B$47,2,FALSE)</f>
        <v>#N/A</v>
      </c>
      <c r="B3189" s="207" t="str">
        <f>VLOOKUP(VALUE(D3189),$D$3:F$106,3,FALSE)</f>
        <v>Transportation Office</v>
      </c>
      <c r="C3189" s="751" t="s">
        <v>246</v>
      </c>
      <c r="D3189" s="751" t="s">
        <v>928</v>
      </c>
      <c r="E3189" s="751" t="s">
        <v>929</v>
      </c>
      <c r="F3189" s="751" t="s">
        <v>257</v>
      </c>
      <c r="G3189" s="752" t="s">
        <v>1681</v>
      </c>
      <c r="H3189" s="751">
        <v>51140</v>
      </c>
      <c r="I3189" s="754">
        <v>0</v>
      </c>
      <c r="J3189" s="754">
        <v>0</v>
      </c>
      <c r="K3189" s="754">
        <v>0</v>
      </c>
      <c r="L3189" s="754">
        <v>0</v>
      </c>
      <c r="M3189" s="754">
        <f t="shared" si="123"/>
        <v>0</v>
      </c>
      <c r="N3189" s="756">
        <v>0</v>
      </c>
      <c r="O3189" s="720">
        <f t="shared" si="124"/>
        <v>0</v>
      </c>
    </row>
    <row r="3190" spans="1:15" x14ac:dyDescent="0.25">
      <c r="A3190" s="207" t="e">
        <f>VLOOKUP(RIGHT(E3190,3)+0,SchLocTable!$A$2:$B$47,2,FALSE)</f>
        <v>#N/A</v>
      </c>
      <c r="B3190" s="207" t="str">
        <f>VLOOKUP(VALUE(D3190),$D$3:F$106,3,FALSE)</f>
        <v>Transportation Office</v>
      </c>
      <c r="C3190" s="751" t="s">
        <v>246</v>
      </c>
      <c r="D3190" s="751" t="s">
        <v>928</v>
      </c>
      <c r="E3190" s="751" t="s">
        <v>929</v>
      </c>
      <c r="F3190" s="751" t="s">
        <v>254</v>
      </c>
      <c r="G3190" s="752" t="s">
        <v>1681</v>
      </c>
      <c r="H3190" s="753">
        <v>52360</v>
      </c>
      <c r="I3190" s="754">
        <v>696.51</v>
      </c>
      <c r="J3190" s="754">
        <v>0</v>
      </c>
      <c r="K3190" s="754">
        <v>0</v>
      </c>
      <c r="L3190" s="754">
        <v>193.28</v>
      </c>
      <c r="M3190" s="754">
        <f t="shared" si="123"/>
        <v>193.28</v>
      </c>
      <c r="N3190" s="756">
        <v>696.51</v>
      </c>
      <c r="O3190" s="720">
        <f t="shared" si="124"/>
        <v>0</v>
      </c>
    </row>
    <row r="3191" spans="1:15" x14ac:dyDescent="0.25">
      <c r="A3191" s="207" t="e">
        <f>VLOOKUP(RIGHT(E3191,3)+0,SchLocTable!$A$2:$B$47,2,FALSE)</f>
        <v>#N/A</v>
      </c>
      <c r="B3191" s="207" t="str">
        <f>VLOOKUP(VALUE(D3191),$D$3:F$106,3,FALSE)</f>
        <v>Transportation Office</v>
      </c>
      <c r="C3191" s="751" t="s">
        <v>246</v>
      </c>
      <c r="D3191" s="751" t="s">
        <v>928</v>
      </c>
      <c r="E3191" s="751" t="s">
        <v>929</v>
      </c>
      <c r="F3191" s="751" t="s">
        <v>331</v>
      </c>
      <c r="G3191" s="752" t="s">
        <v>1681</v>
      </c>
      <c r="H3191" s="753">
        <v>52504</v>
      </c>
      <c r="I3191" s="754">
        <v>10237.75</v>
      </c>
      <c r="J3191" s="754">
        <v>0</v>
      </c>
      <c r="K3191" s="754">
        <v>0</v>
      </c>
      <c r="L3191" s="754">
        <v>3091.84</v>
      </c>
      <c r="M3191" s="754">
        <f t="shared" si="123"/>
        <v>3091.84</v>
      </c>
      <c r="N3191" s="756">
        <v>10237.75</v>
      </c>
      <c r="O3191" s="720">
        <f t="shared" si="124"/>
        <v>0</v>
      </c>
    </row>
    <row r="3192" spans="1:15" x14ac:dyDescent="0.25">
      <c r="A3192" s="207" t="e">
        <f>VLOOKUP(RIGHT(E3192,3)+0,SchLocTable!$A$2:$B$47,2,FALSE)</f>
        <v>#N/A</v>
      </c>
      <c r="B3192" s="207" t="str">
        <f>VLOOKUP(VALUE(D3192),$D$3:F$106,3,FALSE)</f>
        <v>Transportation Office</v>
      </c>
      <c r="C3192" s="751" t="s">
        <v>246</v>
      </c>
      <c r="D3192" s="751" t="s">
        <v>928</v>
      </c>
      <c r="E3192" s="751" t="s">
        <v>929</v>
      </c>
      <c r="F3192" s="751" t="s">
        <v>259</v>
      </c>
      <c r="G3192" s="752" t="s">
        <v>1681</v>
      </c>
      <c r="H3192" s="753">
        <v>52917</v>
      </c>
      <c r="I3192" s="754">
        <v>9815.17</v>
      </c>
      <c r="J3192" s="754">
        <v>0</v>
      </c>
      <c r="K3192" s="754">
        <v>0</v>
      </c>
      <c r="L3192" s="754">
        <v>3008.48</v>
      </c>
      <c r="M3192" s="754">
        <f t="shared" si="123"/>
        <v>3008.48</v>
      </c>
      <c r="N3192" s="756">
        <v>9815.17</v>
      </c>
      <c r="O3192" s="720">
        <f t="shared" si="124"/>
        <v>0</v>
      </c>
    </row>
    <row r="3193" spans="1:15" x14ac:dyDescent="0.25">
      <c r="A3193" s="207" t="e">
        <f>VLOOKUP(RIGHT(E3193,3)+0,SchLocTable!$A$2:$B$47,2,FALSE)</f>
        <v>#N/A</v>
      </c>
      <c r="B3193" s="207" t="str">
        <f>VLOOKUP(VALUE(D3193),$D$3:F$106,3,FALSE)</f>
        <v>Transportation</v>
      </c>
      <c r="C3193" s="751" t="s">
        <v>246</v>
      </c>
      <c r="D3193" s="751" t="s">
        <v>930</v>
      </c>
      <c r="E3193" s="751" t="s">
        <v>931</v>
      </c>
      <c r="F3193" s="751" t="s">
        <v>248</v>
      </c>
      <c r="G3193" s="752">
        <v>6</v>
      </c>
      <c r="H3193" s="753">
        <v>51000</v>
      </c>
      <c r="I3193" s="754">
        <v>302624.84999999998</v>
      </c>
      <c r="J3193" s="754">
        <v>0</v>
      </c>
      <c r="K3193" s="754">
        <v>0</v>
      </c>
      <c r="L3193" s="754">
        <v>84669.93</v>
      </c>
      <c r="M3193" s="754">
        <f t="shared" si="123"/>
        <v>84669.93</v>
      </c>
      <c r="N3193" s="756">
        <v>302624.84999999998</v>
      </c>
      <c r="O3193" s="720">
        <f t="shared" si="124"/>
        <v>0</v>
      </c>
    </row>
    <row r="3194" spans="1:15" x14ac:dyDescent="0.25">
      <c r="A3194" s="207" t="e">
        <f>VLOOKUP(RIGHT(E3194,3)+0,SchLocTable!$A$2:$B$47,2,FALSE)</f>
        <v>#N/A</v>
      </c>
      <c r="B3194" s="207" t="str">
        <f>VLOOKUP(VALUE(D3194),$D$3:F$106,3,FALSE)</f>
        <v>Transportation</v>
      </c>
      <c r="C3194" s="751" t="s">
        <v>246</v>
      </c>
      <c r="D3194" s="751" t="s">
        <v>930</v>
      </c>
      <c r="E3194" s="751" t="s">
        <v>931</v>
      </c>
      <c r="F3194" s="751" t="s">
        <v>340</v>
      </c>
      <c r="G3194" s="752" t="s">
        <v>1681</v>
      </c>
      <c r="H3194" s="753">
        <v>51106</v>
      </c>
      <c r="I3194" s="754">
        <v>21839.03</v>
      </c>
      <c r="J3194" s="754">
        <v>0</v>
      </c>
      <c r="K3194" s="754">
        <v>0</v>
      </c>
      <c r="L3194" s="754">
        <v>21839.03</v>
      </c>
      <c r="M3194" s="754">
        <f t="shared" si="123"/>
        <v>21839.03</v>
      </c>
      <c r="N3194" s="756">
        <v>21839.03</v>
      </c>
      <c r="O3194" s="720">
        <f t="shared" si="124"/>
        <v>0</v>
      </c>
    </row>
    <row r="3195" spans="1:15" x14ac:dyDescent="0.25">
      <c r="A3195" s="207" t="e">
        <f>VLOOKUP(RIGHT(E3195,3)+0,SchLocTable!$A$2:$B$47,2,FALSE)</f>
        <v>#N/A</v>
      </c>
      <c r="B3195" s="207" t="str">
        <f>VLOOKUP(VALUE(D3195),$D$3:F$106,3,FALSE)</f>
        <v>Transportation</v>
      </c>
      <c r="C3195" s="751" t="s">
        <v>246</v>
      </c>
      <c r="D3195" s="751" t="s">
        <v>930</v>
      </c>
      <c r="E3195" s="751" t="s">
        <v>931</v>
      </c>
      <c r="F3195" s="751" t="s">
        <v>378</v>
      </c>
      <c r="G3195" s="752" t="s">
        <v>1681</v>
      </c>
      <c r="H3195" s="753">
        <v>51108</v>
      </c>
      <c r="I3195" s="754">
        <v>38503.99</v>
      </c>
      <c r="J3195" s="754">
        <v>0</v>
      </c>
      <c r="K3195" s="754">
        <v>0</v>
      </c>
      <c r="L3195" s="754">
        <v>6090.37</v>
      </c>
      <c r="M3195" s="754">
        <f t="shared" si="123"/>
        <v>6090.37</v>
      </c>
      <c r="N3195" s="756">
        <v>38503.99</v>
      </c>
      <c r="O3195" s="720">
        <f t="shared" si="124"/>
        <v>0</v>
      </c>
    </row>
    <row r="3196" spans="1:15" x14ac:dyDescent="0.25">
      <c r="A3196" s="207" t="e">
        <f>VLOOKUP(RIGHT(E3196,3)+0,SchLocTable!$A$2:$B$47,2,FALSE)</f>
        <v>#N/A</v>
      </c>
      <c r="B3196" s="207" t="str">
        <f>VLOOKUP(VALUE(D3196),$D$3:F$106,3,FALSE)</f>
        <v>Transportation</v>
      </c>
      <c r="C3196" s="751" t="s">
        <v>246</v>
      </c>
      <c r="D3196" s="751" t="s">
        <v>930</v>
      </c>
      <c r="E3196" s="751" t="s">
        <v>931</v>
      </c>
      <c r="F3196" s="751" t="s">
        <v>257</v>
      </c>
      <c r="G3196" s="752" t="s">
        <v>1681</v>
      </c>
      <c r="H3196" s="753">
        <v>51140</v>
      </c>
      <c r="I3196" s="754">
        <v>9810</v>
      </c>
      <c r="J3196" s="754">
        <v>0</v>
      </c>
      <c r="K3196" s="754">
        <v>0</v>
      </c>
      <c r="L3196" s="754">
        <v>0</v>
      </c>
      <c r="M3196" s="754">
        <f t="shared" si="123"/>
        <v>0</v>
      </c>
      <c r="N3196" s="756">
        <v>9810</v>
      </c>
      <c r="O3196" s="720">
        <f t="shared" si="124"/>
        <v>0</v>
      </c>
    </row>
    <row r="3197" spans="1:15" x14ac:dyDescent="0.25">
      <c r="A3197" s="207" t="e">
        <f>VLOOKUP(RIGHT(E3197,3)+0,SchLocTable!$A$2:$B$47,2,FALSE)</f>
        <v>#N/A</v>
      </c>
      <c r="B3197" s="207" t="str">
        <f>VLOOKUP(VALUE(D3197),$D$3:F$106,3,FALSE)</f>
        <v>Transportation</v>
      </c>
      <c r="C3197" s="751" t="s">
        <v>246</v>
      </c>
      <c r="D3197" s="751" t="s">
        <v>930</v>
      </c>
      <c r="E3197" s="751" t="s">
        <v>931</v>
      </c>
      <c r="F3197" s="751" t="s">
        <v>254</v>
      </c>
      <c r="G3197" s="752" t="s">
        <v>1681</v>
      </c>
      <c r="H3197" s="753">
        <v>52360</v>
      </c>
      <c r="I3197" s="754">
        <v>5210.53</v>
      </c>
      <c r="J3197" s="754">
        <v>0</v>
      </c>
      <c r="K3197" s="754">
        <v>0</v>
      </c>
      <c r="L3197" s="754">
        <v>1580.19</v>
      </c>
      <c r="M3197" s="754">
        <f t="shared" si="123"/>
        <v>1580.19</v>
      </c>
      <c r="N3197" s="756">
        <v>5210.53</v>
      </c>
      <c r="O3197" s="720">
        <f t="shared" si="124"/>
        <v>0</v>
      </c>
    </row>
    <row r="3198" spans="1:15" x14ac:dyDescent="0.25">
      <c r="A3198" s="207" t="e">
        <f>VLOOKUP(RIGHT(E3198,3)+0,SchLocTable!$A$2:$B$47,2,FALSE)</f>
        <v>#N/A</v>
      </c>
      <c r="B3198" s="207" t="str">
        <f>VLOOKUP(VALUE(D3198),$D$3:F$106,3,FALSE)</f>
        <v>Transportation</v>
      </c>
      <c r="C3198" s="751" t="s">
        <v>246</v>
      </c>
      <c r="D3198" s="751" t="s">
        <v>930</v>
      </c>
      <c r="E3198" s="751" t="s">
        <v>931</v>
      </c>
      <c r="F3198" s="751" t="s">
        <v>331</v>
      </c>
      <c r="G3198" s="752" t="s">
        <v>1681</v>
      </c>
      <c r="H3198" s="753">
        <v>52504</v>
      </c>
      <c r="I3198" s="754">
        <v>74735.039999999994</v>
      </c>
      <c r="J3198" s="754">
        <v>0</v>
      </c>
      <c r="K3198" s="754">
        <v>0</v>
      </c>
      <c r="L3198" s="754">
        <v>23184.16</v>
      </c>
      <c r="M3198" s="754">
        <f t="shared" si="123"/>
        <v>23184.16</v>
      </c>
      <c r="N3198" s="756">
        <v>74735.039999999994</v>
      </c>
      <c r="O3198" s="720">
        <f t="shared" si="124"/>
        <v>0</v>
      </c>
    </row>
    <row r="3199" spans="1:15" x14ac:dyDescent="0.25">
      <c r="A3199" s="207" t="e">
        <f>VLOOKUP(RIGHT(E3199,3)+0,SchLocTable!$A$2:$B$47,2,FALSE)</f>
        <v>#N/A</v>
      </c>
      <c r="B3199" s="207" t="str">
        <f>VLOOKUP(VALUE(D3199),$D$3:F$106,3,FALSE)</f>
        <v>Transportation</v>
      </c>
      <c r="C3199" s="751" t="s">
        <v>246</v>
      </c>
      <c r="D3199" s="751" t="s">
        <v>930</v>
      </c>
      <c r="E3199" s="751" t="s">
        <v>931</v>
      </c>
      <c r="F3199" s="751" t="s">
        <v>259</v>
      </c>
      <c r="G3199" s="752" t="s">
        <v>1681</v>
      </c>
      <c r="H3199" s="753">
        <v>52917</v>
      </c>
      <c r="I3199" s="754">
        <v>96240.86</v>
      </c>
      <c r="J3199" s="754">
        <v>0</v>
      </c>
      <c r="K3199" s="754">
        <v>0</v>
      </c>
      <c r="L3199" s="754">
        <v>26207.16</v>
      </c>
      <c r="M3199" s="754">
        <f t="shared" ref="M3199:M3262" si="125">SUM(J3199:L3199)</f>
        <v>26207.16</v>
      </c>
      <c r="N3199" s="756">
        <v>96240.86</v>
      </c>
      <c r="O3199" s="720">
        <f t="shared" ref="O3199:O3262" si="126">I3199-N3199</f>
        <v>0</v>
      </c>
    </row>
    <row r="3200" spans="1:15" x14ac:dyDescent="0.25">
      <c r="A3200" s="207" t="e">
        <f>VLOOKUP(RIGHT(E3200,3)+0,SchLocTable!$A$2:$B$47,2,FALSE)</f>
        <v>#N/A</v>
      </c>
      <c r="B3200" s="207" t="str">
        <f>VLOOKUP(VALUE(D3200),$D$3:F$106,3,FALSE)</f>
        <v>Transportation</v>
      </c>
      <c r="C3200" s="751" t="s">
        <v>246</v>
      </c>
      <c r="D3200" s="751" t="s">
        <v>930</v>
      </c>
      <c r="E3200" s="751" t="s">
        <v>931</v>
      </c>
      <c r="F3200" s="751" t="s">
        <v>333</v>
      </c>
      <c r="G3200" s="752" t="s">
        <v>1681</v>
      </c>
      <c r="H3200" s="753">
        <v>52920</v>
      </c>
      <c r="I3200" s="754">
        <v>500</v>
      </c>
      <c r="J3200" s="754">
        <v>0</v>
      </c>
      <c r="K3200" s="754">
        <v>0</v>
      </c>
      <c r="L3200" s="754">
        <v>0</v>
      </c>
      <c r="M3200" s="754">
        <f t="shared" si="125"/>
        <v>0</v>
      </c>
      <c r="N3200" s="756">
        <v>500</v>
      </c>
      <c r="O3200" s="720">
        <f t="shared" si="126"/>
        <v>0</v>
      </c>
    </row>
    <row r="3201" spans="1:15" x14ac:dyDescent="0.25">
      <c r="A3201" s="207" t="e">
        <f>VLOOKUP(RIGHT(E3201,3)+0,SchLocTable!$A$2:$B$47,2,FALSE)</f>
        <v>#N/A</v>
      </c>
      <c r="B3201" s="207" t="str">
        <f>VLOOKUP(VALUE(D3201),$D$3:F$106,3,FALSE)</f>
        <v>Transportation</v>
      </c>
      <c r="C3201" s="755" t="s">
        <v>246</v>
      </c>
      <c r="D3201" s="751" t="s">
        <v>930</v>
      </c>
      <c r="E3201" s="751" t="s">
        <v>931</v>
      </c>
      <c r="F3201" s="751" t="s">
        <v>396</v>
      </c>
      <c r="G3201" s="752" t="s">
        <v>1681</v>
      </c>
      <c r="H3201" s="753">
        <v>53605</v>
      </c>
      <c r="I3201" s="754">
        <v>1149</v>
      </c>
      <c r="J3201" s="754">
        <v>0</v>
      </c>
      <c r="K3201" s="754">
        <v>0</v>
      </c>
      <c r="L3201" s="754">
        <v>0</v>
      </c>
      <c r="M3201" s="754">
        <f t="shared" si="125"/>
        <v>0</v>
      </c>
      <c r="N3201" s="756">
        <v>1149</v>
      </c>
      <c r="O3201" s="720">
        <f t="shared" si="126"/>
        <v>0</v>
      </c>
    </row>
    <row r="3202" spans="1:15" x14ac:dyDescent="0.25">
      <c r="A3202" s="207" t="e">
        <f>VLOOKUP(RIGHT(E3202,3)+0,SchLocTable!$A$2:$B$47,2,FALSE)</f>
        <v>#N/A</v>
      </c>
      <c r="B3202" s="207" t="str">
        <f>VLOOKUP(VALUE(D3202),$D$3:F$106,3,FALSE)</f>
        <v>Transportation</v>
      </c>
      <c r="C3202" s="751" t="s">
        <v>246</v>
      </c>
      <c r="D3202" s="751" t="s">
        <v>930</v>
      </c>
      <c r="E3202" s="751" t="s">
        <v>931</v>
      </c>
      <c r="F3202" s="751" t="s">
        <v>907</v>
      </c>
      <c r="G3202" s="752" t="s">
        <v>1681</v>
      </c>
      <c r="H3202" s="753">
        <v>54550</v>
      </c>
      <c r="I3202" s="754">
        <v>12375</v>
      </c>
      <c r="J3202" s="754">
        <v>0</v>
      </c>
      <c r="K3202" s="754">
        <v>0</v>
      </c>
      <c r="L3202" s="754">
        <v>0</v>
      </c>
      <c r="M3202" s="754">
        <f t="shared" si="125"/>
        <v>0</v>
      </c>
      <c r="N3202" s="756">
        <v>12375</v>
      </c>
      <c r="O3202" s="720">
        <f t="shared" si="126"/>
        <v>0</v>
      </c>
    </row>
    <row r="3203" spans="1:15" x14ac:dyDescent="0.25">
      <c r="A3203" s="207" t="e">
        <f>VLOOKUP(RIGHT(E3203,3)+0,SchLocTable!$A$2:$B$47,2,FALSE)</f>
        <v>#N/A</v>
      </c>
      <c r="B3203" s="207" t="str">
        <f>VLOOKUP(VALUE(D3203),$D$3:F$106,3,FALSE)</f>
        <v>Transportation</v>
      </c>
      <c r="C3203" s="751" t="s">
        <v>246</v>
      </c>
      <c r="D3203" s="751" t="s">
        <v>930</v>
      </c>
      <c r="E3203" s="751" t="s">
        <v>931</v>
      </c>
      <c r="F3203" s="751" t="s">
        <v>760</v>
      </c>
      <c r="G3203" s="752" t="s">
        <v>1681</v>
      </c>
      <c r="H3203" s="753">
        <v>54615</v>
      </c>
      <c r="I3203" s="754">
        <v>221260</v>
      </c>
      <c r="J3203" s="754">
        <v>83299.42</v>
      </c>
      <c r="K3203" s="754">
        <v>0</v>
      </c>
      <c r="L3203" s="754">
        <v>7264.57</v>
      </c>
      <c r="M3203" s="754">
        <f t="shared" si="125"/>
        <v>90563.989999999991</v>
      </c>
      <c r="N3203" s="756">
        <v>221260</v>
      </c>
      <c r="O3203" s="720">
        <f t="shared" si="126"/>
        <v>0</v>
      </c>
    </row>
    <row r="3204" spans="1:15" x14ac:dyDescent="0.25">
      <c r="A3204" s="207" t="e">
        <f>VLOOKUP(RIGHT(E3204,3)+0,SchLocTable!$A$2:$B$47,2,FALSE)</f>
        <v>#N/A</v>
      </c>
      <c r="B3204" s="207" t="str">
        <f>VLOOKUP(VALUE(D3204),$D$3:F$106,3,FALSE)</f>
        <v>Transportation</v>
      </c>
      <c r="C3204" s="751" t="s">
        <v>246</v>
      </c>
      <c r="D3204" s="751" t="s">
        <v>930</v>
      </c>
      <c r="E3204" s="751" t="s">
        <v>931</v>
      </c>
      <c r="F3204" s="751" t="s">
        <v>372</v>
      </c>
      <c r="G3204" s="752" t="s">
        <v>1681</v>
      </c>
      <c r="H3204" s="753">
        <v>54675</v>
      </c>
      <c r="I3204" s="754">
        <v>3120</v>
      </c>
      <c r="J3204" s="754">
        <v>0</v>
      </c>
      <c r="K3204" s="754">
        <v>0</v>
      </c>
      <c r="L3204" s="754">
        <v>0</v>
      </c>
      <c r="M3204" s="754">
        <f t="shared" si="125"/>
        <v>0</v>
      </c>
      <c r="N3204" s="756">
        <v>3120</v>
      </c>
      <c r="O3204" s="720">
        <f t="shared" si="126"/>
        <v>0</v>
      </c>
    </row>
    <row r="3205" spans="1:15" x14ac:dyDescent="0.25">
      <c r="A3205" s="207" t="e">
        <f>VLOOKUP(RIGHT(E3205,3)+0,SchLocTable!$A$2:$B$47,2,FALSE)</f>
        <v>#N/A</v>
      </c>
      <c r="B3205" s="207" t="str">
        <f>VLOOKUP(VALUE(D3205),$D$3:F$106,3,FALSE)</f>
        <v>Transportation</v>
      </c>
      <c r="C3205" s="751" t="s">
        <v>246</v>
      </c>
      <c r="D3205" s="751" t="s">
        <v>930</v>
      </c>
      <c r="E3205" s="751" t="s">
        <v>931</v>
      </c>
      <c r="F3205" s="751" t="s">
        <v>382</v>
      </c>
      <c r="G3205" s="752" t="s">
        <v>1681</v>
      </c>
      <c r="H3205" s="753">
        <v>56180</v>
      </c>
      <c r="I3205" s="754">
        <v>96</v>
      </c>
      <c r="J3205" s="754">
        <v>0</v>
      </c>
      <c r="K3205" s="754">
        <v>0</v>
      </c>
      <c r="L3205" s="754">
        <v>0</v>
      </c>
      <c r="M3205" s="754">
        <f t="shared" si="125"/>
        <v>0</v>
      </c>
      <c r="N3205" s="756">
        <v>96</v>
      </c>
      <c r="O3205" s="720">
        <f t="shared" si="126"/>
        <v>0</v>
      </c>
    </row>
    <row r="3206" spans="1:15" x14ac:dyDescent="0.25">
      <c r="A3206" s="207" t="e">
        <f>VLOOKUP(RIGHT(E3206,3)+0,SchLocTable!$A$2:$B$47,2,FALSE)</f>
        <v>#N/A</v>
      </c>
      <c r="B3206" s="207" t="str">
        <f>VLOOKUP(VALUE(D3206),$D$3:F$106,3,FALSE)</f>
        <v>Transportation</v>
      </c>
      <c r="C3206" s="751" t="s">
        <v>246</v>
      </c>
      <c r="D3206" s="751" t="s">
        <v>930</v>
      </c>
      <c r="E3206" s="751" t="s">
        <v>931</v>
      </c>
      <c r="F3206" s="751" t="s">
        <v>635</v>
      </c>
      <c r="G3206" s="752" t="s">
        <v>1681</v>
      </c>
      <c r="H3206" s="753">
        <v>56240</v>
      </c>
      <c r="I3206" s="754">
        <v>3000000</v>
      </c>
      <c r="J3206" s="754">
        <v>130770</v>
      </c>
      <c r="K3206" s="754">
        <v>0</v>
      </c>
      <c r="L3206" s="754">
        <v>-18862</v>
      </c>
      <c r="M3206" s="754">
        <f t="shared" si="125"/>
        <v>111908</v>
      </c>
      <c r="N3206" s="756">
        <v>6330289.1600000001</v>
      </c>
      <c r="O3206" s="720">
        <f t="shared" si="126"/>
        <v>-3330289.16</v>
      </c>
    </row>
    <row r="3207" spans="1:15" x14ac:dyDescent="0.25">
      <c r="A3207" s="207" t="e">
        <f>VLOOKUP(RIGHT(E3207,3)+0,SchLocTable!$A$2:$B$47,2,FALSE)</f>
        <v>#N/A</v>
      </c>
      <c r="B3207" s="207" t="str">
        <f>VLOOKUP(VALUE(D3207),$D$3:F$106,3,FALSE)</f>
        <v>Transportation</v>
      </c>
      <c r="C3207" s="751" t="s">
        <v>246</v>
      </c>
      <c r="D3207" s="751" t="s">
        <v>930</v>
      </c>
      <c r="E3207" s="751" t="s">
        <v>931</v>
      </c>
      <c r="F3207" s="751" t="s">
        <v>374</v>
      </c>
      <c r="G3207" s="752" t="s">
        <v>1681</v>
      </c>
      <c r="H3207" s="753">
        <v>59015</v>
      </c>
      <c r="I3207" s="754">
        <v>650</v>
      </c>
      <c r="J3207" s="754">
        <v>0</v>
      </c>
      <c r="K3207" s="754">
        <v>0</v>
      </c>
      <c r="L3207" s="754">
        <v>0</v>
      </c>
      <c r="M3207" s="754">
        <f t="shared" si="125"/>
        <v>0</v>
      </c>
      <c r="N3207" s="756">
        <v>650</v>
      </c>
      <c r="O3207" s="720">
        <f t="shared" si="126"/>
        <v>0</v>
      </c>
    </row>
    <row r="3208" spans="1:15" x14ac:dyDescent="0.25">
      <c r="A3208" s="207" t="e">
        <f>VLOOKUP(RIGHT(E3208,3)+0,SchLocTable!$A$2:$B$47,2,FALSE)</f>
        <v>#N/A</v>
      </c>
      <c r="B3208" s="207" t="str">
        <f>VLOOKUP(VALUE(D3208),$D$3:F$106,3,FALSE)</f>
        <v>Charter Schools</v>
      </c>
      <c r="C3208" s="751" t="s">
        <v>246</v>
      </c>
      <c r="D3208" s="751" t="s">
        <v>932</v>
      </c>
      <c r="E3208" s="751" t="s">
        <v>933</v>
      </c>
      <c r="F3208" s="751" t="s">
        <v>635</v>
      </c>
      <c r="G3208" s="752" t="s">
        <v>1681</v>
      </c>
      <c r="H3208" s="753">
        <v>56240</v>
      </c>
      <c r="I3208" s="754">
        <v>1675810</v>
      </c>
      <c r="J3208" s="754">
        <v>130620</v>
      </c>
      <c r="K3208" s="754">
        <v>0</v>
      </c>
      <c r="L3208" s="754">
        <v>13380</v>
      </c>
      <c r="M3208" s="754">
        <f t="shared" si="125"/>
        <v>144000</v>
      </c>
      <c r="N3208" s="756">
        <v>1842298.53</v>
      </c>
      <c r="O3208" s="720">
        <f t="shared" si="126"/>
        <v>-166488.53000000003</v>
      </c>
    </row>
    <row r="3209" spans="1:15" x14ac:dyDescent="0.25">
      <c r="A3209" s="207" t="e">
        <f>VLOOKUP(RIGHT(E3209,3)+0,SchLocTable!$A$2:$B$47,2,FALSE)</f>
        <v>#N/A</v>
      </c>
      <c r="B3209" s="207" t="str">
        <f>VLOOKUP(VALUE(D3209),$D$3:F$106,3,FALSE)</f>
        <v>SPED Transportation</v>
      </c>
      <c r="C3209" s="751" t="s">
        <v>246</v>
      </c>
      <c r="D3209" s="751" t="s">
        <v>934</v>
      </c>
      <c r="E3209" s="751" t="s">
        <v>935</v>
      </c>
      <c r="F3209" s="751" t="s">
        <v>635</v>
      </c>
      <c r="G3209" s="752" t="s">
        <v>1681</v>
      </c>
      <c r="H3209" s="753">
        <v>56240</v>
      </c>
      <c r="I3209" s="754">
        <v>7670143.0999999996</v>
      </c>
      <c r="J3209" s="754">
        <v>393445.26</v>
      </c>
      <c r="K3209" s="754">
        <v>0</v>
      </c>
      <c r="L3209" s="754">
        <v>587175.14</v>
      </c>
      <c r="M3209" s="754">
        <f t="shared" si="125"/>
        <v>980620.4</v>
      </c>
      <c r="N3209" s="756">
        <v>19561506.59</v>
      </c>
      <c r="O3209" s="720">
        <f t="shared" si="126"/>
        <v>-11891363.49</v>
      </c>
    </row>
    <row r="3210" spans="1:15" x14ac:dyDescent="0.25">
      <c r="A3210" s="207" t="e">
        <f>VLOOKUP(RIGHT(E3210,3)+0,SchLocTable!$A$2:$B$47,2,FALSE)</f>
        <v>#N/A</v>
      </c>
      <c r="B3210" s="207" t="str">
        <f>VLOOKUP(VALUE(D3210),$D$3:F$106,3,FALSE)</f>
        <v>Parochial/Non-public</v>
      </c>
      <c r="C3210" s="751" t="s">
        <v>246</v>
      </c>
      <c r="D3210" s="751" t="s">
        <v>936</v>
      </c>
      <c r="E3210" s="751" t="s">
        <v>937</v>
      </c>
      <c r="F3210" s="751" t="s">
        <v>635</v>
      </c>
      <c r="G3210" s="752" t="s">
        <v>1681</v>
      </c>
      <c r="H3210" s="753">
        <v>56240</v>
      </c>
      <c r="I3210" s="754">
        <v>672197</v>
      </c>
      <c r="J3210" s="754">
        <v>51750</v>
      </c>
      <c r="K3210" s="754">
        <v>0</v>
      </c>
      <c r="L3210" s="754">
        <v>5250</v>
      </c>
      <c r="M3210" s="754">
        <f t="shared" si="125"/>
        <v>57000</v>
      </c>
      <c r="N3210" s="756">
        <v>722460.09</v>
      </c>
      <c r="O3210" s="720">
        <f t="shared" si="126"/>
        <v>-50263.089999999967</v>
      </c>
    </row>
    <row r="3211" spans="1:15" x14ac:dyDescent="0.25">
      <c r="A3211" s="207" t="e">
        <f>VLOOKUP(RIGHT(E3211,3)+0,SchLocTable!$A$2:$B$47,2,FALSE)</f>
        <v>#N/A</v>
      </c>
      <c r="B3211" s="207" t="str">
        <f>VLOOKUP(VALUE(D3211),$D$3:F$106,3,FALSE)</f>
        <v>SPED Charter Schools</v>
      </c>
      <c r="C3211" s="751" t="s">
        <v>246</v>
      </c>
      <c r="D3211" s="751" t="s">
        <v>938</v>
      </c>
      <c r="E3211" s="751" t="s">
        <v>939</v>
      </c>
      <c r="F3211" s="751" t="s">
        <v>635</v>
      </c>
      <c r="G3211" s="752" t="s">
        <v>1681</v>
      </c>
      <c r="H3211" s="753">
        <v>56240</v>
      </c>
      <c r="I3211" s="754">
        <v>247972</v>
      </c>
      <c r="J3211" s="754">
        <v>0</v>
      </c>
      <c r="K3211" s="754">
        <v>0</v>
      </c>
      <c r="L3211" s="754">
        <v>0</v>
      </c>
      <c r="M3211" s="754">
        <f t="shared" si="125"/>
        <v>0</v>
      </c>
      <c r="N3211" s="756">
        <v>331238.03000000003</v>
      </c>
      <c r="O3211" s="720">
        <f t="shared" si="126"/>
        <v>-83266.030000000028</v>
      </c>
    </row>
    <row r="3212" spans="1:15" x14ac:dyDescent="0.25">
      <c r="A3212" s="207" t="e">
        <f>VLOOKUP(RIGHT(E3212,3)+0,SchLocTable!$A$2:$B$47,2,FALSE)</f>
        <v>#N/A</v>
      </c>
      <c r="B3212" s="207" t="str">
        <f>VLOOKUP(VALUE(D3212),$D$3:F$106,3,FALSE)</f>
        <v>Security Clericals</v>
      </c>
      <c r="C3212" s="751" t="s">
        <v>246</v>
      </c>
      <c r="D3212" s="751" t="s">
        <v>940</v>
      </c>
      <c r="E3212" s="751" t="s">
        <v>941</v>
      </c>
      <c r="F3212" s="751" t="s">
        <v>248</v>
      </c>
      <c r="G3212" s="752">
        <v>1</v>
      </c>
      <c r="H3212" s="753">
        <v>51000</v>
      </c>
      <c r="I3212" s="754">
        <v>56924.88</v>
      </c>
      <c r="J3212" s="754">
        <v>0</v>
      </c>
      <c r="K3212" s="754">
        <v>0</v>
      </c>
      <c r="L3212" s="754">
        <v>17191.349999999999</v>
      </c>
      <c r="M3212" s="754">
        <f t="shared" si="125"/>
        <v>17191.349999999999</v>
      </c>
      <c r="N3212" s="756">
        <v>56924.88</v>
      </c>
      <c r="O3212" s="720">
        <f t="shared" si="126"/>
        <v>0</v>
      </c>
    </row>
    <row r="3213" spans="1:15" x14ac:dyDescent="0.25">
      <c r="A3213" s="207" t="e">
        <f>VLOOKUP(RIGHT(E3213,3)+0,SchLocTable!$A$2:$B$47,2,FALSE)</f>
        <v>#N/A</v>
      </c>
      <c r="B3213" s="207" t="str">
        <f>VLOOKUP(VALUE(D3213),$D$3:F$106,3,FALSE)</f>
        <v>Security Clericals</v>
      </c>
      <c r="C3213" s="751" t="s">
        <v>246</v>
      </c>
      <c r="D3213" s="751" t="s">
        <v>940</v>
      </c>
      <c r="E3213" s="751" t="s">
        <v>941</v>
      </c>
      <c r="F3213" s="751" t="s">
        <v>257</v>
      </c>
      <c r="G3213" s="752" t="s">
        <v>1681</v>
      </c>
      <c r="H3213" s="753">
        <v>51140</v>
      </c>
      <c r="I3213" s="754">
        <v>1260</v>
      </c>
      <c r="J3213" s="754">
        <v>0</v>
      </c>
      <c r="K3213" s="754">
        <v>0</v>
      </c>
      <c r="L3213" s="754">
        <v>0</v>
      </c>
      <c r="M3213" s="754">
        <f t="shared" si="125"/>
        <v>0</v>
      </c>
      <c r="N3213" s="756">
        <v>1260</v>
      </c>
      <c r="O3213" s="720">
        <f t="shared" si="126"/>
        <v>0</v>
      </c>
    </row>
    <row r="3214" spans="1:15" x14ac:dyDescent="0.25">
      <c r="A3214" s="207" t="e">
        <f>VLOOKUP(RIGHT(E3214,3)+0,SchLocTable!$A$2:$B$47,2,FALSE)</f>
        <v>#N/A</v>
      </c>
      <c r="B3214" s="207" t="str">
        <f>VLOOKUP(VALUE(D3214),$D$3:F$106,3,FALSE)</f>
        <v>Security Clericals</v>
      </c>
      <c r="C3214" s="751" t="s">
        <v>246</v>
      </c>
      <c r="D3214" s="751" t="s">
        <v>940</v>
      </c>
      <c r="E3214" s="751" t="s">
        <v>941</v>
      </c>
      <c r="F3214" s="751" t="s">
        <v>254</v>
      </c>
      <c r="G3214" s="752" t="s">
        <v>1681</v>
      </c>
      <c r="H3214" s="753">
        <v>52360</v>
      </c>
      <c r="I3214" s="754">
        <v>776.51</v>
      </c>
      <c r="J3214" s="754">
        <v>0</v>
      </c>
      <c r="K3214" s="754">
        <v>0</v>
      </c>
      <c r="L3214" s="754">
        <v>200.37</v>
      </c>
      <c r="M3214" s="754">
        <f t="shared" si="125"/>
        <v>200.37</v>
      </c>
      <c r="N3214" s="756">
        <v>776.51</v>
      </c>
      <c r="O3214" s="720">
        <f t="shared" si="126"/>
        <v>0</v>
      </c>
    </row>
    <row r="3215" spans="1:15" x14ac:dyDescent="0.25">
      <c r="A3215" s="207" t="e">
        <f>VLOOKUP(RIGHT(E3215,3)+0,SchLocTable!$A$2:$B$47,2,FALSE)</f>
        <v>#N/A</v>
      </c>
      <c r="B3215" s="207" t="str">
        <f>VLOOKUP(VALUE(D3215),$D$3:F$106,3,FALSE)</f>
        <v>Security Clericals</v>
      </c>
      <c r="C3215" s="751" t="s">
        <v>246</v>
      </c>
      <c r="D3215" s="751" t="s">
        <v>940</v>
      </c>
      <c r="E3215" s="751" t="s">
        <v>941</v>
      </c>
      <c r="F3215" s="751" t="s">
        <v>331</v>
      </c>
      <c r="G3215" s="752" t="s">
        <v>1681</v>
      </c>
      <c r="H3215" s="753">
        <v>52504</v>
      </c>
      <c r="I3215" s="754">
        <v>11720.81</v>
      </c>
      <c r="J3215" s="754">
        <v>0</v>
      </c>
      <c r="K3215" s="754">
        <v>0</v>
      </c>
      <c r="L3215" s="754">
        <v>3539.68</v>
      </c>
      <c r="M3215" s="754">
        <f t="shared" si="125"/>
        <v>3539.68</v>
      </c>
      <c r="N3215" s="756">
        <v>11720.81</v>
      </c>
      <c r="O3215" s="720">
        <f t="shared" si="126"/>
        <v>0</v>
      </c>
    </row>
    <row r="3216" spans="1:15" x14ac:dyDescent="0.25">
      <c r="A3216" s="207" t="e">
        <f>VLOOKUP(RIGHT(E3216,3)+0,SchLocTable!$A$2:$B$47,2,FALSE)</f>
        <v>#N/A</v>
      </c>
      <c r="B3216" s="207" t="str">
        <f>VLOOKUP(VALUE(D3216),$D$3:F$106,3,FALSE)</f>
        <v>Security Clericals</v>
      </c>
      <c r="C3216" s="751" t="s">
        <v>246</v>
      </c>
      <c r="D3216" s="751" t="s">
        <v>940</v>
      </c>
      <c r="E3216" s="751" t="s">
        <v>941</v>
      </c>
      <c r="F3216" s="751" t="s">
        <v>259</v>
      </c>
      <c r="G3216" s="752" t="s">
        <v>1681</v>
      </c>
      <c r="H3216" s="753">
        <v>52917</v>
      </c>
      <c r="I3216" s="754">
        <v>34357</v>
      </c>
      <c r="J3216" s="754">
        <v>0</v>
      </c>
      <c r="K3216" s="754">
        <v>0</v>
      </c>
      <c r="L3216" s="754">
        <v>10530.88</v>
      </c>
      <c r="M3216" s="754">
        <f t="shared" si="125"/>
        <v>10530.88</v>
      </c>
      <c r="N3216" s="756">
        <v>34357</v>
      </c>
      <c r="O3216" s="720">
        <f t="shared" si="126"/>
        <v>0</v>
      </c>
    </row>
    <row r="3217" spans="1:15" x14ac:dyDescent="0.25">
      <c r="A3217" s="207" t="e">
        <f>VLOOKUP(RIGHT(E3217,3)+0,SchLocTable!$A$2:$B$47,2,FALSE)</f>
        <v>#N/A</v>
      </c>
      <c r="B3217" s="207" t="str">
        <f>VLOOKUP(VALUE(D3217),$D$3:F$106,3,FALSE)</f>
        <v>Security</v>
      </c>
      <c r="C3217" s="751" t="s">
        <v>246</v>
      </c>
      <c r="D3217" s="751" t="s">
        <v>942</v>
      </c>
      <c r="E3217" s="751" t="s">
        <v>943</v>
      </c>
      <c r="F3217" s="751" t="s">
        <v>248</v>
      </c>
      <c r="G3217" s="752">
        <v>2</v>
      </c>
      <c r="H3217" s="753">
        <v>51000</v>
      </c>
      <c r="I3217" s="754">
        <v>94358.83</v>
      </c>
      <c r="J3217" s="754">
        <v>0</v>
      </c>
      <c r="K3217" s="754">
        <v>0</v>
      </c>
      <c r="L3217" s="754">
        <v>28903.439999999999</v>
      </c>
      <c r="M3217" s="754">
        <f t="shared" si="125"/>
        <v>28903.439999999999</v>
      </c>
      <c r="N3217" s="756">
        <v>94358.83</v>
      </c>
      <c r="O3217" s="720">
        <f t="shared" si="126"/>
        <v>0</v>
      </c>
    </row>
    <row r="3218" spans="1:15" x14ac:dyDescent="0.25">
      <c r="A3218" s="207" t="e">
        <f>VLOOKUP(RIGHT(E3218,3)+0,SchLocTable!$A$2:$B$47,2,FALSE)</f>
        <v>#N/A</v>
      </c>
      <c r="B3218" s="207" t="str">
        <f>VLOOKUP(VALUE(D3218),$D$3:F$106,3,FALSE)</f>
        <v>Security</v>
      </c>
      <c r="C3218" s="755" t="s">
        <v>246</v>
      </c>
      <c r="D3218" s="751" t="s">
        <v>942</v>
      </c>
      <c r="E3218" s="751" t="s">
        <v>943</v>
      </c>
      <c r="F3218" s="751" t="s">
        <v>250</v>
      </c>
      <c r="G3218" s="752">
        <v>12</v>
      </c>
      <c r="H3218" s="753">
        <v>51100</v>
      </c>
      <c r="I3218" s="754">
        <v>180732</v>
      </c>
      <c r="J3218" s="754">
        <v>0</v>
      </c>
      <c r="K3218" s="754">
        <v>0</v>
      </c>
      <c r="L3218" s="754">
        <v>32674</v>
      </c>
      <c r="M3218" s="754">
        <f t="shared" si="125"/>
        <v>32674</v>
      </c>
      <c r="N3218" s="756">
        <v>180732</v>
      </c>
      <c r="O3218" s="720">
        <f t="shared" si="126"/>
        <v>0</v>
      </c>
    </row>
    <row r="3219" spans="1:15" x14ac:dyDescent="0.25">
      <c r="A3219" s="207" t="e">
        <f>VLOOKUP(RIGHT(E3219,3)+0,SchLocTable!$A$2:$B$47,2,FALSE)</f>
        <v>#N/A</v>
      </c>
      <c r="B3219" s="207" t="str">
        <f>VLOOKUP(VALUE(D3219),$D$3:F$106,3,FALSE)</f>
        <v>Security</v>
      </c>
      <c r="C3219" s="751" t="s">
        <v>246</v>
      </c>
      <c r="D3219" s="751" t="s">
        <v>942</v>
      </c>
      <c r="E3219" s="751" t="s">
        <v>943</v>
      </c>
      <c r="F3219" s="751" t="s">
        <v>378</v>
      </c>
      <c r="G3219" s="752" t="s">
        <v>1681</v>
      </c>
      <c r="H3219" s="753">
        <v>51108</v>
      </c>
      <c r="I3219" s="754">
        <v>35128.800000000003</v>
      </c>
      <c r="J3219" s="754">
        <v>0</v>
      </c>
      <c r="K3219" s="754">
        <v>0</v>
      </c>
      <c r="L3219" s="754">
        <v>4197.71</v>
      </c>
      <c r="M3219" s="754">
        <f t="shared" si="125"/>
        <v>4197.71</v>
      </c>
      <c r="N3219" s="756">
        <v>35128.800000000003</v>
      </c>
      <c r="O3219" s="720">
        <f t="shared" si="126"/>
        <v>0</v>
      </c>
    </row>
    <row r="3220" spans="1:15" x14ac:dyDescent="0.25">
      <c r="A3220" s="207" t="e">
        <f>VLOOKUP(RIGHT(E3220,3)+0,SchLocTable!$A$2:$B$47,2,FALSE)</f>
        <v>#N/A</v>
      </c>
      <c r="B3220" s="207" t="str">
        <f>VLOOKUP(VALUE(D3220),$D$3:F$106,3,FALSE)</f>
        <v>Security</v>
      </c>
      <c r="C3220" s="751" t="s">
        <v>246</v>
      </c>
      <c r="D3220" s="751" t="s">
        <v>942</v>
      </c>
      <c r="E3220" s="751" t="s">
        <v>943</v>
      </c>
      <c r="F3220" s="751" t="s">
        <v>915</v>
      </c>
      <c r="G3220" s="752" t="s">
        <v>1681</v>
      </c>
      <c r="H3220" s="753">
        <v>51116</v>
      </c>
      <c r="I3220" s="754">
        <v>0</v>
      </c>
      <c r="J3220" s="754">
        <v>0</v>
      </c>
      <c r="K3220" s="754">
        <v>0</v>
      </c>
      <c r="L3220" s="754">
        <v>0</v>
      </c>
      <c r="M3220" s="754">
        <f t="shared" si="125"/>
        <v>0</v>
      </c>
      <c r="N3220" s="756">
        <v>0</v>
      </c>
      <c r="O3220" s="720">
        <f t="shared" si="126"/>
        <v>0</v>
      </c>
    </row>
    <row r="3221" spans="1:15" x14ac:dyDescent="0.25">
      <c r="A3221" s="207" t="e">
        <f>VLOOKUP(RIGHT(E3221,3)+0,SchLocTable!$A$2:$B$47,2,FALSE)</f>
        <v>#N/A</v>
      </c>
      <c r="B3221" s="207" t="str">
        <f>VLOOKUP(VALUE(D3221),$D$3:F$106,3,FALSE)</f>
        <v>Security</v>
      </c>
      <c r="C3221" s="755" t="s">
        <v>246</v>
      </c>
      <c r="D3221" s="751" t="s">
        <v>942</v>
      </c>
      <c r="E3221" s="751" t="s">
        <v>943</v>
      </c>
      <c r="F3221" s="751" t="s">
        <v>380</v>
      </c>
      <c r="G3221" s="752" t="s">
        <v>1681</v>
      </c>
      <c r="H3221" s="753">
        <v>51122</v>
      </c>
      <c r="I3221" s="754">
        <v>108727.25</v>
      </c>
      <c r="J3221" s="754">
        <v>0</v>
      </c>
      <c r="K3221" s="754">
        <v>0</v>
      </c>
      <c r="L3221" s="754">
        <v>14937.39</v>
      </c>
      <c r="M3221" s="754">
        <f t="shared" si="125"/>
        <v>14937.39</v>
      </c>
      <c r="N3221" s="756">
        <v>108727.25</v>
      </c>
      <c r="O3221" s="720">
        <f t="shared" si="126"/>
        <v>0</v>
      </c>
    </row>
    <row r="3222" spans="1:15" x14ac:dyDescent="0.25">
      <c r="A3222" s="207" t="e">
        <f>VLOOKUP(RIGHT(E3222,3)+0,SchLocTable!$A$2:$B$47,2,FALSE)</f>
        <v>#N/A</v>
      </c>
      <c r="B3222" s="207" t="str">
        <f>VLOOKUP(VALUE(D3222),$D$3:F$106,3,FALSE)</f>
        <v>Security</v>
      </c>
      <c r="C3222" s="751" t="s">
        <v>246</v>
      </c>
      <c r="D3222" s="751" t="s">
        <v>942</v>
      </c>
      <c r="E3222" s="751" t="s">
        <v>943</v>
      </c>
      <c r="F3222" s="751" t="s">
        <v>257</v>
      </c>
      <c r="G3222" s="752" t="s">
        <v>1681</v>
      </c>
      <c r="H3222" s="753">
        <v>51140</v>
      </c>
      <c r="I3222" s="754">
        <v>2175</v>
      </c>
      <c r="J3222" s="754">
        <v>0</v>
      </c>
      <c r="K3222" s="754">
        <v>0</v>
      </c>
      <c r="L3222" s="754">
        <v>2175</v>
      </c>
      <c r="M3222" s="754">
        <f t="shared" si="125"/>
        <v>2175</v>
      </c>
      <c r="N3222" s="756">
        <v>2175</v>
      </c>
      <c r="O3222" s="720">
        <f t="shared" si="126"/>
        <v>0</v>
      </c>
    </row>
    <row r="3223" spans="1:15" x14ac:dyDescent="0.25">
      <c r="A3223" s="207" t="e">
        <f>VLOOKUP(RIGHT(E3223,3)+0,SchLocTable!$A$2:$B$47,2,FALSE)</f>
        <v>#N/A</v>
      </c>
      <c r="B3223" s="207" t="str">
        <f>VLOOKUP(VALUE(D3223),$D$3:F$106,3,FALSE)</f>
        <v>Security</v>
      </c>
      <c r="C3223" s="751" t="s">
        <v>246</v>
      </c>
      <c r="D3223" s="751" t="s">
        <v>942</v>
      </c>
      <c r="E3223" s="751" t="s">
        <v>943</v>
      </c>
      <c r="F3223" s="751" t="s">
        <v>797</v>
      </c>
      <c r="G3223" s="752" t="s">
        <v>1681</v>
      </c>
      <c r="H3223" s="753">
        <v>51156</v>
      </c>
      <c r="I3223" s="754">
        <v>0</v>
      </c>
      <c r="J3223" s="754">
        <v>0</v>
      </c>
      <c r="K3223" s="754">
        <v>0</v>
      </c>
      <c r="L3223" s="754">
        <v>0</v>
      </c>
      <c r="M3223" s="754">
        <f t="shared" si="125"/>
        <v>0</v>
      </c>
      <c r="N3223" s="756">
        <v>0</v>
      </c>
      <c r="O3223" s="720">
        <f t="shared" si="126"/>
        <v>0</v>
      </c>
    </row>
    <row r="3224" spans="1:15" x14ac:dyDescent="0.25">
      <c r="A3224" s="207" t="e">
        <f>VLOOKUP(RIGHT(E3224,3)+0,SchLocTable!$A$2:$B$47,2,FALSE)</f>
        <v>#N/A</v>
      </c>
      <c r="B3224" s="207" t="str">
        <f>VLOOKUP(VALUE(D3224),$D$3:F$106,3,FALSE)</f>
        <v>Security</v>
      </c>
      <c r="C3224" s="751" t="s">
        <v>246</v>
      </c>
      <c r="D3224" s="751" t="s">
        <v>942</v>
      </c>
      <c r="E3224" s="751" t="s">
        <v>943</v>
      </c>
      <c r="F3224" s="751" t="s">
        <v>254</v>
      </c>
      <c r="G3224" s="752" t="s">
        <v>1681</v>
      </c>
      <c r="H3224" s="753">
        <v>52360</v>
      </c>
      <c r="I3224" s="754">
        <v>6077.05</v>
      </c>
      <c r="J3224" s="754">
        <v>0</v>
      </c>
      <c r="K3224" s="754">
        <v>0</v>
      </c>
      <c r="L3224" s="754">
        <v>1172.6500000000001</v>
      </c>
      <c r="M3224" s="754">
        <f t="shared" si="125"/>
        <v>1172.6500000000001</v>
      </c>
      <c r="N3224" s="756">
        <v>6077.05</v>
      </c>
      <c r="O3224" s="720">
        <f t="shared" si="126"/>
        <v>0</v>
      </c>
    </row>
    <row r="3225" spans="1:15" x14ac:dyDescent="0.25">
      <c r="A3225" s="207" t="e">
        <f>VLOOKUP(RIGHT(E3225,3)+0,SchLocTable!$A$2:$B$47,2,FALSE)</f>
        <v>#N/A</v>
      </c>
      <c r="B3225" s="207" t="str">
        <f>VLOOKUP(VALUE(D3225),$D$3:F$106,3,FALSE)</f>
        <v>Security</v>
      </c>
      <c r="C3225" s="751" t="s">
        <v>246</v>
      </c>
      <c r="D3225" s="751" t="s">
        <v>942</v>
      </c>
      <c r="E3225" s="751" t="s">
        <v>943</v>
      </c>
      <c r="F3225" s="751" t="s">
        <v>292</v>
      </c>
      <c r="G3225" s="752" t="s">
        <v>1681</v>
      </c>
      <c r="H3225" s="753">
        <v>52385</v>
      </c>
      <c r="I3225" s="754">
        <v>11220.18</v>
      </c>
      <c r="J3225" s="754">
        <v>0</v>
      </c>
      <c r="K3225" s="754">
        <v>0</v>
      </c>
      <c r="L3225" s="754">
        <v>2040.58</v>
      </c>
      <c r="M3225" s="754">
        <f t="shared" si="125"/>
        <v>2040.58</v>
      </c>
      <c r="N3225" s="756">
        <v>11220.18</v>
      </c>
      <c r="O3225" s="720">
        <f t="shared" si="126"/>
        <v>0</v>
      </c>
    </row>
    <row r="3226" spans="1:15" x14ac:dyDescent="0.25">
      <c r="A3226" s="207" t="e">
        <f>VLOOKUP(RIGHT(E3226,3)+0,SchLocTable!$A$2:$B$47,2,FALSE)</f>
        <v>#N/A</v>
      </c>
      <c r="B3226" s="207" t="str">
        <f>VLOOKUP(VALUE(D3226),$D$3:F$106,3,FALSE)</f>
        <v>Security</v>
      </c>
      <c r="C3226" s="751" t="s">
        <v>246</v>
      </c>
      <c r="D3226" s="751" t="s">
        <v>942</v>
      </c>
      <c r="E3226" s="751" t="s">
        <v>943</v>
      </c>
      <c r="F3226" s="751" t="s">
        <v>806</v>
      </c>
      <c r="G3226" s="752" t="s">
        <v>1681</v>
      </c>
      <c r="H3226" s="753">
        <v>52397</v>
      </c>
      <c r="I3226" s="754">
        <v>0</v>
      </c>
      <c r="J3226" s="754">
        <v>0</v>
      </c>
      <c r="K3226" s="754">
        <v>0</v>
      </c>
      <c r="L3226" s="754">
        <v>0</v>
      </c>
      <c r="M3226" s="754">
        <f t="shared" si="125"/>
        <v>0</v>
      </c>
      <c r="N3226" s="756">
        <v>0</v>
      </c>
      <c r="O3226" s="720">
        <f t="shared" si="126"/>
        <v>0</v>
      </c>
    </row>
    <row r="3227" spans="1:15" x14ac:dyDescent="0.25">
      <c r="A3227" s="207" t="e">
        <f>VLOOKUP(RIGHT(E3227,3)+0,SchLocTable!$A$2:$B$47,2,FALSE)</f>
        <v>#N/A</v>
      </c>
      <c r="B3227" s="207" t="str">
        <f>VLOOKUP(VALUE(D3227),$D$3:F$106,3,FALSE)</f>
        <v>Security</v>
      </c>
      <c r="C3227" s="751" t="s">
        <v>246</v>
      </c>
      <c r="D3227" s="751" t="s">
        <v>942</v>
      </c>
      <c r="E3227" s="751" t="s">
        <v>943</v>
      </c>
      <c r="F3227" s="751" t="s">
        <v>331</v>
      </c>
      <c r="G3227" s="752" t="s">
        <v>1681</v>
      </c>
      <c r="H3227" s="753">
        <v>52504</v>
      </c>
      <c r="I3227" s="754">
        <v>49598.57</v>
      </c>
      <c r="J3227" s="754">
        <v>0</v>
      </c>
      <c r="K3227" s="754">
        <v>0</v>
      </c>
      <c r="L3227" s="754">
        <v>10441.26</v>
      </c>
      <c r="M3227" s="754">
        <f t="shared" si="125"/>
        <v>10441.26</v>
      </c>
      <c r="N3227" s="756">
        <v>49598.57</v>
      </c>
      <c r="O3227" s="720">
        <f t="shared" si="126"/>
        <v>0</v>
      </c>
    </row>
    <row r="3228" spans="1:15" x14ac:dyDescent="0.25">
      <c r="A3228" s="207" t="e">
        <f>VLOOKUP(RIGHT(E3228,3)+0,SchLocTable!$A$2:$B$47,2,FALSE)</f>
        <v>#N/A</v>
      </c>
      <c r="B3228" s="207" t="str">
        <f>VLOOKUP(VALUE(D3228),$D$3:F$106,3,FALSE)</f>
        <v>Security</v>
      </c>
      <c r="C3228" s="751" t="s">
        <v>246</v>
      </c>
      <c r="D3228" s="751" t="s">
        <v>942</v>
      </c>
      <c r="E3228" s="751" t="s">
        <v>943</v>
      </c>
      <c r="F3228" s="751" t="s">
        <v>259</v>
      </c>
      <c r="G3228" s="752" t="s">
        <v>1681</v>
      </c>
      <c r="H3228" s="753">
        <v>52917</v>
      </c>
      <c r="I3228" s="754">
        <v>27881.59</v>
      </c>
      <c r="J3228" s="754">
        <v>0</v>
      </c>
      <c r="K3228" s="754">
        <v>0</v>
      </c>
      <c r="L3228" s="754">
        <v>8546.08</v>
      </c>
      <c r="M3228" s="754">
        <f t="shared" si="125"/>
        <v>8546.08</v>
      </c>
      <c r="N3228" s="756">
        <v>27881.59</v>
      </c>
      <c r="O3228" s="720">
        <f t="shared" si="126"/>
        <v>0</v>
      </c>
    </row>
    <row r="3229" spans="1:15" x14ac:dyDescent="0.25">
      <c r="A3229" s="207" t="e">
        <f>VLOOKUP(RIGHT(E3229,3)+0,SchLocTable!$A$2:$B$47,2,FALSE)</f>
        <v>#N/A</v>
      </c>
      <c r="B3229" s="207" t="str">
        <f>VLOOKUP(VALUE(D3229),$D$3:F$106,3,FALSE)</f>
        <v>Security</v>
      </c>
      <c r="C3229" s="751" t="s">
        <v>246</v>
      </c>
      <c r="D3229" s="751" t="s">
        <v>942</v>
      </c>
      <c r="E3229" s="751" t="s">
        <v>943</v>
      </c>
      <c r="F3229" s="751" t="s">
        <v>333</v>
      </c>
      <c r="G3229" s="752" t="s">
        <v>1681</v>
      </c>
      <c r="H3229" s="753">
        <v>52920</v>
      </c>
      <c r="I3229" s="754">
        <v>0</v>
      </c>
      <c r="J3229" s="754">
        <v>0</v>
      </c>
      <c r="K3229" s="754">
        <v>0</v>
      </c>
      <c r="L3229" s="754">
        <v>0</v>
      </c>
      <c r="M3229" s="754">
        <f t="shared" si="125"/>
        <v>0</v>
      </c>
      <c r="N3229" s="756">
        <v>0</v>
      </c>
      <c r="O3229" s="720">
        <f t="shared" si="126"/>
        <v>0</v>
      </c>
    </row>
    <row r="3230" spans="1:15" x14ac:dyDescent="0.25">
      <c r="A3230" s="207" t="e">
        <f>VLOOKUP(RIGHT(E3230,3)+0,SchLocTable!$A$2:$B$47,2,FALSE)</f>
        <v>#N/A</v>
      </c>
      <c r="B3230" s="207" t="str">
        <f>VLOOKUP(VALUE(D3230),$D$3:F$106,3,FALSE)</f>
        <v>Security</v>
      </c>
      <c r="C3230" s="755" t="s">
        <v>246</v>
      </c>
      <c r="D3230" s="751" t="s">
        <v>942</v>
      </c>
      <c r="E3230" s="751" t="s">
        <v>943</v>
      </c>
      <c r="F3230" s="751" t="s">
        <v>418</v>
      </c>
      <c r="G3230" s="752" t="s">
        <v>1681</v>
      </c>
      <c r="H3230" s="753">
        <v>53610</v>
      </c>
      <c r="I3230" s="754">
        <v>6000</v>
      </c>
      <c r="J3230" s="754">
        <v>0</v>
      </c>
      <c r="K3230" s="754">
        <v>0</v>
      </c>
      <c r="L3230" s="754">
        <v>0</v>
      </c>
      <c r="M3230" s="754">
        <f t="shared" si="125"/>
        <v>0</v>
      </c>
      <c r="N3230" s="756">
        <v>6000</v>
      </c>
      <c r="O3230" s="720">
        <f t="shared" si="126"/>
        <v>0</v>
      </c>
    </row>
    <row r="3231" spans="1:15" x14ac:dyDescent="0.25">
      <c r="A3231" s="207" t="e">
        <f>VLOOKUP(RIGHT(E3231,3)+0,SchLocTable!$A$2:$B$47,2,FALSE)</f>
        <v>#N/A</v>
      </c>
      <c r="B3231" s="207" t="str">
        <f>VLOOKUP(VALUE(D3231),$D$3:F$106,3,FALSE)</f>
        <v>Security</v>
      </c>
      <c r="C3231" s="751" t="s">
        <v>246</v>
      </c>
      <c r="D3231" s="751" t="s">
        <v>942</v>
      </c>
      <c r="E3231" s="751" t="s">
        <v>943</v>
      </c>
      <c r="F3231" s="751" t="s">
        <v>372</v>
      </c>
      <c r="G3231" s="752" t="s">
        <v>1681</v>
      </c>
      <c r="H3231" s="753">
        <v>54675</v>
      </c>
      <c r="I3231" s="754">
        <v>8562.66</v>
      </c>
      <c r="J3231" s="754">
        <v>0</v>
      </c>
      <c r="K3231" s="754">
        <v>0</v>
      </c>
      <c r="L3231" s="754">
        <v>0</v>
      </c>
      <c r="M3231" s="754">
        <f t="shared" si="125"/>
        <v>0</v>
      </c>
      <c r="N3231" s="756">
        <v>8562.66</v>
      </c>
      <c r="O3231" s="720">
        <f t="shared" si="126"/>
        <v>0</v>
      </c>
    </row>
    <row r="3232" spans="1:15" x14ac:dyDescent="0.25">
      <c r="A3232" s="207" t="e">
        <f>VLOOKUP(RIGHT(E3232,3)+0,SchLocTable!$A$2:$B$47,2,FALSE)</f>
        <v>#N/A</v>
      </c>
      <c r="B3232" s="207" t="str">
        <f>VLOOKUP(VALUE(D3232),$D$3:F$106,3,FALSE)</f>
        <v>Security</v>
      </c>
      <c r="C3232" s="751" t="s">
        <v>246</v>
      </c>
      <c r="D3232" s="751" t="s">
        <v>942</v>
      </c>
      <c r="E3232" s="751" t="s">
        <v>943</v>
      </c>
      <c r="F3232" s="751" t="s">
        <v>783</v>
      </c>
      <c r="G3232" s="752" t="s">
        <v>1681</v>
      </c>
      <c r="H3232" s="753">
        <v>54745</v>
      </c>
      <c r="I3232" s="754">
        <v>39700</v>
      </c>
      <c r="J3232" s="754">
        <v>26919</v>
      </c>
      <c r="K3232" s="754">
        <v>0</v>
      </c>
      <c r="L3232" s="754">
        <v>0</v>
      </c>
      <c r="M3232" s="754">
        <f t="shared" si="125"/>
        <v>26919</v>
      </c>
      <c r="N3232" s="756">
        <v>39700</v>
      </c>
      <c r="O3232" s="720">
        <f t="shared" si="126"/>
        <v>0</v>
      </c>
    </row>
    <row r="3233" spans="1:15" x14ac:dyDescent="0.25">
      <c r="A3233" s="207" t="e">
        <f>VLOOKUP(RIGHT(E3233,3)+0,SchLocTable!$A$2:$B$47,2,FALSE)</f>
        <v>#N/A</v>
      </c>
      <c r="B3233" s="207" t="str">
        <f>VLOOKUP(VALUE(D3233),$D$3:F$106,3,FALSE)</f>
        <v>Security</v>
      </c>
      <c r="C3233" s="751" t="s">
        <v>246</v>
      </c>
      <c r="D3233" s="751" t="s">
        <v>942</v>
      </c>
      <c r="E3233" s="751" t="s">
        <v>943</v>
      </c>
      <c r="F3233" s="751" t="s">
        <v>925</v>
      </c>
      <c r="G3233" s="752" t="s">
        <v>1681</v>
      </c>
      <c r="H3233" s="753">
        <v>56225</v>
      </c>
      <c r="I3233" s="754">
        <v>366561</v>
      </c>
      <c r="J3233" s="754">
        <v>252802.35</v>
      </c>
      <c r="K3233" s="754">
        <v>0</v>
      </c>
      <c r="L3233" s="754">
        <v>84267.45</v>
      </c>
      <c r="M3233" s="754">
        <f t="shared" si="125"/>
        <v>337069.8</v>
      </c>
      <c r="N3233" s="756">
        <v>366561</v>
      </c>
      <c r="O3233" s="720">
        <f t="shared" si="126"/>
        <v>0</v>
      </c>
    </row>
    <row r="3234" spans="1:15" x14ac:dyDescent="0.25">
      <c r="A3234" s="207" t="e">
        <f>VLOOKUP(RIGHT(E3234,3)+0,SchLocTable!$A$2:$B$47,2,FALSE)</f>
        <v>#N/A</v>
      </c>
      <c r="B3234" s="207" t="str">
        <f>VLOOKUP(VALUE(D3234),$D$3:F$106,3,FALSE)</f>
        <v>Security</v>
      </c>
      <c r="C3234" s="751" t="s">
        <v>246</v>
      </c>
      <c r="D3234" s="751" t="s">
        <v>942</v>
      </c>
      <c r="E3234" s="751" t="s">
        <v>949</v>
      </c>
      <c r="F3234" s="751" t="s">
        <v>340</v>
      </c>
      <c r="G3234" s="752" t="s">
        <v>1681</v>
      </c>
      <c r="H3234" s="753">
        <v>51106</v>
      </c>
      <c r="I3234" s="754">
        <v>0</v>
      </c>
      <c r="J3234" s="754">
        <v>0</v>
      </c>
      <c r="K3234" s="754">
        <v>0</v>
      </c>
      <c r="L3234" s="754">
        <v>0</v>
      </c>
      <c r="M3234" s="754">
        <f t="shared" si="125"/>
        <v>0</v>
      </c>
      <c r="N3234" s="756">
        <v>0</v>
      </c>
      <c r="O3234" s="720">
        <f t="shared" si="126"/>
        <v>0</v>
      </c>
    </row>
    <row r="3235" spans="1:15" x14ac:dyDescent="0.25">
      <c r="A3235" s="207" t="e">
        <f>VLOOKUP(RIGHT(E3235,3)+0,SchLocTable!$A$2:$B$47,2,FALSE)</f>
        <v>#N/A</v>
      </c>
      <c r="B3235" s="207" t="str">
        <f>VLOOKUP(VALUE(D3235),$D$3:F$106,3,FALSE)</f>
        <v>Security</v>
      </c>
      <c r="C3235" s="751" t="s">
        <v>246</v>
      </c>
      <c r="D3235" s="751" t="s">
        <v>942</v>
      </c>
      <c r="E3235" s="751" t="s">
        <v>949</v>
      </c>
      <c r="F3235" s="751" t="s">
        <v>378</v>
      </c>
      <c r="G3235" s="752" t="s">
        <v>1681</v>
      </c>
      <c r="H3235" s="753">
        <v>51108</v>
      </c>
      <c r="I3235" s="754">
        <v>97.02</v>
      </c>
      <c r="J3235" s="754">
        <v>0</v>
      </c>
      <c r="K3235" s="754">
        <v>0</v>
      </c>
      <c r="L3235" s="754">
        <v>97.02</v>
      </c>
      <c r="M3235" s="754">
        <f t="shared" si="125"/>
        <v>97.02</v>
      </c>
      <c r="N3235" s="756">
        <v>97.02</v>
      </c>
      <c r="O3235" s="720">
        <f t="shared" si="126"/>
        <v>0</v>
      </c>
    </row>
    <row r="3236" spans="1:15" x14ac:dyDescent="0.25">
      <c r="A3236" s="207" t="e">
        <f>VLOOKUP(RIGHT(E3236,3)+0,SchLocTable!$A$2:$B$47,2,FALSE)</f>
        <v>#N/A</v>
      </c>
      <c r="B3236" s="207" t="str">
        <f>VLOOKUP(VALUE(D3236),$D$3:F$106,3,FALSE)</f>
        <v>Security</v>
      </c>
      <c r="C3236" s="751" t="s">
        <v>246</v>
      </c>
      <c r="D3236" s="751" t="s">
        <v>942</v>
      </c>
      <c r="E3236" s="751" t="s">
        <v>949</v>
      </c>
      <c r="F3236" s="751" t="s">
        <v>380</v>
      </c>
      <c r="G3236" s="752" t="s">
        <v>1681</v>
      </c>
      <c r="H3236" s="753">
        <v>51122</v>
      </c>
      <c r="I3236" s="754">
        <v>5068.87</v>
      </c>
      <c r="J3236" s="754">
        <v>0</v>
      </c>
      <c r="K3236" s="754">
        <v>0</v>
      </c>
      <c r="L3236" s="754">
        <v>136.26</v>
      </c>
      <c r="M3236" s="754">
        <f t="shared" si="125"/>
        <v>136.26</v>
      </c>
      <c r="N3236" s="756">
        <v>5068.87</v>
      </c>
      <c r="O3236" s="720">
        <f t="shared" si="126"/>
        <v>0</v>
      </c>
    </row>
    <row r="3237" spans="1:15" x14ac:dyDescent="0.25">
      <c r="A3237" s="207" t="e">
        <f>VLOOKUP(RIGHT(E3237,3)+0,SchLocTable!$A$2:$B$47,2,FALSE)</f>
        <v>#N/A</v>
      </c>
      <c r="B3237" s="207" t="str">
        <f>VLOOKUP(VALUE(D3237),$D$3:F$106,3,FALSE)</f>
        <v>Security</v>
      </c>
      <c r="C3237" s="751" t="s">
        <v>246</v>
      </c>
      <c r="D3237" s="751" t="s">
        <v>942</v>
      </c>
      <c r="E3237" s="751" t="s">
        <v>949</v>
      </c>
      <c r="F3237" s="751" t="s">
        <v>254</v>
      </c>
      <c r="G3237" s="752" t="s">
        <v>1681</v>
      </c>
      <c r="H3237" s="753">
        <v>52360</v>
      </c>
      <c r="I3237" s="754">
        <v>74.91</v>
      </c>
      <c r="J3237" s="754">
        <v>0</v>
      </c>
      <c r="K3237" s="754">
        <v>0</v>
      </c>
      <c r="L3237" s="754">
        <v>3.39</v>
      </c>
      <c r="M3237" s="754">
        <f t="shared" si="125"/>
        <v>3.39</v>
      </c>
      <c r="N3237" s="756">
        <v>74.91</v>
      </c>
      <c r="O3237" s="720">
        <f t="shared" si="126"/>
        <v>0</v>
      </c>
    </row>
    <row r="3238" spans="1:15" x14ac:dyDescent="0.25">
      <c r="A3238" s="207" t="e">
        <f>VLOOKUP(RIGHT(E3238,3)+0,SchLocTable!$A$2:$B$47,2,FALSE)</f>
        <v>#N/A</v>
      </c>
      <c r="B3238" s="207" t="str">
        <f>VLOOKUP(VALUE(D3238),$D$3:F$106,3,FALSE)</f>
        <v>Security</v>
      </c>
      <c r="C3238" s="751" t="s">
        <v>246</v>
      </c>
      <c r="D3238" s="751" t="s">
        <v>942</v>
      </c>
      <c r="E3238" s="751" t="s">
        <v>949</v>
      </c>
      <c r="F3238" s="751" t="s">
        <v>331</v>
      </c>
      <c r="G3238" s="752" t="s">
        <v>1681</v>
      </c>
      <c r="H3238" s="753">
        <v>52504</v>
      </c>
      <c r="I3238" s="754">
        <v>1063.6600000000001</v>
      </c>
      <c r="J3238" s="754">
        <v>0</v>
      </c>
      <c r="K3238" s="754">
        <v>0</v>
      </c>
      <c r="L3238" s="754">
        <v>48.04</v>
      </c>
      <c r="M3238" s="754">
        <f t="shared" si="125"/>
        <v>48.04</v>
      </c>
      <c r="N3238" s="756">
        <v>1063.6600000000001</v>
      </c>
      <c r="O3238" s="720">
        <f t="shared" si="126"/>
        <v>0</v>
      </c>
    </row>
    <row r="3239" spans="1:15" x14ac:dyDescent="0.25">
      <c r="A3239" s="207" t="str">
        <f>VLOOKUP(RIGHT(E3239,3)+0,SchLocTable!$A$2:$B$47,2,FALSE)</f>
        <v>Barnum</v>
      </c>
      <c r="B3239" s="207" t="str">
        <f>VLOOKUP(VALUE(D3239),$D$3:F$106,3,FALSE)</f>
        <v>Security</v>
      </c>
      <c r="C3239" s="751" t="s">
        <v>246</v>
      </c>
      <c r="D3239" s="755" t="s">
        <v>942</v>
      </c>
      <c r="E3239" s="751" t="s">
        <v>950</v>
      </c>
      <c r="F3239" s="751" t="s">
        <v>248</v>
      </c>
      <c r="G3239" s="752">
        <v>1</v>
      </c>
      <c r="H3239" s="753">
        <v>51000</v>
      </c>
      <c r="I3239" s="754">
        <v>45774.48</v>
      </c>
      <c r="J3239" s="754">
        <v>0</v>
      </c>
      <c r="K3239" s="754">
        <v>0</v>
      </c>
      <c r="L3239" s="754">
        <v>14019.84</v>
      </c>
      <c r="M3239" s="754">
        <f t="shared" si="125"/>
        <v>14019.84</v>
      </c>
      <c r="N3239" s="756">
        <v>45774.48</v>
      </c>
      <c r="O3239" s="720">
        <f t="shared" si="126"/>
        <v>0</v>
      </c>
    </row>
    <row r="3240" spans="1:15" x14ac:dyDescent="0.25">
      <c r="A3240" s="207" t="str">
        <f>VLOOKUP(RIGHT(E3240,3)+0,SchLocTable!$A$2:$B$47,2,FALSE)</f>
        <v>Barnum</v>
      </c>
      <c r="B3240" s="207" t="str">
        <f>VLOOKUP(VALUE(D3240),$D$3:F$106,3,FALSE)</f>
        <v>Security</v>
      </c>
      <c r="C3240" s="755" t="s">
        <v>246</v>
      </c>
      <c r="D3240" s="751" t="s">
        <v>942</v>
      </c>
      <c r="E3240" s="751" t="s">
        <v>950</v>
      </c>
      <c r="F3240" s="751" t="s">
        <v>378</v>
      </c>
      <c r="G3240" s="752" t="s">
        <v>1681</v>
      </c>
      <c r="H3240" s="753">
        <v>51108</v>
      </c>
      <c r="I3240" s="754">
        <v>0</v>
      </c>
      <c r="J3240" s="754">
        <v>0</v>
      </c>
      <c r="K3240" s="754">
        <v>0</v>
      </c>
      <c r="L3240" s="754">
        <v>0</v>
      </c>
      <c r="M3240" s="754">
        <f t="shared" si="125"/>
        <v>0</v>
      </c>
      <c r="N3240" s="756">
        <v>0</v>
      </c>
      <c r="O3240" s="720">
        <f t="shared" si="126"/>
        <v>0</v>
      </c>
    </row>
    <row r="3241" spans="1:15" x14ac:dyDescent="0.25">
      <c r="A3241" s="207" t="str">
        <f>VLOOKUP(RIGHT(E3241,3)+0,SchLocTable!$A$2:$B$47,2,FALSE)</f>
        <v>Barnum</v>
      </c>
      <c r="B3241" s="207" t="str">
        <f>VLOOKUP(VALUE(D3241),$D$3:F$106,3,FALSE)</f>
        <v>Security</v>
      </c>
      <c r="C3241" s="751" t="s">
        <v>246</v>
      </c>
      <c r="D3241" s="751" t="s">
        <v>942</v>
      </c>
      <c r="E3241" s="751" t="s">
        <v>950</v>
      </c>
      <c r="F3241" s="751" t="s">
        <v>380</v>
      </c>
      <c r="G3241" s="752" t="s">
        <v>1681</v>
      </c>
      <c r="H3241" s="753">
        <v>51122</v>
      </c>
      <c r="I3241" s="754">
        <v>0</v>
      </c>
      <c r="J3241" s="754">
        <v>0</v>
      </c>
      <c r="K3241" s="754">
        <v>0</v>
      </c>
      <c r="L3241" s="754">
        <v>0</v>
      </c>
      <c r="M3241" s="754">
        <f t="shared" si="125"/>
        <v>0</v>
      </c>
      <c r="N3241" s="756">
        <v>0</v>
      </c>
      <c r="O3241" s="720">
        <f t="shared" si="126"/>
        <v>0</v>
      </c>
    </row>
    <row r="3242" spans="1:15" x14ac:dyDescent="0.25">
      <c r="A3242" s="207" t="str">
        <f>VLOOKUP(RIGHT(E3242,3)+0,SchLocTable!$A$2:$B$47,2,FALSE)</f>
        <v>Barnum</v>
      </c>
      <c r="B3242" s="207" t="str">
        <f>VLOOKUP(VALUE(D3242),$D$3:F$106,3,FALSE)</f>
        <v>Security</v>
      </c>
      <c r="C3242" s="751" t="s">
        <v>246</v>
      </c>
      <c r="D3242" s="751" t="s">
        <v>942</v>
      </c>
      <c r="E3242" s="751" t="s">
        <v>950</v>
      </c>
      <c r="F3242" s="751" t="s">
        <v>257</v>
      </c>
      <c r="G3242" s="752" t="s">
        <v>1681</v>
      </c>
      <c r="H3242" s="753">
        <v>51140</v>
      </c>
      <c r="I3242" s="754">
        <v>825</v>
      </c>
      <c r="J3242" s="754">
        <v>0</v>
      </c>
      <c r="K3242" s="754">
        <v>0</v>
      </c>
      <c r="L3242" s="754">
        <v>825</v>
      </c>
      <c r="M3242" s="754">
        <f t="shared" si="125"/>
        <v>825</v>
      </c>
      <c r="N3242" s="756">
        <v>825</v>
      </c>
      <c r="O3242" s="720">
        <f t="shared" si="126"/>
        <v>0</v>
      </c>
    </row>
    <row r="3243" spans="1:15" x14ac:dyDescent="0.25">
      <c r="A3243" s="207" t="str">
        <f>VLOOKUP(RIGHT(E3243,3)+0,SchLocTable!$A$2:$B$47,2,FALSE)</f>
        <v>Barnum</v>
      </c>
      <c r="B3243" s="207" t="str">
        <f>VLOOKUP(VALUE(D3243),$D$3:F$106,3,FALSE)</f>
        <v>Security</v>
      </c>
      <c r="C3243" s="751" t="s">
        <v>246</v>
      </c>
      <c r="D3243" s="751" t="s">
        <v>942</v>
      </c>
      <c r="E3243" s="751" t="s">
        <v>950</v>
      </c>
      <c r="F3243" s="751" t="s">
        <v>254</v>
      </c>
      <c r="G3243" s="752" t="s">
        <v>1681</v>
      </c>
      <c r="H3243" s="753">
        <v>52360</v>
      </c>
      <c r="I3243" s="754">
        <v>632.51</v>
      </c>
      <c r="J3243" s="754">
        <v>0</v>
      </c>
      <c r="K3243" s="754">
        <v>0</v>
      </c>
      <c r="L3243" s="754">
        <v>172.07</v>
      </c>
      <c r="M3243" s="754">
        <f t="shared" si="125"/>
        <v>172.07</v>
      </c>
      <c r="N3243" s="756">
        <v>632.51</v>
      </c>
      <c r="O3243" s="720">
        <f t="shared" si="126"/>
        <v>0</v>
      </c>
    </row>
    <row r="3244" spans="1:15" x14ac:dyDescent="0.25">
      <c r="A3244" s="207" t="str">
        <f>VLOOKUP(RIGHT(E3244,3)+0,SchLocTable!$A$2:$B$47,2,FALSE)</f>
        <v>Barnum</v>
      </c>
      <c r="B3244" s="207" t="str">
        <f>VLOOKUP(VALUE(D3244),$D$3:F$106,3,FALSE)</f>
        <v>Security</v>
      </c>
      <c r="C3244" s="751" t="s">
        <v>246</v>
      </c>
      <c r="D3244" s="751" t="s">
        <v>942</v>
      </c>
      <c r="E3244" s="751" t="s">
        <v>950</v>
      </c>
      <c r="F3244" s="751" t="s">
        <v>331</v>
      </c>
      <c r="G3244" s="752" t="s">
        <v>1681</v>
      </c>
      <c r="H3244" s="753">
        <v>52504</v>
      </c>
      <c r="I3244" s="754">
        <v>9594.89</v>
      </c>
      <c r="J3244" s="754">
        <v>0</v>
      </c>
      <c r="K3244" s="754">
        <v>0</v>
      </c>
      <c r="L3244" s="754">
        <v>3056.61</v>
      </c>
      <c r="M3244" s="754">
        <f t="shared" si="125"/>
        <v>3056.61</v>
      </c>
      <c r="N3244" s="756">
        <v>9594.89</v>
      </c>
      <c r="O3244" s="720">
        <f t="shared" si="126"/>
        <v>0</v>
      </c>
    </row>
    <row r="3245" spans="1:15" x14ac:dyDescent="0.25">
      <c r="A3245" s="207" t="str">
        <f>VLOOKUP(RIGHT(E3245,3)+0,SchLocTable!$A$2:$B$47,2,FALSE)</f>
        <v>Barnum</v>
      </c>
      <c r="B3245" s="207" t="str">
        <f>VLOOKUP(VALUE(D3245),$D$3:F$106,3,FALSE)</f>
        <v>Security</v>
      </c>
      <c r="C3245" s="751" t="s">
        <v>246</v>
      </c>
      <c r="D3245" s="751" t="s">
        <v>942</v>
      </c>
      <c r="E3245" s="751" t="s">
        <v>950</v>
      </c>
      <c r="F3245" s="751" t="s">
        <v>259</v>
      </c>
      <c r="G3245" s="752" t="s">
        <v>1681</v>
      </c>
      <c r="H3245" s="753">
        <v>52917</v>
      </c>
      <c r="I3245" s="754">
        <v>27162.27</v>
      </c>
      <c r="J3245" s="754">
        <v>0</v>
      </c>
      <c r="K3245" s="754">
        <v>0</v>
      </c>
      <c r="L3245" s="754">
        <v>8325.6</v>
      </c>
      <c r="M3245" s="754">
        <f t="shared" si="125"/>
        <v>8325.6</v>
      </c>
      <c r="N3245" s="756">
        <v>27162.27</v>
      </c>
      <c r="O3245" s="720">
        <f t="shared" si="126"/>
        <v>0</v>
      </c>
    </row>
    <row r="3246" spans="1:15" x14ac:dyDescent="0.25">
      <c r="A3246" s="207" t="str">
        <f>VLOOKUP(RIGHT(E3246,3)+0,SchLocTable!$A$2:$B$47,2,FALSE)</f>
        <v>Beardsley</v>
      </c>
      <c r="B3246" s="207" t="str">
        <f>VLOOKUP(VALUE(D3246),$D$3:F$106,3,FALSE)</f>
        <v>Security</v>
      </c>
      <c r="C3246" s="751" t="s">
        <v>246</v>
      </c>
      <c r="D3246" s="751" t="s">
        <v>942</v>
      </c>
      <c r="E3246" s="751" t="s">
        <v>951</v>
      </c>
      <c r="F3246" s="751" t="s">
        <v>248</v>
      </c>
      <c r="G3246" s="752" t="s">
        <v>1681</v>
      </c>
      <c r="H3246" s="753">
        <v>51000</v>
      </c>
      <c r="I3246" s="754">
        <v>0</v>
      </c>
      <c r="J3246" s="754">
        <v>0</v>
      </c>
      <c r="K3246" s="754">
        <v>0</v>
      </c>
      <c r="L3246" s="754">
        <v>0</v>
      </c>
      <c r="M3246" s="754">
        <f t="shared" si="125"/>
        <v>0</v>
      </c>
      <c r="N3246" s="756">
        <v>0</v>
      </c>
      <c r="O3246" s="720">
        <f t="shared" si="126"/>
        <v>0</v>
      </c>
    </row>
    <row r="3247" spans="1:15" x14ac:dyDescent="0.25">
      <c r="A3247" s="207" t="str">
        <f>VLOOKUP(RIGHT(E3247,3)+0,SchLocTable!$A$2:$B$47,2,FALSE)</f>
        <v>Beardsley</v>
      </c>
      <c r="B3247" s="207" t="str">
        <f>VLOOKUP(VALUE(D3247),$D$3:F$106,3,FALSE)</f>
        <v>Security</v>
      </c>
      <c r="C3247" s="751" t="s">
        <v>246</v>
      </c>
      <c r="D3247" s="751" t="s">
        <v>942</v>
      </c>
      <c r="E3247" s="751" t="s">
        <v>951</v>
      </c>
      <c r="F3247" s="751" t="s">
        <v>250</v>
      </c>
      <c r="G3247" s="752" t="s">
        <v>1681</v>
      </c>
      <c r="H3247" s="753">
        <v>51100</v>
      </c>
      <c r="I3247" s="754">
        <v>0</v>
      </c>
      <c r="J3247" s="754">
        <v>0</v>
      </c>
      <c r="K3247" s="754">
        <v>0</v>
      </c>
      <c r="L3247" s="754">
        <v>0</v>
      </c>
      <c r="M3247" s="754">
        <f t="shared" si="125"/>
        <v>0</v>
      </c>
      <c r="N3247" s="756">
        <v>0</v>
      </c>
      <c r="O3247" s="720">
        <f t="shared" si="126"/>
        <v>0</v>
      </c>
    </row>
    <row r="3248" spans="1:15" x14ac:dyDescent="0.25">
      <c r="A3248" s="207" t="str">
        <f>VLOOKUP(RIGHT(E3248,3)+0,SchLocTable!$A$2:$B$47,2,FALSE)</f>
        <v>Beardsley</v>
      </c>
      <c r="B3248" s="207" t="str">
        <f>VLOOKUP(VALUE(D3248),$D$3:F$106,3,FALSE)</f>
        <v>Security</v>
      </c>
      <c r="C3248" s="751" t="s">
        <v>246</v>
      </c>
      <c r="D3248" s="751" t="s">
        <v>942</v>
      </c>
      <c r="E3248" s="751" t="s">
        <v>951</v>
      </c>
      <c r="F3248" s="751" t="s">
        <v>257</v>
      </c>
      <c r="G3248" s="752" t="s">
        <v>1681</v>
      </c>
      <c r="H3248" s="753">
        <v>51140</v>
      </c>
      <c r="I3248" s="754">
        <v>0</v>
      </c>
      <c r="J3248" s="754">
        <v>0</v>
      </c>
      <c r="K3248" s="754">
        <v>0</v>
      </c>
      <c r="L3248" s="754">
        <v>0</v>
      </c>
      <c r="M3248" s="754">
        <f t="shared" si="125"/>
        <v>0</v>
      </c>
      <c r="N3248" s="756">
        <v>0</v>
      </c>
      <c r="O3248" s="720">
        <f t="shared" si="126"/>
        <v>0</v>
      </c>
    </row>
    <row r="3249" spans="1:15" x14ac:dyDescent="0.25">
      <c r="A3249" s="207" t="str">
        <f>VLOOKUP(RIGHT(E3249,3)+0,SchLocTable!$A$2:$B$47,2,FALSE)</f>
        <v>Beardsley</v>
      </c>
      <c r="B3249" s="207" t="str">
        <f>VLOOKUP(VALUE(D3249),$D$3:F$106,3,FALSE)</f>
        <v>Security</v>
      </c>
      <c r="C3249" s="751" t="s">
        <v>246</v>
      </c>
      <c r="D3249" s="751" t="s">
        <v>942</v>
      </c>
      <c r="E3249" s="751" t="s">
        <v>951</v>
      </c>
      <c r="F3249" s="751" t="s">
        <v>254</v>
      </c>
      <c r="G3249" s="752" t="s">
        <v>1681</v>
      </c>
      <c r="H3249" s="753">
        <v>52360</v>
      </c>
      <c r="I3249" s="754">
        <v>0</v>
      </c>
      <c r="J3249" s="754">
        <v>0</v>
      </c>
      <c r="K3249" s="754">
        <v>0</v>
      </c>
      <c r="L3249" s="754">
        <v>0</v>
      </c>
      <c r="M3249" s="754">
        <f t="shared" si="125"/>
        <v>0</v>
      </c>
      <c r="N3249" s="756">
        <v>0</v>
      </c>
      <c r="O3249" s="720">
        <f t="shared" si="126"/>
        <v>0</v>
      </c>
    </row>
    <row r="3250" spans="1:15" x14ac:dyDescent="0.25">
      <c r="A3250" s="207" t="str">
        <f>VLOOKUP(RIGHT(E3250,3)+0,SchLocTable!$A$2:$B$47,2,FALSE)</f>
        <v>Beardsley</v>
      </c>
      <c r="B3250" s="207" t="str">
        <f>VLOOKUP(VALUE(D3250),$D$3:F$106,3,FALSE)</f>
        <v>Security</v>
      </c>
      <c r="C3250" s="751" t="s">
        <v>246</v>
      </c>
      <c r="D3250" s="751" t="s">
        <v>942</v>
      </c>
      <c r="E3250" s="751" t="s">
        <v>951</v>
      </c>
      <c r="F3250" s="751" t="s">
        <v>292</v>
      </c>
      <c r="G3250" s="752" t="s">
        <v>1681</v>
      </c>
      <c r="H3250" s="753">
        <v>52385</v>
      </c>
      <c r="I3250" s="754">
        <v>0</v>
      </c>
      <c r="J3250" s="754">
        <v>0</v>
      </c>
      <c r="K3250" s="754">
        <v>0</v>
      </c>
      <c r="L3250" s="754">
        <v>0</v>
      </c>
      <c r="M3250" s="754">
        <f t="shared" si="125"/>
        <v>0</v>
      </c>
      <c r="N3250" s="756">
        <v>0</v>
      </c>
      <c r="O3250" s="720">
        <f t="shared" si="126"/>
        <v>0</v>
      </c>
    </row>
    <row r="3251" spans="1:15" x14ac:dyDescent="0.25">
      <c r="A3251" s="207" t="str">
        <f>VLOOKUP(RIGHT(E3251,3)+0,SchLocTable!$A$2:$B$47,2,FALSE)</f>
        <v>Beardsley</v>
      </c>
      <c r="B3251" s="207" t="str">
        <f>VLOOKUP(VALUE(D3251),$D$3:F$106,3,FALSE)</f>
        <v>Security</v>
      </c>
      <c r="C3251" s="755" t="s">
        <v>246</v>
      </c>
      <c r="D3251" s="751" t="s">
        <v>942</v>
      </c>
      <c r="E3251" s="751" t="s">
        <v>951</v>
      </c>
      <c r="F3251" s="751" t="s">
        <v>331</v>
      </c>
      <c r="G3251" s="752" t="s">
        <v>1681</v>
      </c>
      <c r="H3251" s="753">
        <v>52504</v>
      </c>
      <c r="I3251" s="754">
        <v>0</v>
      </c>
      <c r="J3251" s="754">
        <v>0</v>
      </c>
      <c r="K3251" s="754">
        <v>0</v>
      </c>
      <c r="L3251" s="754">
        <v>0</v>
      </c>
      <c r="M3251" s="754">
        <f t="shared" si="125"/>
        <v>0</v>
      </c>
      <c r="N3251" s="756">
        <v>0</v>
      </c>
      <c r="O3251" s="720">
        <f t="shared" si="126"/>
        <v>0</v>
      </c>
    </row>
    <row r="3252" spans="1:15" x14ac:dyDescent="0.25">
      <c r="A3252" s="207" t="str">
        <f>VLOOKUP(RIGHT(E3252,3)+0,SchLocTable!$A$2:$B$47,2,FALSE)</f>
        <v>Beardsley</v>
      </c>
      <c r="B3252" s="207" t="str">
        <f>VLOOKUP(VALUE(D3252),$D$3:F$106,3,FALSE)</f>
        <v>Security</v>
      </c>
      <c r="C3252" s="751" t="s">
        <v>246</v>
      </c>
      <c r="D3252" s="751" t="s">
        <v>942</v>
      </c>
      <c r="E3252" s="751" t="s">
        <v>951</v>
      </c>
      <c r="F3252" s="751" t="s">
        <v>259</v>
      </c>
      <c r="G3252" s="752" t="s">
        <v>1681</v>
      </c>
      <c r="H3252" s="753">
        <v>52917</v>
      </c>
      <c r="I3252" s="754">
        <v>0</v>
      </c>
      <c r="J3252" s="754">
        <v>0</v>
      </c>
      <c r="K3252" s="754">
        <v>0</v>
      </c>
      <c r="L3252" s="754">
        <v>0</v>
      </c>
      <c r="M3252" s="754">
        <f t="shared" si="125"/>
        <v>0</v>
      </c>
      <c r="N3252" s="756">
        <v>0</v>
      </c>
      <c r="O3252" s="720">
        <f t="shared" si="126"/>
        <v>0</v>
      </c>
    </row>
    <row r="3253" spans="1:15" x14ac:dyDescent="0.25">
      <c r="A3253" s="207" t="str">
        <f>VLOOKUP(RIGHT(E3253,3)+0,SchLocTable!$A$2:$B$47,2,FALSE)</f>
        <v>Black Rock</v>
      </c>
      <c r="B3253" s="207" t="str">
        <f>VLOOKUP(VALUE(D3253),$D$3:F$106,3,FALSE)</f>
        <v>Security</v>
      </c>
      <c r="C3253" s="755" t="s">
        <v>246</v>
      </c>
      <c r="D3253" s="751" t="s">
        <v>942</v>
      </c>
      <c r="E3253" s="751" t="s">
        <v>952</v>
      </c>
      <c r="F3253" s="751" t="s">
        <v>248</v>
      </c>
      <c r="G3253" s="752">
        <v>1</v>
      </c>
      <c r="H3253" s="753">
        <v>51000</v>
      </c>
      <c r="I3253" s="754">
        <v>45012.24</v>
      </c>
      <c r="J3253" s="754">
        <v>0</v>
      </c>
      <c r="K3253" s="754">
        <v>0</v>
      </c>
      <c r="L3253" s="754">
        <v>13793.36</v>
      </c>
      <c r="M3253" s="754">
        <f t="shared" si="125"/>
        <v>13793.36</v>
      </c>
      <c r="N3253" s="756">
        <v>45012.24</v>
      </c>
      <c r="O3253" s="720">
        <f t="shared" si="126"/>
        <v>0</v>
      </c>
    </row>
    <row r="3254" spans="1:15" x14ac:dyDescent="0.25">
      <c r="A3254" s="207" t="str">
        <f>VLOOKUP(RIGHT(E3254,3)+0,SchLocTable!$A$2:$B$47,2,FALSE)</f>
        <v>Black Rock</v>
      </c>
      <c r="B3254" s="207" t="str">
        <f>VLOOKUP(VALUE(D3254),$D$3:F$106,3,FALSE)</f>
        <v>Security</v>
      </c>
      <c r="C3254" s="751" t="s">
        <v>246</v>
      </c>
      <c r="D3254" s="751" t="s">
        <v>942</v>
      </c>
      <c r="E3254" s="751" t="s">
        <v>952</v>
      </c>
      <c r="F3254" s="751" t="s">
        <v>254</v>
      </c>
      <c r="G3254" s="752" t="s">
        <v>1681</v>
      </c>
      <c r="H3254" s="753">
        <v>52360</v>
      </c>
      <c r="I3254" s="754">
        <v>634.83000000000004</v>
      </c>
      <c r="J3254" s="754">
        <v>0</v>
      </c>
      <c r="K3254" s="754">
        <v>0</v>
      </c>
      <c r="L3254" s="754">
        <v>182.16</v>
      </c>
      <c r="M3254" s="754">
        <f t="shared" si="125"/>
        <v>182.16</v>
      </c>
      <c r="N3254" s="756">
        <v>634.83000000000004</v>
      </c>
      <c r="O3254" s="720">
        <f t="shared" si="126"/>
        <v>0</v>
      </c>
    </row>
    <row r="3255" spans="1:15" x14ac:dyDescent="0.25">
      <c r="A3255" s="207" t="str">
        <f>VLOOKUP(RIGHT(E3255,3)+0,SchLocTable!$A$2:$B$47,2,FALSE)</f>
        <v>Black Rock</v>
      </c>
      <c r="B3255" s="207" t="str">
        <f>VLOOKUP(VALUE(D3255),$D$3:F$106,3,FALSE)</f>
        <v>Security</v>
      </c>
      <c r="C3255" s="751" t="s">
        <v>246</v>
      </c>
      <c r="D3255" s="751" t="s">
        <v>942</v>
      </c>
      <c r="E3255" s="751" t="s">
        <v>952</v>
      </c>
      <c r="F3255" s="751" t="s">
        <v>331</v>
      </c>
      <c r="G3255" s="752" t="s">
        <v>1681</v>
      </c>
      <c r="H3255" s="753">
        <v>52504</v>
      </c>
      <c r="I3255" s="754">
        <v>9268.0400000000009</v>
      </c>
      <c r="J3255" s="754">
        <v>0</v>
      </c>
      <c r="K3255" s="754">
        <v>0</v>
      </c>
      <c r="L3255" s="754">
        <v>2840.07</v>
      </c>
      <c r="M3255" s="754">
        <f t="shared" si="125"/>
        <v>2840.07</v>
      </c>
      <c r="N3255" s="756">
        <v>9268.0400000000009</v>
      </c>
      <c r="O3255" s="720">
        <f t="shared" si="126"/>
        <v>0</v>
      </c>
    </row>
    <row r="3256" spans="1:15" x14ac:dyDescent="0.25">
      <c r="A3256" s="207" t="str">
        <f>VLOOKUP(RIGHT(E3256,3)+0,SchLocTable!$A$2:$B$47,2,FALSE)</f>
        <v>Black Rock</v>
      </c>
      <c r="B3256" s="207" t="str">
        <f>VLOOKUP(VALUE(D3256),$D$3:F$106,3,FALSE)</f>
        <v>Security</v>
      </c>
      <c r="C3256" s="755" t="s">
        <v>246</v>
      </c>
      <c r="D3256" s="751" t="s">
        <v>942</v>
      </c>
      <c r="E3256" s="751" t="s">
        <v>952</v>
      </c>
      <c r="F3256" s="751" t="s">
        <v>259</v>
      </c>
      <c r="G3256" s="752" t="s">
        <v>1681</v>
      </c>
      <c r="H3256" s="753">
        <v>52917</v>
      </c>
      <c r="I3256" s="754">
        <v>11301.82</v>
      </c>
      <c r="J3256" s="754">
        <v>0</v>
      </c>
      <c r="K3256" s="754">
        <v>0</v>
      </c>
      <c r="L3256" s="754">
        <v>3464.16</v>
      </c>
      <c r="M3256" s="754">
        <f t="shared" si="125"/>
        <v>3464.16</v>
      </c>
      <c r="N3256" s="756">
        <v>11301.82</v>
      </c>
      <c r="O3256" s="720">
        <f t="shared" si="126"/>
        <v>0</v>
      </c>
    </row>
    <row r="3257" spans="1:15" x14ac:dyDescent="0.25">
      <c r="A3257" s="207" t="str">
        <f>VLOOKUP(RIGHT(E3257,3)+0,SchLocTable!$A$2:$B$47,2,FALSE)</f>
        <v>Bryant</v>
      </c>
      <c r="B3257" s="207" t="str">
        <f>VLOOKUP(VALUE(D3257),$D$3:F$106,3,FALSE)</f>
        <v>Security</v>
      </c>
      <c r="C3257" s="751" t="s">
        <v>246</v>
      </c>
      <c r="D3257" s="751" t="s">
        <v>942</v>
      </c>
      <c r="E3257" s="751" t="s">
        <v>953</v>
      </c>
      <c r="F3257" s="751" t="s">
        <v>248</v>
      </c>
      <c r="G3257" s="752">
        <v>2</v>
      </c>
      <c r="H3257" s="753">
        <v>51000</v>
      </c>
      <c r="I3257" s="754">
        <v>82682</v>
      </c>
      <c r="J3257" s="754">
        <v>0</v>
      </c>
      <c r="K3257" s="754">
        <v>0</v>
      </c>
      <c r="L3257" s="754">
        <v>20229.759999999998</v>
      </c>
      <c r="M3257" s="754">
        <f t="shared" si="125"/>
        <v>20229.759999999998</v>
      </c>
      <c r="N3257" s="756">
        <v>82682</v>
      </c>
      <c r="O3257" s="720">
        <f t="shared" si="126"/>
        <v>0</v>
      </c>
    </row>
    <row r="3258" spans="1:15" x14ac:dyDescent="0.25">
      <c r="A3258" s="207" t="str">
        <f>VLOOKUP(RIGHT(E3258,3)+0,SchLocTable!$A$2:$B$47,2,FALSE)</f>
        <v>Bryant</v>
      </c>
      <c r="B3258" s="207" t="str">
        <f>VLOOKUP(VALUE(D3258),$D$3:F$106,3,FALSE)</f>
        <v>Security</v>
      </c>
      <c r="C3258" s="751" t="s">
        <v>246</v>
      </c>
      <c r="D3258" s="751" t="s">
        <v>942</v>
      </c>
      <c r="E3258" s="751" t="s">
        <v>953</v>
      </c>
      <c r="F3258" s="751" t="s">
        <v>250</v>
      </c>
      <c r="G3258" s="752">
        <v>1</v>
      </c>
      <c r="H3258" s="753">
        <v>51100</v>
      </c>
      <c r="I3258" s="754">
        <v>14352</v>
      </c>
      <c r="J3258" s="754">
        <v>0</v>
      </c>
      <c r="K3258" s="754">
        <v>0</v>
      </c>
      <c r="L3258" s="754">
        <v>1320</v>
      </c>
      <c r="M3258" s="754">
        <f t="shared" si="125"/>
        <v>1320</v>
      </c>
      <c r="N3258" s="756">
        <v>14352</v>
      </c>
      <c r="O3258" s="720">
        <f t="shared" si="126"/>
        <v>0</v>
      </c>
    </row>
    <row r="3259" spans="1:15" x14ac:dyDescent="0.25">
      <c r="A3259" s="207" t="str">
        <f>VLOOKUP(RIGHT(E3259,3)+0,SchLocTable!$A$2:$B$47,2,FALSE)</f>
        <v>Bryant</v>
      </c>
      <c r="B3259" s="207" t="str">
        <f>VLOOKUP(VALUE(D3259),$D$3:F$106,3,FALSE)</f>
        <v>Security</v>
      </c>
      <c r="C3259" s="751" t="s">
        <v>246</v>
      </c>
      <c r="D3259" s="751" t="s">
        <v>942</v>
      </c>
      <c r="E3259" s="751" t="s">
        <v>953</v>
      </c>
      <c r="F3259" s="751" t="s">
        <v>257</v>
      </c>
      <c r="G3259" s="752" t="s">
        <v>1681</v>
      </c>
      <c r="H3259" s="753">
        <v>51140</v>
      </c>
      <c r="I3259" s="754">
        <v>1425</v>
      </c>
      <c r="J3259" s="754">
        <v>0</v>
      </c>
      <c r="K3259" s="754">
        <v>0</v>
      </c>
      <c r="L3259" s="754">
        <v>1425</v>
      </c>
      <c r="M3259" s="754">
        <f t="shared" si="125"/>
        <v>1425</v>
      </c>
      <c r="N3259" s="756">
        <v>1425</v>
      </c>
      <c r="O3259" s="720">
        <f t="shared" si="126"/>
        <v>0</v>
      </c>
    </row>
    <row r="3260" spans="1:15" x14ac:dyDescent="0.25">
      <c r="A3260" s="207" t="str">
        <f>VLOOKUP(RIGHT(E3260,3)+0,SchLocTable!$A$2:$B$47,2,FALSE)</f>
        <v>Bryant</v>
      </c>
      <c r="B3260" s="207" t="str">
        <f>VLOOKUP(VALUE(D3260),$D$3:F$106,3,FALSE)</f>
        <v>Security</v>
      </c>
      <c r="C3260" s="751" t="s">
        <v>246</v>
      </c>
      <c r="D3260" s="751" t="s">
        <v>942</v>
      </c>
      <c r="E3260" s="751" t="s">
        <v>953</v>
      </c>
      <c r="F3260" s="751" t="s">
        <v>254</v>
      </c>
      <c r="G3260" s="752" t="s">
        <v>1681</v>
      </c>
      <c r="H3260" s="753">
        <v>52360</v>
      </c>
      <c r="I3260" s="754">
        <v>1419.8</v>
      </c>
      <c r="J3260" s="754">
        <v>0</v>
      </c>
      <c r="K3260" s="754">
        <v>0</v>
      </c>
      <c r="L3260" s="754">
        <v>325.27999999999997</v>
      </c>
      <c r="M3260" s="754">
        <f t="shared" si="125"/>
        <v>325.27999999999997</v>
      </c>
      <c r="N3260" s="756">
        <v>1419.8</v>
      </c>
      <c r="O3260" s="720">
        <f t="shared" si="126"/>
        <v>0</v>
      </c>
    </row>
    <row r="3261" spans="1:15" x14ac:dyDescent="0.25">
      <c r="A3261" s="207" t="str">
        <f>VLOOKUP(RIGHT(E3261,3)+0,SchLocTable!$A$2:$B$47,2,FALSE)</f>
        <v>Bryant</v>
      </c>
      <c r="B3261" s="207" t="str">
        <f>VLOOKUP(VALUE(D3261),$D$3:F$106,3,FALSE)</f>
        <v>Security</v>
      </c>
      <c r="C3261" s="751" t="s">
        <v>246</v>
      </c>
      <c r="D3261" s="751" t="s">
        <v>942</v>
      </c>
      <c r="E3261" s="751" t="s">
        <v>953</v>
      </c>
      <c r="F3261" s="751" t="s">
        <v>292</v>
      </c>
      <c r="G3261" s="752" t="s">
        <v>1681</v>
      </c>
      <c r="H3261" s="753">
        <v>52385</v>
      </c>
      <c r="I3261" s="754">
        <v>889.82</v>
      </c>
      <c r="J3261" s="754">
        <v>0</v>
      </c>
      <c r="K3261" s="754">
        <v>0</v>
      </c>
      <c r="L3261" s="754">
        <v>81.84</v>
      </c>
      <c r="M3261" s="754">
        <f t="shared" si="125"/>
        <v>81.84</v>
      </c>
      <c r="N3261" s="756">
        <v>889.82</v>
      </c>
      <c r="O3261" s="720">
        <f t="shared" si="126"/>
        <v>0</v>
      </c>
    </row>
    <row r="3262" spans="1:15" x14ac:dyDescent="0.25">
      <c r="A3262" s="207" t="str">
        <f>VLOOKUP(RIGHT(E3262,3)+0,SchLocTable!$A$2:$B$47,2,FALSE)</f>
        <v>Bryant</v>
      </c>
      <c r="B3262" s="207" t="str">
        <f>VLOOKUP(VALUE(D3262),$D$3:F$106,3,FALSE)</f>
        <v>Security</v>
      </c>
      <c r="C3262" s="751" t="s">
        <v>246</v>
      </c>
      <c r="D3262" s="751" t="s">
        <v>942</v>
      </c>
      <c r="E3262" s="751" t="s">
        <v>953</v>
      </c>
      <c r="F3262" s="751" t="s">
        <v>806</v>
      </c>
      <c r="G3262" s="752" t="s">
        <v>1681</v>
      </c>
      <c r="H3262" s="753">
        <v>52397</v>
      </c>
      <c r="I3262" s="754">
        <v>0</v>
      </c>
      <c r="J3262" s="754">
        <v>0</v>
      </c>
      <c r="K3262" s="754">
        <v>0</v>
      </c>
      <c r="L3262" s="754">
        <v>0</v>
      </c>
      <c r="M3262" s="754">
        <f t="shared" si="125"/>
        <v>0</v>
      </c>
      <c r="N3262" s="756">
        <v>0</v>
      </c>
      <c r="O3262" s="720">
        <f t="shared" si="126"/>
        <v>0</v>
      </c>
    </row>
    <row r="3263" spans="1:15" x14ac:dyDescent="0.25">
      <c r="A3263" s="207" t="str">
        <f>VLOOKUP(RIGHT(E3263,3)+0,SchLocTable!$A$2:$B$47,2,FALSE)</f>
        <v>Bryant</v>
      </c>
      <c r="B3263" s="207" t="str">
        <f>VLOOKUP(VALUE(D3263),$D$3:F$106,3,FALSE)</f>
        <v>Security</v>
      </c>
      <c r="C3263" s="751" t="s">
        <v>246</v>
      </c>
      <c r="D3263" s="751" t="s">
        <v>942</v>
      </c>
      <c r="E3263" s="751" t="s">
        <v>953</v>
      </c>
      <c r="F3263" s="751" t="s">
        <v>331</v>
      </c>
      <c r="G3263" s="752" t="s">
        <v>1681</v>
      </c>
      <c r="H3263" s="753">
        <v>52504</v>
      </c>
      <c r="I3263" s="754">
        <v>17317.61</v>
      </c>
      <c r="J3263" s="754">
        <v>0</v>
      </c>
      <c r="K3263" s="754">
        <v>0</v>
      </c>
      <c r="L3263" s="754">
        <v>4458.6899999999996</v>
      </c>
      <c r="M3263" s="754">
        <f t="shared" ref="M3263:M3326" si="127">SUM(J3263:L3263)</f>
        <v>4458.6899999999996</v>
      </c>
      <c r="N3263" s="756">
        <v>17317.61</v>
      </c>
      <c r="O3263" s="720">
        <f t="shared" ref="O3263:O3326" si="128">I3263-N3263</f>
        <v>0</v>
      </c>
    </row>
    <row r="3264" spans="1:15" x14ac:dyDescent="0.25">
      <c r="A3264" s="207" t="str">
        <f>VLOOKUP(RIGHT(E3264,3)+0,SchLocTable!$A$2:$B$47,2,FALSE)</f>
        <v>Bryant</v>
      </c>
      <c r="B3264" s="207" t="str">
        <f>VLOOKUP(VALUE(D3264),$D$3:F$106,3,FALSE)</f>
        <v>Security</v>
      </c>
      <c r="C3264" s="751" t="s">
        <v>246</v>
      </c>
      <c r="D3264" s="751" t="s">
        <v>942</v>
      </c>
      <c r="E3264" s="751" t="s">
        <v>953</v>
      </c>
      <c r="F3264" s="751" t="s">
        <v>259</v>
      </c>
      <c r="G3264" s="752" t="s">
        <v>1681</v>
      </c>
      <c r="H3264" s="753">
        <v>52917</v>
      </c>
      <c r="I3264" s="754">
        <v>10153.530000000001</v>
      </c>
      <c r="J3264" s="754">
        <v>0</v>
      </c>
      <c r="K3264" s="754">
        <v>0</v>
      </c>
      <c r="L3264" s="754">
        <v>1817.76</v>
      </c>
      <c r="M3264" s="754">
        <f t="shared" si="127"/>
        <v>1817.76</v>
      </c>
      <c r="N3264" s="756">
        <v>10153.530000000001</v>
      </c>
      <c r="O3264" s="720">
        <f t="shared" si="128"/>
        <v>0</v>
      </c>
    </row>
    <row r="3265" spans="1:15" x14ac:dyDescent="0.25">
      <c r="A3265" s="207" t="str">
        <f>VLOOKUP(RIGHT(E3265,3)+0,SchLocTable!$A$2:$B$47,2,FALSE)</f>
        <v>Bryant</v>
      </c>
      <c r="B3265" s="207" t="str">
        <f>VLOOKUP(VALUE(D3265),$D$3:F$106,3,FALSE)</f>
        <v>Security</v>
      </c>
      <c r="C3265" s="751" t="s">
        <v>246</v>
      </c>
      <c r="D3265" s="751" t="s">
        <v>942</v>
      </c>
      <c r="E3265" s="751" t="s">
        <v>953</v>
      </c>
      <c r="F3265" s="751" t="s">
        <v>333</v>
      </c>
      <c r="G3265" s="752" t="s">
        <v>1681</v>
      </c>
      <c r="H3265" s="753">
        <v>52920</v>
      </c>
      <c r="I3265" s="754">
        <v>0</v>
      </c>
      <c r="J3265" s="754">
        <v>0</v>
      </c>
      <c r="K3265" s="754">
        <v>0</v>
      </c>
      <c r="L3265" s="754">
        <v>0</v>
      </c>
      <c r="M3265" s="754">
        <f t="shared" si="127"/>
        <v>0</v>
      </c>
      <c r="N3265" s="756">
        <v>0</v>
      </c>
      <c r="O3265" s="720">
        <f t="shared" si="128"/>
        <v>0</v>
      </c>
    </row>
    <row r="3266" spans="1:15" x14ac:dyDescent="0.25">
      <c r="A3266" s="207" t="str">
        <f>VLOOKUP(RIGHT(E3266,3)+0,SchLocTable!$A$2:$B$47,2,FALSE)</f>
        <v>Columbus</v>
      </c>
      <c r="B3266" s="207" t="str">
        <f>VLOOKUP(VALUE(D3266),$D$3:F$106,3,FALSE)</f>
        <v>Security</v>
      </c>
      <c r="C3266" s="751" t="s">
        <v>246</v>
      </c>
      <c r="D3266" s="751" t="s">
        <v>942</v>
      </c>
      <c r="E3266" s="751" t="s">
        <v>954</v>
      </c>
      <c r="F3266" s="751" t="s">
        <v>248</v>
      </c>
      <c r="G3266" s="752">
        <v>2</v>
      </c>
      <c r="H3266" s="753">
        <v>51000</v>
      </c>
      <c r="I3266" s="754">
        <v>91569.44</v>
      </c>
      <c r="J3266" s="754">
        <v>0</v>
      </c>
      <c r="K3266" s="754">
        <v>0</v>
      </c>
      <c r="L3266" s="754">
        <v>28060.16</v>
      </c>
      <c r="M3266" s="754">
        <f t="shared" si="127"/>
        <v>28060.16</v>
      </c>
      <c r="N3266" s="756">
        <v>91569.44</v>
      </c>
      <c r="O3266" s="720">
        <f t="shared" si="128"/>
        <v>0</v>
      </c>
    </row>
    <row r="3267" spans="1:15" x14ac:dyDescent="0.25">
      <c r="A3267" s="207" t="str">
        <f>VLOOKUP(RIGHT(E3267,3)+0,SchLocTable!$A$2:$B$47,2,FALSE)</f>
        <v>Columbus</v>
      </c>
      <c r="B3267" s="207" t="str">
        <f>VLOOKUP(VALUE(D3267),$D$3:F$106,3,FALSE)</f>
        <v>Security</v>
      </c>
      <c r="C3267" s="755" t="s">
        <v>246</v>
      </c>
      <c r="D3267" s="751" t="s">
        <v>942</v>
      </c>
      <c r="E3267" s="751" t="s">
        <v>954</v>
      </c>
      <c r="F3267" s="751" t="s">
        <v>380</v>
      </c>
      <c r="G3267" s="752" t="s">
        <v>1681</v>
      </c>
      <c r="H3267" s="753">
        <v>51122</v>
      </c>
      <c r="I3267" s="754">
        <v>0</v>
      </c>
      <c r="J3267" s="754">
        <v>0</v>
      </c>
      <c r="K3267" s="754">
        <v>0</v>
      </c>
      <c r="L3267" s="754">
        <v>0</v>
      </c>
      <c r="M3267" s="754">
        <f t="shared" si="127"/>
        <v>0</v>
      </c>
      <c r="N3267" s="756">
        <v>0</v>
      </c>
      <c r="O3267" s="720">
        <f t="shared" si="128"/>
        <v>0</v>
      </c>
    </row>
    <row r="3268" spans="1:15" x14ac:dyDescent="0.25">
      <c r="A3268" s="207" t="str">
        <f>VLOOKUP(RIGHT(E3268,3)+0,SchLocTable!$A$2:$B$47,2,FALSE)</f>
        <v>Columbus</v>
      </c>
      <c r="B3268" s="207" t="str">
        <f>VLOOKUP(VALUE(D3268),$D$3:F$106,3,FALSE)</f>
        <v>Security</v>
      </c>
      <c r="C3268" s="751" t="s">
        <v>246</v>
      </c>
      <c r="D3268" s="751" t="s">
        <v>942</v>
      </c>
      <c r="E3268" s="751" t="s">
        <v>954</v>
      </c>
      <c r="F3268" s="751" t="s">
        <v>254</v>
      </c>
      <c r="G3268" s="752" t="s">
        <v>1681</v>
      </c>
      <c r="H3268" s="753">
        <v>52360</v>
      </c>
      <c r="I3268" s="754">
        <v>1309.9100000000001</v>
      </c>
      <c r="J3268" s="754">
        <v>0</v>
      </c>
      <c r="K3268" s="754">
        <v>0</v>
      </c>
      <c r="L3268" s="754">
        <v>389.03</v>
      </c>
      <c r="M3268" s="754">
        <f t="shared" si="127"/>
        <v>389.03</v>
      </c>
      <c r="N3268" s="756">
        <v>1309.9100000000001</v>
      </c>
      <c r="O3268" s="720">
        <f t="shared" si="128"/>
        <v>0</v>
      </c>
    </row>
    <row r="3269" spans="1:15" x14ac:dyDescent="0.25">
      <c r="A3269" s="207" t="str">
        <f>VLOOKUP(RIGHT(E3269,3)+0,SchLocTable!$A$2:$B$47,2,FALSE)</f>
        <v>Columbus</v>
      </c>
      <c r="B3269" s="207" t="str">
        <f>VLOOKUP(VALUE(D3269),$D$3:F$106,3,FALSE)</f>
        <v>Security</v>
      </c>
      <c r="C3269" s="751" t="s">
        <v>246</v>
      </c>
      <c r="D3269" s="751" t="s">
        <v>942</v>
      </c>
      <c r="E3269" s="751" t="s">
        <v>954</v>
      </c>
      <c r="F3269" s="751" t="s">
        <v>331</v>
      </c>
      <c r="G3269" s="752" t="s">
        <v>1681</v>
      </c>
      <c r="H3269" s="753">
        <v>52504</v>
      </c>
      <c r="I3269" s="754">
        <v>18854.27</v>
      </c>
      <c r="J3269" s="754">
        <v>0</v>
      </c>
      <c r="K3269" s="754">
        <v>0</v>
      </c>
      <c r="L3269" s="754">
        <v>5777.71</v>
      </c>
      <c r="M3269" s="754">
        <f t="shared" si="127"/>
        <v>5777.71</v>
      </c>
      <c r="N3269" s="756">
        <v>18854.27</v>
      </c>
      <c r="O3269" s="720">
        <f t="shared" si="128"/>
        <v>0</v>
      </c>
    </row>
    <row r="3270" spans="1:15" x14ac:dyDescent="0.25">
      <c r="A3270" s="207" t="str">
        <f>VLOOKUP(RIGHT(E3270,3)+0,SchLocTable!$A$2:$B$47,2,FALSE)</f>
        <v>Columbus</v>
      </c>
      <c r="B3270" s="207" t="str">
        <f>VLOOKUP(VALUE(D3270),$D$3:F$106,3,FALSE)</f>
        <v>Security</v>
      </c>
      <c r="C3270" s="751" t="s">
        <v>246</v>
      </c>
      <c r="D3270" s="751" t="s">
        <v>942</v>
      </c>
      <c r="E3270" s="751" t="s">
        <v>954</v>
      </c>
      <c r="F3270" s="751" t="s">
        <v>259</v>
      </c>
      <c r="G3270" s="752" t="s">
        <v>1681</v>
      </c>
      <c r="H3270" s="753">
        <v>52917</v>
      </c>
      <c r="I3270" s="754">
        <v>12651.19</v>
      </c>
      <c r="J3270" s="754">
        <v>0</v>
      </c>
      <c r="K3270" s="754">
        <v>0</v>
      </c>
      <c r="L3270" s="754">
        <v>3877.76</v>
      </c>
      <c r="M3270" s="754">
        <f t="shared" si="127"/>
        <v>3877.76</v>
      </c>
      <c r="N3270" s="756">
        <v>12651.19</v>
      </c>
      <c r="O3270" s="720">
        <f t="shared" si="128"/>
        <v>0</v>
      </c>
    </row>
    <row r="3271" spans="1:15" x14ac:dyDescent="0.25">
      <c r="A3271" s="207" t="str">
        <f>VLOOKUP(RIGHT(E3271,3)+0,SchLocTable!$A$2:$B$47,2,FALSE)</f>
        <v>Columbus</v>
      </c>
      <c r="B3271" s="207" t="str">
        <f>VLOOKUP(VALUE(D3271),$D$3:F$106,3,FALSE)</f>
        <v>Security</v>
      </c>
      <c r="C3271" s="751" t="s">
        <v>246</v>
      </c>
      <c r="D3271" s="751" t="s">
        <v>942</v>
      </c>
      <c r="E3271" s="751" t="s">
        <v>954</v>
      </c>
      <c r="F3271" s="751" t="s">
        <v>333</v>
      </c>
      <c r="G3271" s="752" t="s">
        <v>1681</v>
      </c>
      <c r="H3271" s="753">
        <v>52920</v>
      </c>
      <c r="I3271" s="754">
        <v>2000</v>
      </c>
      <c r="J3271" s="754">
        <v>0</v>
      </c>
      <c r="K3271" s="754">
        <v>0</v>
      </c>
      <c r="L3271" s="754">
        <v>0</v>
      </c>
      <c r="M3271" s="754">
        <f t="shared" si="127"/>
        <v>0</v>
      </c>
      <c r="N3271" s="756">
        <v>2000</v>
      </c>
      <c r="O3271" s="720">
        <f t="shared" si="128"/>
        <v>0</v>
      </c>
    </row>
    <row r="3272" spans="1:15" x14ac:dyDescent="0.25">
      <c r="A3272" s="207" t="str">
        <f>VLOOKUP(RIGHT(E3272,3)+0,SchLocTable!$A$2:$B$47,2,FALSE)</f>
        <v>Edison</v>
      </c>
      <c r="B3272" s="207" t="str">
        <f>VLOOKUP(VALUE(D3272),$D$3:F$106,3,FALSE)</f>
        <v>Security</v>
      </c>
      <c r="C3272" s="751" t="s">
        <v>246</v>
      </c>
      <c r="D3272" s="751" t="s">
        <v>942</v>
      </c>
      <c r="E3272" s="751" t="s">
        <v>955</v>
      </c>
      <c r="F3272" s="751" t="s">
        <v>248</v>
      </c>
      <c r="G3272" s="752">
        <v>1</v>
      </c>
      <c r="H3272" s="753">
        <v>51000</v>
      </c>
      <c r="I3272" s="754">
        <v>45012.24</v>
      </c>
      <c r="J3272" s="754">
        <v>0</v>
      </c>
      <c r="K3272" s="754">
        <v>0</v>
      </c>
      <c r="L3272" s="754">
        <v>13793.36</v>
      </c>
      <c r="M3272" s="754">
        <f t="shared" si="127"/>
        <v>13793.36</v>
      </c>
      <c r="N3272" s="756">
        <v>45012.24</v>
      </c>
      <c r="O3272" s="720">
        <f t="shared" si="128"/>
        <v>0</v>
      </c>
    </row>
    <row r="3273" spans="1:15" x14ac:dyDescent="0.25">
      <c r="A3273" s="207" t="str">
        <f>VLOOKUP(RIGHT(E3273,3)+0,SchLocTable!$A$2:$B$47,2,FALSE)</f>
        <v>Edison</v>
      </c>
      <c r="B3273" s="207" t="str">
        <f>VLOOKUP(VALUE(D3273),$D$3:F$106,3,FALSE)</f>
        <v>Security</v>
      </c>
      <c r="C3273" s="751" t="s">
        <v>246</v>
      </c>
      <c r="D3273" s="751" t="s">
        <v>942</v>
      </c>
      <c r="E3273" s="751" t="s">
        <v>955</v>
      </c>
      <c r="F3273" s="751" t="s">
        <v>380</v>
      </c>
      <c r="G3273" s="752" t="s">
        <v>1681</v>
      </c>
      <c r="H3273" s="753">
        <v>51122</v>
      </c>
      <c r="I3273" s="754">
        <v>0</v>
      </c>
      <c r="J3273" s="754">
        <v>0</v>
      </c>
      <c r="K3273" s="754">
        <v>0</v>
      </c>
      <c r="L3273" s="754">
        <v>0</v>
      </c>
      <c r="M3273" s="754">
        <f t="shared" si="127"/>
        <v>0</v>
      </c>
      <c r="N3273" s="756">
        <v>0</v>
      </c>
      <c r="O3273" s="720">
        <f t="shared" si="128"/>
        <v>0</v>
      </c>
    </row>
    <row r="3274" spans="1:15" x14ac:dyDescent="0.25">
      <c r="A3274" s="207" t="str">
        <f>VLOOKUP(RIGHT(E3274,3)+0,SchLocTable!$A$2:$B$47,2,FALSE)</f>
        <v>Edison</v>
      </c>
      <c r="B3274" s="207" t="str">
        <f>VLOOKUP(VALUE(D3274),$D$3:F$106,3,FALSE)</f>
        <v>Security</v>
      </c>
      <c r="C3274" s="751" t="s">
        <v>246</v>
      </c>
      <c r="D3274" s="751" t="s">
        <v>942</v>
      </c>
      <c r="E3274" s="751" t="s">
        <v>955</v>
      </c>
      <c r="F3274" s="751" t="s">
        <v>257</v>
      </c>
      <c r="G3274" s="752" t="s">
        <v>1681</v>
      </c>
      <c r="H3274" s="753">
        <v>51140</v>
      </c>
      <c r="I3274" s="754">
        <v>0</v>
      </c>
      <c r="J3274" s="754">
        <v>0</v>
      </c>
      <c r="K3274" s="754">
        <v>0</v>
      </c>
      <c r="L3274" s="754">
        <v>0</v>
      </c>
      <c r="M3274" s="754">
        <f t="shared" si="127"/>
        <v>0</v>
      </c>
      <c r="N3274" s="756">
        <v>0</v>
      </c>
      <c r="O3274" s="720">
        <f t="shared" si="128"/>
        <v>0</v>
      </c>
    </row>
    <row r="3275" spans="1:15" x14ac:dyDescent="0.25">
      <c r="A3275" s="207" t="str">
        <f>VLOOKUP(RIGHT(E3275,3)+0,SchLocTable!$A$2:$B$47,2,FALSE)</f>
        <v>Edison</v>
      </c>
      <c r="B3275" s="207" t="str">
        <f>VLOOKUP(VALUE(D3275),$D$3:F$106,3,FALSE)</f>
        <v>Security</v>
      </c>
      <c r="C3275" s="751" t="s">
        <v>246</v>
      </c>
      <c r="D3275" s="751" t="s">
        <v>942</v>
      </c>
      <c r="E3275" s="751" t="s">
        <v>955</v>
      </c>
      <c r="F3275" s="751" t="s">
        <v>254</v>
      </c>
      <c r="G3275" s="752" t="s">
        <v>1681</v>
      </c>
      <c r="H3275" s="753">
        <v>52360</v>
      </c>
      <c r="I3275" s="754">
        <v>634.83000000000004</v>
      </c>
      <c r="J3275" s="754">
        <v>0</v>
      </c>
      <c r="K3275" s="754">
        <v>0</v>
      </c>
      <c r="L3275" s="754">
        <v>182.16</v>
      </c>
      <c r="M3275" s="754">
        <f t="shared" si="127"/>
        <v>182.16</v>
      </c>
      <c r="N3275" s="756">
        <v>634.83000000000004</v>
      </c>
      <c r="O3275" s="720">
        <f t="shared" si="128"/>
        <v>0</v>
      </c>
    </row>
    <row r="3276" spans="1:15" x14ac:dyDescent="0.25">
      <c r="A3276" s="207" t="str">
        <f>VLOOKUP(RIGHT(E3276,3)+0,SchLocTable!$A$2:$B$47,2,FALSE)</f>
        <v>Edison</v>
      </c>
      <c r="B3276" s="207" t="str">
        <f>VLOOKUP(VALUE(D3276),$D$3:F$106,3,FALSE)</f>
        <v>Security</v>
      </c>
      <c r="C3276" s="751" t="s">
        <v>246</v>
      </c>
      <c r="D3276" s="751" t="s">
        <v>942</v>
      </c>
      <c r="E3276" s="751" t="s">
        <v>955</v>
      </c>
      <c r="F3276" s="751" t="s">
        <v>292</v>
      </c>
      <c r="G3276" s="752" t="s">
        <v>1681</v>
      </c>
      <c r="H3276" s="753">
        <v>52385</v>
      </c>
      <c r="I3276" s="754">
        <v>0</v>
      </c>
      <c r="J3276" s="754">
        <v>0</v>
      </c>
      <c r="K3276" s="754">
        <v>0</v>
      </c>
      <c r="L3276" s="754">
        <v>0</v>
      </c>
      <c r="M3276" s="754">
        <f t="shared" si="127"/>
        <v>0</v>
      </c>
      <c r="N3276" s="756">
        <v>0</v>
      </c>
      <c r="O3276" s="720">
        <f t="shared" si="128"/>
        <v>0</v>
      </c>
    </row>
    <row r="3277" spans="1:15" x14ac:dyDescent="0.25">
      <c r="A3277" s="207" t="str">
        <f>VLOOKUP(RIGHT(E3277,3)+0,SchLocTable!$A$2:$B$47,2,FALSE)</f>
        <v>Edison</v>
      </c>
      <c r="B3277" s="207" t="str">
        <f>VLOOKUP(VALUE(D3277),$D$3:F$106,3,FALSE)</f>
        <v>Security</v>
      </c>
      <c r="C3277" s="751" t="s">
        <v>246</v>
      </c>
      <c r="D3277" s="751" t="s">
        <v>942</v>
      </c>
      <c r="E3277" s="751" t="s">
        <v>955</v>
      </c>
      <c r="F3277" s="751" t="s">
        <v>331</v>
      </c>
      <c r="G3277" s="752" t="s">
        <v>1681</v>
      </c>
      <c r="H3277" s="753">
        <v>52504</v>
      </c>
      <c r="I3277" s="754">
        <v>9268.0499999999993</v>
      </c>
      <c r="J3277" s="754">
        <v>0</v>
      </c>
      <c r="K3277" s="754">
        <v>0</v>
      </c>
      <c r="L3277" s="754">
        <v>2840.08</v>
      </c>
      <c r="M3277" s="754">
        <f t="shared" si="127"/>
        <v>2840.08</v>
      </c>
      <c r="N3277" s="756">
        <v>9268.0499999999993</v>
      </c>
      <c r="O3277" s="720">
        <f t="shared" si="128"/>
        <v>0</v>
      </c>
    </row>
    <row r="3278" spans="1:15" x14ac:dyDescent="0.25">
      <c r="A3278" s="207" t="str">
        <f>VLOOKUP(RIGHT(E3278,3)+0,SchLocTable!$A$2:$B$47,2,FALSE)</f>
        <v>Edison</v>
      </c>
      <c r="B3278" s="207" t="str">
        <f>VLOOKUP(VALUE(D3278),$D$3:F$106,3,FALSE)</f>
        <v>Security</v>
      </c>
      <c r="C3278" s="751" t="s">
        <v>246</v>
      </c>
      <c r="D3278" s="751" t="s">
        <v>942</v>
      </c>
      <c r="E3278" s="751" t="s">
        <v>955</v>
      </c>
      <c r="F3278" s="751" t="s">
        <v>259</v>
      </c>
      <c r="G3278" s="752" t="s">
        <v>1681</v>
      </c>
      <c r="H3278" s="753">
        <v>52917</v>
      </c>
      <c r="I3278" s="754">
        <v>11301.82</v>
      </c>
      <c r="J3278" s="754">
        <v>0</v>
      </c>
      <c r="K3278" s="754">
        <v>0</v>
      </c>
      <c r="L3278" s="754">
        <v>3464.16</v>
      </c>
      <c r="M3278" s="754">
        <f t="shared" si="127"/>
        <v>3464.16</v>
      </c>
      <c r="N3278" s="756">
        <v>11301.82</v>
      </c>
      <c r="O3278" s="720">
        <f t="shared" si="128"/>
        <v>0</v>
      </c>
    </row>
    <row r="3279" spans="1:15" x14ac:dyDescent="0.25">
      <c r="A3279" s="207" t="str">
        <f>VLOOKUP(RIGHT(E3279,3)+0,SchLocTable!$A$2:$B$47,2,FALSE)</f>
        <v>Marin</v>
      </c>
      <c r="B3279" s="207" t="str">
        <f>VLOOKUP(VALUE(D3279),$D$3:F$106,3,FALSE)</f>
        <v>Security</v>
      </c>
      <c r="C3279" s="751" t="s">
        <v>246</v>
      </c>
      <c r="D3279" s="751" t="s">
        <v>942</v>
      </c>
      <c r="E3279" s="751" t="s">
        <v>956</v>
      </c>
      <c r="F3279" s="751" t="s">
        <v>248</v>
      </c>
      <c r="G3279" s="752">
        <v>1</v>
      </c>
      <c r="H3279" s="753">
        <v>51000</v>
      </c>
      <c r="I3279" s="754">
        <v>45789.84</v>
      </c>
      <c r="J3279" s="754">
        <v>0</v>
      </c>
      <c r="K3279" s="754">
        <v>0</v>
      </c>
      <c r="L3279" s="754">
        <v>14035.2</v>
      </c>
      <c r="M3279" s="754">
        <f t="shared" si="127"/>
        <v>14035.2</v>
      </c>
      <c r="N3279" s="756">
        <v>45789.84</v>
      </c>
      <c r="O3279" s="720">
        <f t="shared" si="128"/>
        <v>0</v>
      </c>
    </row>
    <row r="3280" spans="1:15" x14ac:dyDescent="0.25">
      <c r="A3280" s="207" t="str">
        <f>VLOOKUP(RIGHT(E3280,3)+0,SchLocTable!$A$2:$B$47,2,FALSE)</f>
        <v>Marin</v>
      </c>
      <c r="B3280" s="207" t="str">
        <f>VLOOKUP(VALUE(D3280),$D$3:F$106,3,FALSE)</f>
        <v>Security</v>
      </c>
      <c r="C3280" s="751" t="s">
        <v>246</v>
      </c>
      <c r="D3280" s="751" t="s">
        <v>942</v>
      </c>
      <c r="E3280" s="751" t="s">
        <v>956</v>
      </c>
      <c r="F3280" s="751" t="s">
        <v>378</v>
      </c>
      <c r="G3280" s="752" t="s">
        <v>1681</v>
      </c>
      <c r="H3280" s="753">
        <v>51108</v>
      </c>
      <c r="I3280" s="754">
        <v>0</v>
      </c>
      <c r="J3280" s="754">
        <v>0</v>
      </c>
      <c r="K3280" s="754">
        <v>0</v>
      </c>
      <c r="L3280" s="754">
        <v>0</v>
      </c>
      <c r="M3280" s="754">
        <f t="shared" si="127"/>
        <v>0</v>
      </c>
      <c r="N3280" s="756">
        <v>0</v>
      </c>
      <c r="O3280" s="720">
        <f t="shared" si="128"/>
        <v>0</v>
      </c>
    </row>
    <row r="3281" spans="1:15" x14ac:dyDescent="0.25">
      <c r="A3281" s="207" t="str">
        <f>VLOOKUP(RIGHT(E3281,3)+0,SchLocTable!$A$2:$B$47,2,FALSE)</f>
        <v>Marin</v>
      </c>
      <c r="B3281" s="207" t="str">
        <f>VLOOKUP(VALUE(D3281),$D$3:F$106,3,FALSE)</f>
        <v>Security</v>
      </c>
      <c r="C3281" s="751" t="s">
        <v>246</v>
      </c>
      <c r="D3281" s="751" t="s">
        <v>942</v>
      </c>
      <c r="E3281" s="751" t="s">
        <v>956</v>
      </c>
      <c r="F3281" s="751" t="s">
        <v>380</v>
      </c>
      <c r="G3281" s="752" t="s">
        <v>1681</v>
      </c>
      <c r="H3281" s="753">
        <v>51122</v>
      </c>
      <c r="I3281" s="754">
        <v>0</v>
      </c>
      <c r="J3281" s="754">
        <v>0</v>
      </c>
      <c r="K3281" s="754">
        <v>0</v>
      </c>
      <c r="L3281" s="754">
        <v>0</v>
      </c>
      <c r="M3281" s="754">
        <f t="shared" si="127"/>
        <v>0</v>
      </c>
      <c r="N3281" s="756">
        <v>0</v>
      </c>
      <c r="O3281" s="720">
        <f t="shared" si="128"/>
        <v>0</v>
      </c>
    </row>
    <row r="3282" spans="1:15" x14ac:dyDescent="0.25">
      <c r="A3282" s="207" t="str">
        <f>VLOOKUP(RIGHT(E3282,3)+0,SchLocTable!$A$2:$B$47,2,FALSE)</f>
        <v>Marin</v>
      </c>
      <c r="B3282" s="207" t="str">
        <f>VLOOKUP(VALUE(D3282),$D$3:F$106,3,FALSE)</f>
        <v>Security</v>
      </c>
      <c r="C3282" s="751" t="s">
        <v>246</v>
      </c>
      <c r="D3282" s="751" t="s">
        <v>942</v>
      </c>
      <c r="E3282" s="751" t="s">
        <v>956</v>
      </c>
      <c r="F3282" s="751" t="s">
        <v>257</v>
      </c>
      <c r="G3282" s="752" t="s">
        <v>1681</v>
      </c>
      <c r="H3282" s="753">
        <v>51140</v>
      </c>
      <c r="I3282" s="754">
        <v>1650</v>
      </c>
      <c r="J3282" s="754">
        <v>0</v>
      </c>
      <c r="K3282" s="754">
        <v>0</v>
      </c>
      <c r="L3282" s="754">
        <v>1650</v>
      </c>
      <c r="M3282" s="754">
        <f t="shared" si="127"/>
        <v>1650</v>
      </c>
      <c r="N3282" s="756">
        <v>1650</v>
      </c>
      <c r="O3282" s="720">
        <f t="shared" si="128"/>
        <v>0</v>
      </c>
    </row>
    <row r="3283" spans="1:15" x14ac:dyDescent="0.25">
      <c r="A3283" s="207" t="str">
        <f>VLOOKUP(RIGHT(E3283,3)+0,SchLocTable!$A$2:$B$47,2,FALSE)</f>
        <v>Marin</v>
      </c>
      <c r="B3283" s="207" t="str">
        <f>VLOOKUP(VALUE(D3283),$D$3:F$106,3,FALSE)</f>
        <v>Security</v>
      </c>
      <c r="C3283" s="751" t="s">
        <v>246</v>
      </c>
      <c r="D3283" s="751" t="s">
        <v>942</v>
      </c>
      <c r="E3283" s="751" t="s">
        <v>956</v>
      </c>
      <c r="F3283" s="751" t="s">
        <v>254</v>
      </c>
      <c r="G3283" s="752" t="s">
        <v>1681</v>
      </c>
      <c r="H3283" s="753">
        <v>52360</v>
      </c>
      <c r="I3283" s="754">
        <v>687.87</v>
      </c>
      <c r="J3283" s="754">
        <v>0</v>
      </c>
      <c r="K3283" s="754">
        <v>0</v>
      </c>
      <c r="L3283" s="754">
        <v>227.43</v>
      </c>
      <c r="M3283" s="754">
        <f t="shared" si="127"/>
        <v>227.43</v>
      </c>
      <c r="N3283" s="756">
        <v>687.87</v>
      </c>
      <c r="O3283" s="720">
        <f t="shared" si="128"/>
        <v>0</v>
      </c>
    </row>
    <row r="3284" spans="1:15" x14ac:dyDescent="0.25">
      <c r="A3284" s="207" t="str">
        <f>VLOOKUP(RIGHT(E3284,3)+0,SchLocTable!$A$2:$B$47,2,FALSE)</f>
        <v>Marin</v>
      </c>
      <c r="B3284" s="207" t="str">
        <f>VLOOKUP(VALUE(D3284),$D$3:F$106,3,FALSE)</f>
        <v>Security</v>
      </c>
      <c r="C3284" s="751" t="s">
        <v>246</v>
      </c>
      <c r="D3284" s="751" t="s">
        <v>942</v>
      </c>
      <c r="E3284" s="751" t="s">
        <v>956</v>
      </c>
      <c r="F3284" s="751" t="s">
        <v>331</v>
      </c>
      <c r="G3284" s="752" t="s">
        <v>1681</v>
      </c>
      <c r="H3284" s="753">
        <v>52504</v>
      </c>
      <c r="I3284" s="754">
        <v>9767.93</v>
      </c>
      <c r="J3284" s="754">
        <v>0</v>
      </c>
      <c r="K3284" s="754">
        <v>0</v>
      </c>
      <c r="L3284" s="754">
        <v>3229.65</v>
      </c>
      <c r="M3284" s="754">
        <f t="shared" si="127"/>
        <v>3229.65</v>
      </c>
      <c r="N3284" s="756">
        <v>9767.93</v>
      </c>
      <c r="O3284" s="720">
        <f t="shared" si="128"/>
        <v>0</v>
      </c>
    </row>
    <row r="3285" spans="1:15" x14ac:dyDescent="0.25">
      <c r="A3285" s="207" t="str">
        <f>VLOOKUP(RIGHT(E3285,3)+0,SchLocTable!$A$2:$B$47,2,FALSE)</f>
        <v>Marin</v>
      </c>
      <c r="B3285" s="207" t="str">
        <f>VLOOKUP(VALUE(D3285),$D$3:F$106,3,FALSE)</f>
        <v>Security</v>
      </c>
      <c r="C3285" s="751" t="s">
        <v>246</v>
      </c>
      <c r="D3285" s="751" t="s">
        <v>942</v>
      </c>
      <c r="E3285" s="751" t="s">
        <v>956</v>
      </c>
      <c r="F3285" s="751" t="s">
        <v>259</v>
      </c>
      <c r="G3285" s="752" t="s">
        <v>1681</v>
      </c>
      <c r="H3285" s="753">
        <v>52917</v>
      </c>
      <c r="I3285" s="754">
        <v>928.64</v>
      </c>
      <c r="J3285" s="754">
        <v>0</v>
      </c>
      <c r="K3285" s="754">
        <v>0</v>
      </c>
      <c r="L3285" s="754">
        <v>284.64</v>
      </c>
      <c r="M3285" s="754">
        <f t="shared" si="127"/>
        <v>284.64</v>
      </c>
      <c r="N3285" s="756">
        <v>928.64</v>
      </c>
      <c r="O3285" s="720">
        <f t="shared" si="128"/>
        <v>0</v>
      </c>
    </row>
    <row r="3286" spans="1:15" x14ac:dyDescent="0.25">
      <c r="A3286" s="207" t="str">
        <f>VLOOKUP(RIGHT(E3286,3)+0,SchLocTable!$A$2:$B$47,2,FALSE)</f>
        <v>Marin</v>
      </c>
      <c r="B3286" s="207" t="str">
        <f>VLOOKUP(VALUE(D3286),$D$3:F$106,3,FALSE)</f>
        <v>Security</v>
      </c>
      <c r="C3286" s="751" t="s">
        <v>246</v>
      </c>
      <c r="D3286" s="751" t="s">
        <v>942</v>
      </c>
      <c r="E3286" s="751" t="s">
        <v>956</v>
      </c>
      <c r="F3286" s="751" t="s">
        <v>333</v>
      </c>
      <c r="G3286" s="752" t="s">
        <v>1681</v>
      </c>
      <c r="H3286" s="753">
        <v>52920</v>
      </c>
      <c r="I3286" s="754">
        <v>2000</v>
      </c>
      <c r="J3286" s="754">
        <v>0</v>
      </c>
      <c r="K3286" s="754">
        <v>0</v>
      </c>
      <c r="L3286" s="754">
        <v>0</v>
      </c>
      <c r="M3286" s="754">
        <f t="shared" si="127"/>
        <v>0</v>
      </c>
      <c r="N3286" s="756">
        <v>2000</v>
      </c>
      <c r="O3286" s="720">
        <f t="shared" si="128"/>
        <v>0</v>
      </c>
    </row>
    <row r="3287" spans="1:15" x14ac:dyDescent="0.25">
      <c r="A3287" s="207" t="str">
        <f>VLOOKUP(RIGHT(E3287,3)+0,SchLocTable!$A$2:$B$47,2,FALSE)</f>
        <v>Hall</v>
      </c>
      <c r="B3287" s="207" t="str">
        <f>VLOOKUP(VALUE(D3287),$D$3:F$106,3,FALSE)</f>
        <v>Security</v>
      </c>
      <c r="C3287" s="751" t="s">
        <v>246</v>
      </c>
      <c r="D3287" s="751" t="s">
        <v>942</v>
      </c>
      <c r="E3287" s="751" t="s">
        <v>957</v>
      </c>
      <c r="F3287" s="751" t="s">
        <v>248</v>
      </c>
      <c r="G3287" s="752">
        <v>1</v>
      </c>
      <c r="H3287" s="753">
        <v>51000</v>
      </c>
      <c r="I3287" s="754">
        <v>45789.84</v>
      </c>
      <c r="J3287" s="754">
        <v>0</v>
      </c>
      <c r="K3287" s="754">
        <v>0</v>
      </c>
      <c r="L3287" s="754">
        <v>14035.2</v>
      </c>
      <c r="M3287" s="754">
        <f t="shared" si="127"/>
        <v>14035.2</v>
      </c>
      <c r="N3287" s="756">
        <v>45789.84</v>
      </c>
      <c r="O3287" s="720">
        <f t="shared" si="128"/>
        <v>0</v>
      </c>
    </row>
    <row r="3288" spans="1:15" x14ac:dyDescent="0.25">
      <c r="A3288" s="207" t="str">
        <f>VLOOKUP(RIGHT(E3288,3)+0,SchLocTable!$A$2:$B$47,2,FALSE)</f>
        <v>Hall</v>
      </c>
      <c r="B3288" s="207" t="str">
        <f>VLOOKUP(VALUE(D3288),$D$3:F$106,3,FALSE)</f>
        <v>Security</v>
      </c>
      <c r="C3288" s="755" t="s">
        <v>246</v>
      </c>
      <c r="D3288" s="751" t="s">
        <v>942</v>
      </c>
      <c r="E3288" s="751" t="s">
        <v>957</v>
      </c>
      <c r="F3288" s="751" t="s">
        <v>250</v>
      </c>
      <c r="G3288" s="752" t="s">
        <v>1681</v>
      </c>
      <c r="H3288" s="753">
        <v>51100</v>
      </c>
      <c r="I3288" s="754">
        <v>0</v>
      </c>
      <c r="J3288" s="754">
        <v>0</v>
      </c>
      <c r="K3288" s="754">
        <v>0</v>
      </c>
      <c r="L3288" s="754">
        <v>0</v>
      </c>
      <c r="M3288" s="754">
        <f t="shared" si="127"/>
        <v>0</v>
      </c>
      <c r="N3288" s="756">
        <v>0</v>
      </c>
      <c r="O3288" s="720">
        <f t="shared" si="128"/>
        <v>0</v>
      </c>
    </row>
    <row r="3289" spans="1:15" x14ac:dyDescent="0.25">
      <c r="A3289" s="207" t="str">
        <f>VLOOKUP(RIGHT(E3289,3)+0,SchLocTable!$A$2:$B$47,2,FALSE)</f>
        <v>Hall</v>
      </c>
      <c r="B3289" s="207" t="str">
        <f>VLOOKUP(VALUE(D3289),$D$3:F$106,3,FALSE)</f>
        <v>Security</v>
      </c>
      <c r="C3289" s="755" t="s">
        <v>246</v>
      </c>
      <c r="D3289" s="751" t="s">
        <v>942</v>
      </c>
      <c r="E3289" s="751" t="s">
        <v>957</v>
      </c>
      <c r="F3289" s="751" t="s">
        <v>380</v>
      </c>
      <c r="G3289" s="752" t="s">
        <v>1681</v>
      </c>
      <c r="H3289" s="753">
        <v>51122</v>
      </c>
      <c r="I3289" s="754">
        <v>0</v>
      </c>
      <c r="J3289" s="754">
        <v>0</v>
      </c>
      <c r="K3289" s="754">
        <v>0</v>
      </c>
      <c r="L3289" s="754">
        <v>0</v>
      </c>
      <c r="M3289" s="754">
        <f t="shared" si="127"/>
        <v>0</v>
      </c>
      <c r="N3289" s="756">
        <v>0</v>
      </c>
      <c r="O3289" s="720">
        <f t="shared" si="128"/>
        <v>0</v>
      </c>
    </row>
    <row r="3290" spans="1:15" x14ac:dyDescent="0.25">
      <c r="A3290" s="207" t="str">
        <f>VLOOKUP(RIGHT(E3290,3)+0,SchLocTable!$A$2:$B$47,2,FALSE)</f>
        <v>Hall</v>
      </c>
      <c r="B3290" s="207" t="str">
        <f>VLOOKUP(VALUE(D3290),$D$3:F$106,3,FALSE)</f>
        <v>Security</v>
      </c>
      <c r="C3290" s="751" t="s">
        <v>246</v>
      </c>
      <c r="D3290" s="751" t="s">
        <v>942</v>
      </c>
      <c r="E3290" s="751" t="s">
        <v>957</v>
      </c>
      <c r="F3290" s="751" t="s">
        <v>257</v>
      </c>
      <c r="G3290" s="752" t="s">
        <v>1681</v>
      </c>
      <c r="H3290" s="753">
        <v>51140</v>
      </c>
      <c r="I3290" s="754">
        <v>1650</v>
      </c>
      <c r="J3290" s="754">
        <v>0</v>
      </c>
      <c r="K3290" s="754">
        <v>0</v>
      </c>
      <c r="L3290" s="754">
        <v>1650</v>
      </c>
      <c r="M3290" s="754">
        <f t="shared" si="127"/>
        <v>1650</v>
      </c>
      <c r="N3290" s="756">
        <v>1650</v>
      </c>
      <c r="O3290" s="720">
        <f t="shared" si="128"/>
        <v>0</v>
      </c>
    </row>
    <row r="3291" spans="1:15" x14ac:dyDescent="0.25">
      <c r="A3291" s="207" t="str">
        <f>VLOOKUP(RIGHT(E3291,3)+0,SchLocTable!$A$2:$B$47,2,FALSE)</f>
        <v>Hall</v>
      </c>
      <c r="B3291" s="207" t="str">
        <f>VLOOKUP(VALUE(D3291),$D$3:F$106,3,FALSE)</f>
        <v>Security</v>
      </c>
      <c r="C3291" s="751" t="s">
        <v>246</v>
      </c>
      <c r="D3291" s="751" t="s">
        <v>942</v>
      </c>
      <c r="E3291" s="751" t="s">
        <v>957</v>
      </c>
      <c r="F3291" s="751" t="s">
        <v>254</v>
      </c>
      <c r="G3291" s="752" t="s">
        <v>1681</v>
      </c>
      <c r="H3291" s="753">
        <v>52360</v>
      </c>
      <c r="I3291" s="754">
        <v>668.45</v>
      </c>
      <c r="J3291" s="754">
        <v>0</v>
      </c>
      <c r="K3291" s="754">
        <v>0</v>
      </c>
      <c r="L3291" s="754">
        <v>208.01</v>
      </c>
      <c r="M3291" s="754">
        <f t="shared" si="127"/>
        <v>208.01</v>
      </c>
      <c r="N3291" s="756">
        <v>668.45</v>
      </c>
      <c r="O3291" s="720">
        <f t="shared" si="128"/>
        <v>0</v>
      </c>
    </row>
    <row r="3292" spans="1:15" x14ac:dyDescent="0.25">
      <c r="A3292" s="207" t="str">
        <f>VLOOKUP(RIGHT(E3292,3)+0,SchLocTable!$A$2:$B$47,2,FALSE)</f>
        <v>Hall</v>
      </c>
      <c r="B3292" s="207" t="str">
        <f>VLOOKUP(VALUE(D3292),$D$3:F$106,3,FALSE)</f>
        <v>Security</v>
      </c>
      <c r="C3292" s="751" t="s">
        <v>246</v>
      </c>
      <c r="D3292" s="751" t="s">
        <v>942</v>
      </c>
      <c r="E3292" s="751" t="s">
        <v>957</v>
      </c>
      <c r="F3292" s="751" t="s">
        <v>331</v>
      </c>
      <c r="G3292" s="752" t="s">
        <v>1681</v>
      </c>
      <c r="H3292" s="753">
        <v>52504</v>
      </c>
      <c r="I3292" s="754">
        <v>9767.93</v>
      </c>
      <c r="J3292" s="754">
        <v>0</v>
      </c>
      <c r="K3292" s="754">
        <v>0</v>
      </c>
      <c r="L3292" s="754">
        <v>3229.65</v>
      </c>
      <c r="M3292" s="754">
        <f t="shared" si="127"/>
        <v>3229.65</v>
      </c>
      <c r="N3292" s="756">
        <v>9767.93</v>
      </c>
      <c r="O3292" s="720">
        <f t="shared" si="128"/>
        <v>0</v>
      </c>
    </row>
    <row r="3293" spans="1:15" x14ac:dyDescent="0.25">
      <c r="A3293" s="207" t="str">
        <f>VLOOKUP(RIGHT(E3293,3)+0,SchLocTable!$A$2:$B$47,2,FALSE)</f>
        <v>Hall</v>
      </c>
      <c r="B3293" s="207" t="str">
        <f>VLOOKUP(VALUE(D3293),$D$3:F$106,3,FALSE)</f>
        <v>Security</v>
      </c>
      <c r="C3293" s="751" t="s">
        <v>246</v>
      </c>
      <c r="D3293" s="751" t="s">
        <v>942</v>
      </c>
      <c r="E3293" s="751" t="s">
        <v>957</v>
      </c>
      <c r="F3293" s="751" t="s">
        <v>259</v>
      </c>
      <c r="G3293" s="752" t="s">
        <v>1681</v>
      </c>
      <c r="H3293" s="753">
        <v>52917</v>
      </c>
      <c r="I3293" s="754">
        <v>11599.36</v>
      </c>
      <c r="J3293" s="754">
        <v>0</v>
      </c>
      <c r="K3293" s="754">
        <v>0</v>
      </c>
      <c r="L3293" s="754">
        <v>3555.36</v>
      </c>
      <c r="M3293" s="754">
        <f t="shared" si="127"/>
        <v>3555.36</v>
      </c>
      <c r="N3293" s="756">
        <v>11599.36</v>
      </c>
      <c r="O3293" s="720">
        <f t="shared" si="128"/>
        <v>0</v>
      </c>
    </row>
    <row r="3294" spans="1:15" x14ac:dyDescent="0.25">
      <c r="A3294" s="207" t="str">
        <f>VLOOKUP(RIGHT(E3294,3)+0,SchLocTable!$A$2:$B$47,2,FALSE)</f>
        <v>Hallen</v>
      </c>
      <c r="B3294" s="207" t="str">
        <f>VLOOKUP(VALUE(D3294),$D$3:F$106,3,FALSE)</f>
        <v>Security</v>
      </c>
      <c r="C3294" s="751" t="s">
        <v>246</v>
      </c>
      <c r="D3294" s="751" t="s">
        <v>942</v>
      </c>
      <c r="E3294" s="751" t="s">
        <v>958</v>
      </c>
      <c r="F3294" s="751" t="s">
        <v>248</v>
      </c>
      <c r="G3294" s="752">
        <v>1</v>
      </c>
      <c r="H3294" s="753">
        <v>51000</v>
      </c>
      <c r="I3294" s="754">
        <v>45258.400000000001</v>
      </c>
      <c r="J3294" s="754">
        <v>0</v>
      </c>
      <c r="K3294" s="754">
        <v>0</v>
      </c>
      <c r="L3294" s="754">
        <v>13503.76</v>
      </c>
      <c r="M3294" s="754">
        <f t="shared" si="127"/>
        <v>13503.76</v>
      </c>
      <c r="N3294" s="756">
        <v>45258.400000000001</v>
      </c>
      <c r="O3294" s="720">
        <f t="shared" si="128"/>
        <v>0</v>
      </c>
    </row>
    <row r="3295" spans="1:15" x14ac:dyDescent="0.25">
      <c r="A3295" s="207" t="str">
        <f>VLOOKUP(RIGHT(E3295,3)+0,SchLocTable!$A$2:$B$47,2,FALSE)</f>
        <v>Hallen</v>
      </c>
      <c r="B3295" s="207" t="str">
        <f>VLOOKUP(VALUE(D3295),$D$3:F$106,3,FALSE)</f>
        <v>Security</v>
      </c>
      <c r="C3295" s="751" t="s">
        <v>246</v>
      </c>
      <c r="D3295" s="751" t="s">
        <v>942</v>
      </c>
      <c r="E3295" s="751" t="s">
        <v>958</v>
      </c>
      <c r="F3295" s="751" t="s">
        <v>380</v>
      </c>
      <c r="G3295" s="752" t="s">
        <v>1681</v>
      </c>
      <c r="H3295" s="753">
        <v>51122</v>
      </c>
      <c r="I3295" s="754">
        <v>0</v>
      </c>
      <c r="J3295" s="754">
        <v>0</v>
      </c>
      <c r="K3295" s="754">
        <v>0</v>
      </c>
      <c r="L3295" s="754">
        <v>0</v>
      </c>
      <c r="M3295" s="754">
        <f t="shared" si="127"/>
        <v>0</v>
      </c>
      <c r="N3295" s="756">
        <v>0</v>
      </c>
      <c r="O3295" s="720">
        <f t="shared" si="128"/>
        <v>0</v>
      </c>
    </row>
    <row r="3296" spans="1:15" x14ac:dyDescent="0.25">
      <c r="A3296" s="207" t="str">
        <f>VLOOKUP(RIGHT(E3296,3)+0,SchLocTable!$A$2:$B$47,2,FALSE)</f>
        <v>Hallen</v>
      </c>
      <c r="B3296" s="207" t="str">
        <f>VLOOKUP(VALUE(D3296),$D$3:F$106,3,FALSE)</f>
        <v>Security</v>
      </c>
      <c r="C3296" s="755" t="s">
        <v>246</v>
      </c>
      <c r="D3296" s="751" t="s">
        <v>942</v>
      </c>
      <c r="E3296" s="751" t="s">
        <v>958</v>
      </c>
      <c r="F3296" s="751" t="s">
        <v>254</v>
      </c>
      <c r="G3296" s="752" t="s">
        <v>1681</v>
      </c>
      <c r="H3296" s="753">
        <v>52360</v>
      </c>
      <c r="I3296" s="754">
        <v>634.04</v>
      </c>
      <c r="J3296" s="754">
        <v>0</v>
      </c>
      <c r="K3296" s="754">
        <v>0</v>
      </c>
      <c r="L3296" s="754">
        <v>173.6</v>
      </c>
      <c r="M3296" s="754">
        <f t="shared" si="127"/>
        <v>173.6</v>
      </c>
      <c r="N3296" s="756">
        <v>634.04</v>
      </c>
      <c r="O3296" s="720">
        <f t="shared" si="128"/>
        <v>0</v>
      </c>
    </row>
    <row r="3297" spans="1:15" x14ac:dyDescent="0.25">
      <c r="A3297" s="207" t="str">
        <f>VLOOKUP(RIGHT(E3297,3)+0,SchLocTable!$A$2:$B$47,2,FALSE)</f>
        <v>Hallen</v>
      </c>
      <c r="B3297" s="207" t="str">
        <f>VLOOKUP(VALUE(D3297),$D$3:F$106,3,FALSE)</f>
        <v>Security</v>
      </c>
      <c r="C3297" s="751" t="s">
        <v>246</v>
      </c>
      <c r="D3297" s="751" t="s">
        <v>942</v>
      </c>
      <c r="E3297" s="751" t="s">
        <v>958</v>
      </c>
      <c r="F3297" s="751" t="s">
        <v>331</v>
      </c>
      <c r="G3297" s="752" t="s">
        <v>1681</v>
      </c>
      <c r="H3297" s="753">
        <v>52504</v>
      </c>
      <c r="I3297" s="754">
        <v>9318.75</v>
      </c>
      <c r="J3297" s="754">
        <v>0</v>
      </c>
      <c r="K3297" s="754">
        <v>0</v>
      </c>
      <c r="L3297" s="754">
        <v>2780.47</v>
      </c>
      <c r="M3297" s="754">
        <f t="shared" si="127"/>
        <v>2780.47</v>
      </c>
      <c r="N3297" s="756">
        <v>9318.75</v>
      </c>
      <c r="O3297" s="720">
        <f t="shared" si="128"/>
        <v>0</v>
      </c>
    </row>
    <row r="3298" spans="1:15" x14ac:dyDescent="0.25">
      <c r="A3298" s="207" t="str">
        <f>VLOOKUP(RIGHT(E3298,3)+0,SchLocTable!$A$2:$B$47,2,FALSE)</f>
        <v>Hallen</v>
      </c>
      <c r="B3298" s="207" t="str">
        <f>VLOOKUP(VALUE(D3298),$D$3:F$106,3,FALSE)</f>
        <v>Security</v>
      </c>
      <c r="C3298" s="751" t="s">
        <v>246</v>
      </c>
      <c r="D3298" s="751" t="s">
        <v>942</v>
      </c>
      <c r="E3298" s="751" t="s">
        <v>958</v>
      </c>
      <c r="F3298" s="751" t="s">
        <v>259</v>
      </c>
      <c r="G3298" s="752" t="s">
        <v>1681</v>
      </c>
      <c r="H3298" s="753">
        <v>52917</v>
      </c>
      <c r="I3298" s="754">
        <v>11301.82</v>
      </c>
      <c r="J3298" s="754">
        <v>0</v>
      </c>
      <c r="K3298" s="754">
        <v>0</v>
      </c>
      <c r="L3298" s="754">
        <v>3464.16</v>
      </c>
      <c r="M3298" s="754">
        <f t="shared" si="127"/>
        <v>3464.16</v>
      </c>
      <c r="N3298" s="756">
        <v>11301.82</v>
      </c>
      <c r="O3298" s="720">
        <f t="shared" si="128"/>
        <v>0</v>
      </c>
    </row>
    <row r="3299" spans="1:15" x14ac:dyDescent="0.25">
      <c r="A3299" s="207" t="str">
        <f>VLOOKUP(RIGHT(E3299,3)+0,SchLocTable!$A$2:$B$47,2,FALSE)</f>
        <v>Hallen</v>
      </c>
      <c r="B3299" s="207" t="str">
        <f>VLOOKUP(VALUE(D3299),$D$3:F$106,3,FALSE)</f>
        <v>Security</v>
      </c>
      <c r="C3299" s="751" t="s">
        <v>246</v>
      </c>
      <c r="D3299" s="751" t="s">
        <v>942</v>
      </c>
      <c r="E3299" s="751" t="s">
        <v>958</v>
      </c>
      <c r="F3299" s="751" t="s">
        <v>333</v>
      </c>
      <c r="G3299" s="752" t="s">
        <v>1681</v>
      </c>
      <c r="H3299" s="753">
        <v>52920</v>
      </c>
      <c r="I3299" s="754">
        <v>2000</v>
      </c>
      <c r="J3299" s="754">
        <v>0</v>
      </c>
      <c r="K3299" s="754">
        <v>0</v>
      </c>
      <c r="L3299" s="754">
        <v>0</v>
      </c>
      <c r="M3299" s="754">
        <f t="shared" si="127"/>
        <v>0</v>
      </c>
      <c r="N3299" s="756">
        <v>2000</v>
      </c>
      <c r="O3299" s="720">
        <f t="shared" si="128"/>
        <v>0</v>
      </c>
    </row>
    <row r="3300" spans="1:15" x14ac:dyDescent="0.25">
      <c r="A3300" s="207" t="str">
        <f>VLOOKUP(RIGHT(E3300,3)+0,SchLocTable!$A$2:$B$47,2,FALSE)</f>
        <v>Hooker</v>
      </c>
      <c r="B3300" s="207" t="str">
        <f>VLOOKUP(VALUE(D3300),$D$3:F$106,3,FALSE)</f>
        <v>Security</v>
      </c>
      <c r="C3300" s="751" t="s">
        <v>246</v>
      </c>
      <c r="D3300" s="751" t="s">
        <v>942</v>
      </c>
      <c r="E3300" s="751" t="s">
        <v>959</v>
      </c>
      <c r="F3300" s="751" t="s">
        <v>248</v>
      </c>
      <c r="G3300" s="752">
        <v>1</v>
      </c>
      <c r="H3300" s="753">
        <v>51000</v>
      </c>
      <c r="I3300" s="754">
        <v>45784.72</v>
      </c>
      <c r="J3300" s="754">
        <v>0</v>
      </c>
      <c r="K3300" s="754">
        <v>0</v>
      </c>
      <c r="L3300" s="754">
        <v>14030.08</v>
      </c>
      <c r="M3300" s="754">
        <f t="shared" si="127"/>
        <v>14030.08</v>
      </c>
      <c r="N3300" s="756">
        <v>45784.72</v>
      </c>
      <c r="O3300" s="720">
        <f t="shared" si="128"/>
        <v>0</v>
      </c>
    </row>
    <row r="3301" spans="1:15" x14ac:dyDescent="0.25">
      <c r="A3301" s="207" t="str">
        <f>VLOOKUP(RIGHT(E3301,3)+0,SchLocTable!$A$2:$B$47,2,FALSE)</f>
        <v>Hooker</v>
      </c>
      <c r="B3301" s="207" t="str">
        <f>VLOOKUP(VALUE(D3301),$D$3:F$106,3,FALSE)</f>
        <v>Security</v>
      </c>
      <c r="C3301" s="751" t="s">
        <v>246</v>
      </c>
      <c r="D3301" s="751" t="s">
        <v>942</v>
      </c>
      <c r="E3301" s="751" t="s">
        <v>959</v>
      </c>
      <c r="F3301" s="751" t="s">
        <v>257</v>
      </c>
      <c r="G3301" s="752" t="s">
        <v>1681</v>
      </c>
      <c r="H3301" s="753">
        <v>51140</v>
      </c>
      <c r="I3301" s="754">
        <v>750</v>
      </c>
      <c r="J3301" s="754">
        <v>0</v>
      </c>
      <c r="K3301" s="754">
        <v>0</v>
      </c>
      <c r="L3301" s="754">
        <v>750</v>
      </c>
      <c r="M3301" s="754">
        <f t="shared" si="127"/>
        <v>750</v>
      </c>
      <c r="N3301" s="756">
        <v>750</v>
      </c>
      <c r="O3301" s="720">
        <f t="shared" si="128"/>
        <v>0</v>
      </c>
    </row>
    <row r="3302" spans="1:15" x14ac:dyDescent="0.25">
      <c r="A3302" s="207" t="str">
        <f>VLOOKUP(RIGHT(E3302,3)+0,SchLocTable!$A$2:$B$47,2,FALSE)</f>
        <v>Hooker</v>
      </c>
      <c r="B3302" s="207" t="str">
        <f>VLOOKUP(VALUE(D3302),$D$3:F$106,3,FALSE)</f>
        <v>Security</v>
      </c>
      <c r="C3302" s="751" t="s">
        <v>246</v>
      </c>
      <c r="D3302" s="751" t="s">
        <v>942</v>
      </c>
      <c r="E3302" s="751" t="s">
        <v>959</v>
      </c>
      <c r="F3302" s="751" t="s">
        <v>254</v>
      </c>
      <c r="G3302" s="752" t="s">
        <v>1681</v>
      </c>
      <c r="H3302" s="753">
        <v>52360</v>
      </c>
      <c r="I3302" s="754">
        <v>674.75</v>
      </c>
      <c r="J3302" s="754">
        <v>0</v>
      </c>
      <c r="K3302" s="754">
        <v>0</v>
      </c>
      <c r="L3302" s="754">
        <v>214.31</v>
      </c>
      <c r="M3302" s="754">
        <f t="shared" si="127"/>
        <v>214.31</v>
      </c>
      <c r="N3302" s="756">
        <v>674.75</v>
      </c>
      <c r="O3302" s="720">
        <f t="shared" si="128"/>
        <v>0</v>
      </c>
    </row>
    <row r="3303" spans="1:15" x14ac:dyDescent="0.25">
      <c r="A3303" s="207" t="str">
        <f>VLOOKUP(RIGHT(E3303,3)+0,SchLocTable!$A$2:$B$47,2,FALSE)</f>
        <v>Hooker</v>
      </c>
      <c r="B3303" s="207" t="str">
        <f>VLOOKUP(VALUE(D3303),$D$3:F$106,3,FALSE)</f>
        <v>Security</v>
      </c>
      <c r="C3303" s="751" t="s">
        <v>246</v>
      </c>
      <c r="D3303" s="751" t="s">
        <v>942</v>
      </c>
      <c r="E3303" s="751" t="s">
        <v>959</v>
      </c>
      <c r="F3303" s="751" t="s">
        <v>331</v>
      </c>
      <c r="G3303" s="752" t="s">
        <v>1681</v>
      </c>
      <c r="H3303" s="751">
        <v>52504</v>
      </c>
      <c r="I3303" s="754">
        <v>9581.56</v>
      </c>
      <c r="J3303" s="754">
        <v>0</v>
      </c>
      <c r="K3303" s="754">
        <v>0</v>
      </c>
      <c r="L3303" s="754">
        <v>3043.28</v>
      </c>
      <c r="M3303" s="754">
        <f t="shared" si="127"/>
        <v>3043.28</v>
      </c>
      <c r="N3303" s="756">
        <v>9581.56</v>
      </c>
      <c r="O3303" s="720">
        <f t="shared" si="128"/>
        <v>0</v>
      </c>
    </row>
    <row r="3304" spans="1:15" x14ac:dyDescent="0.25">
      <c r="A3304" s="207" t="str">
        <f>VLOOKUP(RIGHT(E3304,3)+0,SchLocTable!$A$2:$B$47,2,FALSE)</f>
        <v>Hooker</v>
      </c>
      <c r="B3304" s="207" t="str">
        <f>VLOOKUP(VALUE(D3304),$D$3:F$106,3,FALSE)</f>
        <v>Security</v>
      </c>
      <c r="C3304" s="751" t="s">
        <v>246</v>
      </c>
      <c r="D3304" s="751" t="s">
        <v>942</v>
      </c>
      <c r="E3304" s="751" t="s">
        <v>959</v>
      </c>
      <c r="F3304" s="751" t="s">
        <v>259</v>
      </c>
      <c r="G3304" s="752" t="s">
        <v>1681</v>
      </c>
      <c r="H3304" s="753">
        <v>52917</v>
      </c>
      <c r="I3304" s="754">
        <v>0</v>
      </c>
      <c r="J3304" s="754">
        <v>0</v>
      </c>
      <c r="K3304" s="754">
        <v>0</v>
      </c>
      <c r="L3304" s="754">
        <v>0</v>
      </c>
      <c r="M3304" s="754">
        <f t="shared" si="127"/>
        <v>0</v>
      </c>
      <c r="N3304" s="756">
        <v>0</v>
      </c>
      <c r="O3304" s="720">
        <f t="shared" si="128"/>
        <v>0</v>
      </c>
    </row>
    <row r="3305" spans="1:15" x14ac:dyDescent="0.25">
      <c r="A3305" s="207" t="str">
        <f>VLOOKUP(RIGHT(E3305,3)+0,SchLocTable!$A$2:$B$47,2,FALSE)</f>
        <v>Hooker</v>
      </c>
      <c r="B3305" s="207" t="str">
        <f>VLOOKUP(VALUE(D3305),$D$3:F$106,3,FALSE)</f>
        <v>Security</v>
      </c>
      <c r="C3305" s="751" t="s">
        <v>246</v>
      </c>
      <c r="D3305" s="751" t="s">
        <v>942</v>
      </c>
      <c r="E3305" s="751" t="s">
        <v>959</v>
      </c>
      <c r="F3305" s="751" t="s">
        <v>333</v>
      </c>
      <c r="G3305" s="752" t="s">
        <v>1681</v>
      </c>
      <c r="H3305" s="753">
        <v>52920</v>
      </c>
      <c r="I3305" s="754">
        <v>2000</v>
      </c>
      <c r="J3305" s="754">
        <v>0</v>
      </c>
      <c r="K3305" s="754">
        <v>0</v>
      </c>
      <c r="L3305" s="754">
        <v>0</v>
      </c>
      <c r="M3305" s="754">
        <f t="shared" si="127"/>
        <v>0</v>
      </c>
      <c r="N3305" s="756">
        <v>2000</v>
      </c>
      <c r="O3305" s="720">
        <f t="shared" si="128"/>
        <v>0</v>
      </c>
    </row>
    <row r="3306" spans="1:15" x14ac:dyDescent="0.25">
      <c r="A3306" s="207" t="str">
        <f>VLOOKUP(RIGHT(E3306,3)+0,SchLocTable!$A$2:$B$47,2,FALSE)</f>
        <v>Batalla</v>
      </c>
      <c r="B3306" s="207" t="str">
        <f>VLOOKUP(VALUE(D3306),$D$3:F$106,3,FALSE)</f>
        <v>Security</v>
      </c>
      <c r="C3306" s="751" t="s">
        <v>246</v>
      </c>
      <c r="D3306" s="751" t="s">
        <v>942</v>
      </c>
      <c r="E3306" s="751" t="s">
        <v>960</v>
      </c>
      <c r="F3306" s="751" t="s">
        <v>248</v>
      </c>
      <c r="G3306" s="752">
        <v>2</v>
      </c>
      <c r="H3306" s="753">
        <v>51000</v>
      </c>
      <c r="I3306" s="754">
        <v>84977.72</v>
      </c>
      <c r="J3306" s="754">
        <v>0</v>
      </c>
      <c r="K3306" s="754">
        <v>0</v>
      </c>
      <c r="L3306" s="754">
        <v>22930.92</v>
      </c>
      <c r="M3306" s="754">
        <f t="shared" si="127"/>
        <v>22930.92</v>
      </c>
      <c r="N3306" s="756">
        <v>84977.72</v>
      </c>
      <c r="O3306" s="720">
        <f t="shared" si="128"/>
        <v>0</v>
      </c>
    </row>
    <row r="3307" spans="1:15" x14ac:dyDescent="0.25">
      <c r="A3307" s="207" t="str">
        <f>VLOOKUP(RIGHT(E3307,3)+0,SchLocTable!$A$2:$B$47,2,FALSE)</f>
        <v>Batalla</v>
      </c>
      <c r="B3307" s="207" t="str">
        <f>VLOOKUP(VALUE(D3307),$D$3:F$106,3,FALSE)</f>
        <v>Security</v>
      </c>
      <c r="C3307" s="751" t="s">
        <v>246</v>
      </c>
      <c r="D3307" s="751" t="s">
        <v>942</v>
      </c>
      <c r="E3307" s="751" t="s">
        <v>960</v>
      </c>
      <c r="F3307" s="751" t="s">
        <v>378</v>
      </c>
      <c r="G3307" s="752" t="s">
        <v>1681</v>
      </c>
      <c r="H3307" s="753">
        <v>51108</v>
      </c>
      <c r="I3307" s="754">
        <v>0</v>
      </c>
      <c r="J3307" s="754">
        <v>0</v>
      </c>
      <c r="K3307" s="754">
        <v>0</v>
      </c>
      <c r="L3307" s="754">
        <v>0</v>
      </c>
      <c r="M3307" s="754">
        <f t="shared" si="127"/>
        <v>0</v>
      </c>
      <c r="N3307" s="756">
        <v>0</v>
      </c>
      <c r="O3307" s="720">
        <f t="shared" si="128"/>
        <v>0</v>
      </c>
    </row>
    <row r="3308" spans="1:15" x14ac:dyDescent="0.25">
      <c r="A3308" s="207" t="str">
        <f>VLOOKUP(RIGHT(E3308,3)+0,SchLocTable!$A$2:$B$47,2,FALSE)</f>
        <v>Batalla</v>
      </c>
      <c r="B3308" s="207" t="str">
        <f>VLOOKUP(VALUE(D3308),$D$3:F$106,3,FALSE)</f>
        <v>Security</v>
      </c>
      <c r="C3308" s="751" t="s">
        <v>246</v>
      </c>
      <c r="D3308" s="751" t="s">
        <v>942</v>
      </c>
      <c r="E3308" s="751" t="s">
        <v>960</v>
      </c>
      <c r="F3308" s="751" t="s">
        <v>380</v>
      </c>
      <c r="G3308" s="752" t="s">
        <v>1681</v>
      </c>
      <c r="H3308" s="753">
        <v>51122</v>
      </c>
      <c r="I3308" s="754">
        <v>0</v>
      </c>
      <c r="J3308" s="754">
        <v>0</v>
      </c>
      <c r="K3308" s="754">
        <v>0</v>
      </c>
      <c r="L3308" s="754">
        <v>0</v>
      </c>
      <c r="M3308" s="754">
        <f t="shared" si="127"/>
        <v>0</v>
      </c>
      <c r="N3308" s="756">
        <v>0</v>
      </c>
      <c r="O3308" s="720">
        <f t="shared" si="128"/>
        <v>0</v>
      </c>
    </row>
    <row r="3309" spans="1:15" x14ac:dyDescent="0.25">
      <c r="A3309" s="207" t="str">
        <f>VLOOKUP(RIGHT(E3309,3)+0,SchLocTable!$A$2:$B$47,2,FALSE)</f>
        <v>Batalla</v>
      </c>
      <c r="B3309" s="207" t="str">
        <f>VLOOKUP(VALUE(D3309),$D$3:F$106,3,FALSE)</f>
        <v>Security</v>
      </c>
      <c r="C3309" s="751" t="s">
        <v>246</v>
      </c>
      <c r="D3309" s="751" t="s">
        <v>942</v>
      </c>
      <c r="E3309" s="751" t="s">
        <v>960</v>
      </c>
      <c r="F3309" s="751" t="s">
        <v>257</v>
      </c>
      <c r="G3309" s="752" t="s">
        <v>1681</v>
      </c>
      <c r="H3309" s="753">
        <v>51140</v>
      </c>
      <c r="I3309" s="754">
        <v>825</v>
      </c>
      <c r="J3309" s="754">
        <v>0</v>
      </c>
      <c r="K3309" s="754">
        <v>0</v>
      </c>
      <c r="L3309" s="754">
        <v>825</v>
      </c>
      <c r="M3309" s="754">
        <f t="shared" si="127"/>
        <v>825</v>
      </c>
      <c r="N3309" s="756">
        <v>825</v>
      </c>
      <c r="O3309" s="720">
        <f t="shared" si="128"/>
        <v>0</v>
      </c>
    </row>
    <row r="3310" spans="1:15" x14ac:dyDescent="0.25">
      <c r="A3310" s="207" t="str">
        <f>VLOOKUP(RIGHT(E3310,3)+0,SchLocTable!$A$2:$B$47,2,FALSE)</f>
        <v>Batalla</v>
      </c>
      <c r="B3310" s="207" t="str">
        <f>VLOOKUP(VALUE(D3310),$D$3:F$106,3,FALSE)</f>
        <v>Security</v>
      </c>
      <c r="C3310" s="751" t="s">
        <v>246</v>
      </c>
      <c r="D3310" s="751" t="s">
        <v>942</v>
      </c>
      <c r="E3310" s="751" t="s">
        <v>960</v>
      </c>
      <c r="F3310" s="751" t="s">
        <v>797</v>
      </c>
      <c r="G3310" s="752" t="s">
        <v>1681</v>
      </c>
      <c r="H3310" s="753">
        <v>51156</v>
      </c>
      <c r="I3310" s="754">
        <v>0</v>
      </c>
      <c r="J3310" s="754">
        <v>0</v>
      </c>
      <c r="K3310" s="754">
        <v>0</v>
      </c>
      <c r="L3310" s="754">
        <v>0</v>
      </c>
      <c r="M3310" s="754">
        <f t="shared" si="127"/>
        <v>0</v>
      </c>
      <c r="N3310" s="756">
        <v>0</v>
      </c>
      <c r="O3310" s="720">
        <f t="shared" si="128"/>
        <v>0</v>
      </c>
    </row>
    <row r="3311" spans="1:15" x14ac:dyDescent="0.25">
      <c r="A3311" s="207" t="str">
        <f>VLOOKUP(RIGHT(E3311,3)+0,SchLocTable!$A$2:$B$47,2,FALSE)</f>
        <v>Batalla</v>
      </c>
      <c r="B3311" s="207" t="str">
        <f>VLOOKUP(VALUE(D3311),$D$3:F$106,3,FALSE)</f>
        <v>Security</v>
      </c>
      <c r="C3311" s="755" t="s">
        <v>246</v>
      </c>
      <c r="D3311" s="751" t="s">
        <v>942</v>
      </c>
      <c r="E3311" s="751" t="s">
        <v>960</v>
      </c>
      <c r="F3311" s="751" t="s">
        <v>254</v>
      </c>
      <c r="G3311" s="752" t="s">
        <v>1681</v>
      </c>
      <c r="H3311" s="753">
        <v>52360</v>
      </c>
      <c r="I3311" s="754">
        <v>1209.71</v>
      </c>
      <c r="J3311" s="754">
        <v>0</v>
      </c>
      <c r="K3311" s="754">
        <v>0</v>
      </c>
      <c r="L3311" s="754">
        <v>310.02999999999997</v>
      </c>
      <c r="M3311" s="754">
        <f t="shared" si="127"/>
        <v>310.02999999999997</v>
      </c>
      <c r="N3311" s="756">
        <v>1209.71</v>
      </c>
      <c r="O3311" s="720">
        <f t="shared" si="128"/>
        <v>0</v>
      </c>
    </row>
    <row r="3312" spans="1:15" x14ac:dyDescent="0.25">
      <c r="A3312" s="207" t="str">
        <f>VLOOKUP(RIGHT(E3312,3)+0,SchLocTable!$A$2:$B$47,2,FALSE)</f>
        <v>Batalla</v>
      </c>
      <c r="B3312" s="207" t="str">
        <f>VLOOKUP(VALUE(D3312),$D$3:F$106,3,FALSE)</f>
        <v>Security</v>
      </c>
      <c r="C3312" s="755" t="s">
        <v>246</v>
      </c>
      <c r="D3312" s="751" t="s">
        <v>942</v>
      </c>
      <c r="E3312" s="751" t="s">
        <v>960</v>
      </c>
      <c r="F3312" s="751" t="s">
        <v>331</v>
      </c>
      <c r="G3312" s="752" t="s">
        <v>1681</v>
      </c>
      <c r="H3312" s="753">
        <v>52504</v>
      </c>
      <c r="I3312" s="754">
        <v>17666.78</v>
      </c>
      <c r="J3312" s="754">
        <v>0</v>
      </c>
      <c r="K3312" s="754">
        <v>0</v>
      </c>
      <c r="L3312" s="754">
        <v>4891.34</v>
      </c>
      <c r="M3312" s="754">
        <f t="shared" si="127"/>
        <v>4891.34</v>
      </c>
      <c r="N3312" s="756">
        <v>17666.78</v>
      </c>
      <c r="O3312" s="720">
        <f t="shared" si="128"/>
        <v>0</v>
      </c>
    </row>
    <row r="3313" spans="1:15" x14ac:dyDescent="0.25">
      <c r="A3313" s="207" t="str">
        <f>VLOOKUP(RIGHT(E3313,3)+0,SchLocTable!$A$2:$B$47,2,FALSE)</f>
        <v>Batalla</v>
      </c>
      <c r="B3313" s="207" t="str">
        <f>VLOOKUP(VALUE(D3313),$D$3:F$106,3,FALSE)</f>
        <v>Security</v>
      </c>
      <c r="C3313" s="755" t="s">
        <v>246</v>
      </c>
      <c r="D3313" s="751" t="s">
        <v>942</v>
      </c>
      <c r="E3313" s="751" t="s">
        <v>960</v>
      </c>
      <c r="F3313" s="751" t="s">
        <v>259</v>
      </c>
      <c r="G3313" s="752" t="s">
        <v>1681</v>
      </c>
      <c r="H3313" s="753">
        <v>52917</v>
      </c>
      <c r="I3313" s="754">
        <v>19475.66</v>
      </c>
      <c r="J3313" s="754">
        <v>0</v>
      </c>
      <c r="K3313" s="754">
        <v>0</v>
      </c>
      <c r="L3313" s="754">
        <v>3888.66</v>
      </c>
      <c r="M3313" s="754">
        <f t="shared" si="127"/>
        <v>3888.66</v>
      </c>
      <c r="N3313" s="756">
        <v>19475.66</v>
      </c>
      <c r="O3313" s="720">
        <f t="shared" si="128"/>
        <v>0</v>
      </c>
    </row>
    <row r="3314" spans="1:15" x14ac:dyDescent="0.25">
      <c r="A3314" s="207" t="str">
        <f>VLOOKUP(RIGHT(E3314,3)+0,SchLocTable!$A$2:$B$47,2,FALSE)</f>
        <v>Batalla</v>
      </c>
      <c r="B3314" s="207" t="str">
        <f>VLOOKUP(VALUE(D3314),$D$3:F$106,3,FALSE)</f>
        <v>Security</v>
      </c>
      <c r="C3314" s="751" t="s">
        <v>246</v>
      </c>
      <c r="D3314" s="751" t="s">
        <v>942</v>
      </c>
      <c r="E3314" s="751" t="s">
        <v>960</v>
      </c>
      <c r="F3314" s="751" t="s">
        <v>333</v>
      </c>
      <c r="G3314" s="752" t="s">
        <v>1681</v>
      </c>
      <c r="H3314" s="753">
        <v>52920</v>
      </c>
      <c r="I3314" s="754">
        <v>2000</v>
      </c>
      <c r="J3314" s="754">
        <v>0</v>
      </c>
      <c r="K3314" s="754">
        <v>0</v>
      </c>
      <c r="L3314" s="754">
        <v>0</v>
      </c>
      <c r="M3314" s="754">
        <f t="shared" si="127"/>
        <v>0</v>
      </c>
      <c r="N3314" s="756">
        <v>2000</v>
      </c>
      <c r="O3314" s="720">
        <f t="shared" si="128"/>
        <v>0</v>
      </c>
    </row>
    <row r="3315" spans="1:15" x14ac:dyDescent="0.25">
      <c r="A3315" s="207" t="str">
        <f>VLOOKUP(RIGHT(E3315,3)+0,SchLocTable!$A$2:$B$47,2,FALSE)</f>
        <v>Info Tech HS</v>
      </c>
      <c r="B3315" s="207" t="str">
        <f>VLOOKUP(VALUE(D3315),$D$3:F$106,3,FALSE)</f>
        <v>Security</v>
      </c>
      <c r="C3315" s="751" t="s">
        <v>246</v>
      </c>
      <c r="D3315" s="751" t="s">
        <v>942</v>
      </c>
      <c r="E3315" s="751" t="s">
        <v>2135</v>
      </c>
      <c r="F3315" s="751" t="s">
        <v>248</v>
      </c>
      <c r="G3315" s="752">
        <v>1</v>
      </c>
      <c r="H3315" s="753">
        <v>51000</v>
      </c>
      <c r="I3315" s="754">
        <v>44096</v>
      </c>
      <c r="J3315" s="754">
        <v>0</v>
      </c>
      <c r="K3315" s="754">
        <v>0</v>
      </c>
      <c r="L3315" s="754">
        <v>13398.4</v>
      </c>
      <c r="M3315" s="754">
        <f t="shared" si="127"/>
        <v>13398.4</v>
      </c>
      <c r="N3315" s="756">
        <v>44096</v>
      </c>
      <c r="O3315" s="720">
        <f t="shared" si="128"/>
        <v>0</v>
      </c>
    </row>
    <row r="3316" spans="1:15" x14ac:dyDescent="0.25">
      <c r="A3316" s="207" t="str">
        <f>VLOOKUP(RIGHT(E3316,3)+0,SchLocTable!$A$2:$B$47,2,FALSE)</f>
        <v>Info Tech HS</v>
      </c>
      <c r="B3316" s="207" t="str">
        <f>VLOOKUP(VALUE(D3316),$D$3:F$106,3,FALSE)</f>
        <v>Security</v>
      </c>
      <c r="C3316" s="755" t="s">
        <v>246</v>
      </c>
      <c r="D3316" s="751" t="s">
        <v>942</v>
      </c>
      <c r="E3316" s="751" t="s">
        <v>2135</v>
      </c>
      <c r="F3316" s="751" t="s">
        <v>254</v>
      </c>
      <c r="G3316" s="752" t="s">
        <v>1681</v>
      </c>
      <c r="H3316" s="753">
        <v>52360</v>
      </c>
      <c r="I3316" s="754">
        <v>639.41</v>
      </c>
      <c r="J3316" s="754">
        <v>0</v>
      </c>
      <c r="K3316" s="754">
        <v>0</v>
      </c>
      <c r="L3316" s="754">
        <v>194.29</v>
      </c>
      <c r="M3316" s="754">
        <f t="shared" si="127"/>
        <v>194.29</v>
      </c>
      <c r="N3316" s="756">
        <v>639.41</v>
      </c>
      <c r="O3316" s="720">
        <f t="shared" si="128"/>
        <v>0</v>
      </c>
    </row>
    <row r="3317" spans="1:15" x14ac:dyDescent="0.25">
      <c r="A3317" s="207" t="str">
        <f>VLOOKUP(RIGHT(E3317,3)+0,SchLocTable!$A$2:$B$47,2,FALSE)</f>
        <v>Info Tech HS</v>
      </c>
      <c r="B3317" s="207" t="str">
        <f>VLOOKUP(VALUE(D3317),$D$3:F$106,3,FALSE)</f>
        <v>Security</v>
      </c>
      <c r="C3317" s="751" t="s">
        <v>246</v>
      </c>
      <c r="D3317" s="751" t="s">
        <v>942</v>
      </c>
      <c r="E3317" s="751" t="s">
        <v>2135</v>
      </c>
      <c r="F3317" s="751" t="s">
        <v>292</v>
      </c>
      <c r="G3317" s="752" t="s">
        <v>1681</v>
      </c>
      <c r="H3317" s="753">
        <v>52385</v>
      </c>
      <c r="I3317" s="754">
        <v>210.3</v>
      </c>
      <c r="J3317" s="754">
        <v>0</v>
      </c>
      <c r="K3317" s="754">
        <v>0</v>
      </c>
      <c r="L3317" s="754">
        <v>210.3</v>
      </c>
      <c r="M3317" s="754">
        <f t="shared" si="127"/>
        <v>210.3</v>
      </c>
      <c r="N3317" s="756">
        <v>210.3</v>
      </c>
      <c r="O3317" s="720">
        <f t="shared" si="128"/>
        <v>0</v>
      </c>
    </row>
    <row r="3318" spans="1:15" x14ac:dyDescent="0.25">
      <c r="A3318" s="207" t="str">
        <f>VLOOKUP(RIGHT(E3318,3)+0,SchLocTable!$A$2:$B$47,2,FALSE)</f>
        <v>Info Tech HS</v>
      </c>
      <c r="B3318" s="207" t="str">
        <f>VLOOKUP(VALUE(D3318),$D$3:F$106,3,FALSE)</f>
        <v>Security</v>
      </c>
      <c r="C3318" s="751" t="s">
        <v>246</v>
      </c>
      <c r="D3318" s="751" t="s">
        <v>942</v>
      </c>
      <c r="E3318" s="751" t="s">
        <v>2135</v>
      </c>
      <c r="F3318" s="751" t="s">
        <v>331</v>
      </c>
      <c r="G3318" s="752" t="s">
        <v>1681</v>
      </c>
      <c r="H3318" s="753">
        <v>52504</v>
      </c>
      <c r="I3318" s="754">
        <v>2060.2800000000002</v>
      </c>
      <c r="J3318" s="754">
        <v>0</v>
      </c>
      <c r="K3318" s="754">
        <v>0</v>
      </c>
      <c r="L3318" s="754">
        <v>2060.2800000000002</v>
      </c>
      <c r="M3318" s="754">
        <f t="shared" si="127"/>
        <v>2060.2800000000002</v>
      </c>
      <c r="N3318" s="756">
        <v>2060.2800000000002</v>
      </c>
      <c r="O3318" s="720">
        <f t="shared" si="128"/>
        <v>0</v>
      </c>
    </row>
    <row r="3319" spans="1:15" x14ac:dyDescent="0.25">
      <c r="A3319" s="207" t="str">
        <f>VLOOKUP(RIGHT(E3319,3)+0,SchLocTable!$A$2:$B$47,2,FALSE)</f>
        <v>Info Tech HS</v>
      </c>
      <c r="B3319" s="207" t="str">
        <f>VLOOKUP(VALUE(D3319),$D$3:F$106,3,FALSE)</f>
        <v>Security</v>
      </c>
      <c r="C3319" s="755" t="s">
        <v>246</v>
      </c>
      <c r="D3319" s="751" t="s">
        <v>942</v>
      </c>
      <c r="E3319" s="751" t="s">
        <v>2135</v>
      </c>
      <c r="F3319" s="751" t="s">
        <v>333</v>
      </c>
      <c r="G3319" s="752" t="s">
        <v>1681</v>
      </c>
      <c r="H3319" s="753">
        <v>52920</v>
      </c>
      <c r="I3319" s="754">
        <v>0</v>
      </c>
      <c r="J3319" s="754">
        <v>0</v>
      </c>
      <c r="K3319" s="754">
        <v>0</v>
      </c>
      <c r="L3319" s="754">
        <v>0</v>
      </c>
      <c r="M3319" s="754">
        <f t="shared" si="127"/>
        <v>0</v>
      </c>
      <c r="N3319" s="756">
        <v>0</v>
      </c>
      <c r="O3319" s="720">
        <f t="shared" si="128"/>
        <v>0</v>
      </c>
    </row>
    <row r="3320" spans="1:15" x14ac:dyDescent="0.25">
      <c r="A3320" s="207" t="str">
        <f>VLOOKUP(RIGHT(E3320,3)+0,SchLocTable!$A$2:$B$47,2,FALSE)</f>
        <v>BMA HS</v>
      </c>
      <c r="B3320" s="207" t="str">
        <f>VLOOKUP(VALUE(D3320),$D$3:F$106,3,FALSE)</f>
        <v>Security</v>
      </c>
      <c r="C3320" s="751" t="s">
        <v>246</v>
      </c>
      <c r="D3320" s="751" t="s">
        <v>942</v>
      </c>
      <c r="E3320" s="751" t="s">
        <v>961</v>
      </c>
      <c r="F3320" s="751" t="s">
        <v>248</v>
      </c>
      <c r="G3320" s="752">
        <v>2</v>
      </c>
      <c r="H3320" s="753">
        <v>51000</v>
      </c>
      <c r="I3320" s="754">
        <v>83892.800000000003</v>
      </c>
      <c r="J3320" s="754">
        <v>0</v>
      </c>
      <c r="K3320" s="754">
        <v>0</v>
      </c>
      <c r="L3320" s="754">
        <v>20919.28</v>
      </c>
      <c r="M3320" s="754">
        <f t="shared" si="127"/>
        <v>20919.28</v>
      </c>
      <c r="N3320" s="756">
        <v>83892.800000000003</v>
      </c>
      <c r="O3320" s="720">
        <f t="shared" si="128"/>
        <v>0</v>
      </c>
    </row>
    <row r="3321" spans="1:15" x14ac:dyDescent="0.25">
      <c r="A3321" s="207" t="str">
        <f>VLOOKUP(RIGHT(E3321,3)+0,SchLocTable!$A$2:$B$47,2,FALSE)</f>
        <v>BMA HS</v>
      </c>
      <c r="B3321" s="207" t="str">
        <f>VLOOKUP(VALUE(D3321),$D$3:F$106,3,FALSE)</f>
        <v>Security</v>
      </c>
      <c r="C3321" s="751" t="s">
        <v>246</v>
      </c>
      <c r="D3321" s="751" t="s">
        <v>942</v>
      </c>
      <c r="E3321" s="751" t="s">
        <v>961</v>
      </c>
      <c r="F3321" s="751" t="s">
        <v>378</v>
      </c>
      <c r="G3321" s="752" t="s">
        <v>1681</v>
      </c>
      <c r="H3321" s="753">
        <v>51108</v>
      </c>
      <c r="I3321" s="754">
        <v>5188.49</v>
      </c>
      <c r="J3321" s="754">
        <v>0</v>
      </c>
      <c r="K3321" s="754">
        <v>0</v>
      </c>
      <c r="L3321" s="754">
        <v>425.29</v>
      </c>
      <c r="M3321" s="754">
        <f t="shared" si="127"/>
        <v>425.29</v>
      </c>
      <c r="N3321" s="756">
        <v>5188.49</v>
      </c>
      <c r="O3321" s="720">
        <f t="shared" si="128"/>
        <v>0</v>
      </c>
    </row>
    <row r="3322" spans="1:15" x14ac:dyDescent="0.25">
      <c r="A3322" s="207" t="str">
        <f>VLOOKUP(RIGHT(E3322,3)+0,SchLocTable!$A$2:$B$47,2,FALSE)</f>
        <v>BMA HS</v>
      </c>
      <c r="B3322" s="207" t="str">
        <f>VLOOKUP(VALUE(D3322),$D$3:F$106,3,FALSE)</f>
        <v>Security</v>
      </c>
      <c r="C3322" s="751" t="s">
        <v>246</v>
      </c>
      <c r="D3322" s="751" t="s">
        <v>942</v>
      </c>
      <c r="E3322" s="751" t="s">
        <v>961</v>
      </c>
      <c r="F3322" s="751" t="s">
        <v>380</v>
      </c>
      <c r="G3322" s="752" t="s">
        <v>1681</v>
      </c>
      <c r="H3322" s="753">
        <v>51122</v>
      </c>
      <c r="I3322" s="754">
        <v>3327.19</v>
      </c>
      <c r="J3322" s="754">
        <v>0</v>
      </c>
      <c r="K3322" s="754">
        <v>0</v>
      </c>
      <c r="L3322" s="754">
        <v>350.1</v>
      </c>
      <c r="M3322" s="754">
        <f t="shared" si="127"/>
        <v>350.1</v>
      </c>
      <c r="N3322" s="756">
        <v>3327.19</v>
      </c>
      <c r="O3322" s="720">
        <f t="shared" si="128"/>
        <v>0</v>
      </c>
    </row>
    <row r="3323" spans="1:15" x14ac:dyDescent="0.25">
      <c r="A3323" s="207" t="str">
        <f>VLOOKUP(RIGHT(E3323,3)+0,SchLocTable!$A$2:$B$47,2,FALSE)</f>
        <v>BMA HS</v>
      </c>
      <c r="B3323" s="207" t="str">
        <f>VLOOKUP(VALUE(D3323),$D$3:F$106,3,FALSE)</f>
        <v>Security</v>
      </c>
      <c r="C3323" s="751" t="s">
        <v>246</v>
      </c>
      <c r="D3323" s="751" t="s">
        <v>942</v>
      </c>
      <c r="E3323" s="751" t="s">
        <v>961</v>
      </c>
      <c r="F3323" s="751" t="s">
        <v>257</v>
      </c>
      <c r="G3323" s="752" t="s">
        <v>1681</v>
      </c>
      <c r="H3323" s="753">
        <v>51140</v>
      </c>
      <c r="I3323" s="754">
        <v>1125</v>
      </c>
      <c r="J3323" s="754">
        <v>0</v>
      </c>
      <c r="K3323" s="754">
        <v>0</v>
      </c>
      <c r="L3323" s="754">
        <v>0</v>
      </c>
      <c r="M3323" s="754">
        <f t="shared" si="127"/>
        <v>0</v>
      </c>
      <c r="N3323" s="756">
        <v>1125</v>
      </c>
      <c r="O3323" s="720">
        <f t="shared" si="128"/>
        <v>0</v>
      </c>
    </row>
    <row r="3324" spans="1:15" x14ac:dyDescent="0.25">
      <c r="A3324" s="207" t="str">
        <f>VLOOKUP(RIGHT(E3324,3)+0,SchLocTable!$A$2:$B$47,2,FALSE)</f>
        <v>BMA HS</v>
      </c>
      <c r="B3324" s="207" t="str">
        <f>VLOOKUP(VALUE(D3324),$D$3:F$106,3,FALSE)</f>
        <v>Security</v>
      </c>
      <c r="C3324" s="751" t="s">
        <v>246</v>
      </c>
      <c r="D3324" s="751" t="s">
        <v>942</v>
      </c>
      <c r="E3324" s="751" t="s">
        <v>961</v>
      </c>
      <c r="F3324" s="751" t="s">
        <v>252</v>
      </c>
      <c r="G3324" s="752" t="s">
        <v>1681</v>
      </c>
      <c r="H3324" s="753">
        <v>51154</v>
      </c>
      <c r="I3324" s="754">
        <v>180.97</v>
      </c>
      <c r="J3324" s="754">
        <v>0</v>
      </c>
      <c r="K3324" s="754">
        <v>0</v>
      </c>
      <c r="L3324" s="754">
        <v>180.97</v>
      </c>
      <c r="M3324" s="754">
        <f t="shared" si="127"/>
        <v>180.97</v>
      </c>
      <c r="N3324" s="756">
        <v>180.97</v>
      </c>
      <c r="O3324" s="720">
        <f t="shared" si="128"/>
        <v>0</v>
      </c>
    </row>
    <row r="3325" spans="1:15" x14ac:dyDescent="0.25">
      <c r="A3325" s="207" t="str">
        <f>VLOOKUP(RIGHT(E3325,3)+0,SchLocTable!$A$2:$B$47,2,FALSE)</f>
        <v>BMA HS</v>
      </c>
      <c r="B3325" s="207" t="str">
        <f>VLOOKUP(VALUE(D3325),$D$3:F$106,3,FALSE)</f>
        <v>Security</v>
      </c>
      <c r="C3325" s="751" t="s">
        <v>246</v>
      </c>
      <c r="D3325" s="751" t="s">
        <v>942</v>
      </c>
      <c r="E3325" s="751" t="s">
        <v>961</v>
      </c>
      <c r="F3325" s="751" t="s">
        <v>254</v>
      </c>
      <c r="G3325" s="752" t="s">
        <v>1681</v>
      </c>
      <c r="H3325" s="753">
        <v>52360</v>
      </c>
      <c r="I3325" s="754">
        <v>1342.54</v>
      </c>
      <c r="J3325" s="754">
        <v>0</v>
      </c>
      <c r="K3325" s="754">
        <v>0</v>
      </c>
      <c r="L3325" s="754">
        <v>317.19</v>
      </c>
      <c r="M3325" s="754">
        <f t="shared" si="127"/>
        <v>317.19</v>
      </c>
      <c r="N3325" s="756">
        <v>1342.54</v>
      </c>
      <c r="O3325" s="720">
        <f t="shared" si="128"/>
        <v>0</v>
      </c>
    </row>
    <row r="3326" spans="1:15" x14ac:dyDescent="0.25">
      <c r="A3326" s="207" t="str">
        <f>VLOOKUP(RIGHT(E3326,3)+0,SchLocTable!$A$2:$B$47,2,FALSE)</f>
        <v>BMA HS</v>
      </c>
      <c r="B3326" s="207" t="str">
        <f>VLOOKUP(VALUE(D3326),$D$3:F$106,3,FALSE)</f>
        <v>Security</v>
      </c>
      <c r="C3326" s="751" t="s">
        <v>246</v>
      </c>
      <c r="D3326" s="751" t="s">
        <v>942</v>
      </c>
      <c r="E3326" s="751" t="s">
        <v>961</v>
      </c>
      <c r="F3326" s="751" t="s">
        <v>292</v>
      </c>
      <c r="G3326" s="752" t="s">
        <v>1681</v>
      </c>
      <c r="H3326" s="753">
        <v>52385</v>
      </c>
      <c r="I3326" s="754">
        <v>0</v>
      </c>
      <c r="J3326" s="754">
        <v>0</v>
      </c>
      <c r="K3326" s="754">
        <v>0</v>
      </c>
      <c r="L3326" s="754">
        <v>0</v>
      </c>
      <c r="M3326" s="754">
        <f t="shared" si="127"/>
        <v>0</v>
      </c>
      <c r="N3326" s="756">
        <v>0</v>
      </c>
      <c r="O3326" s="720">
        <f t="shared" si="128"/>
        <v>0</v>
      </c>
    </row>
    <row r="3327" spans="1:15" x14ac:dyDescent="0.25">
      <c r="A3327" s="207" t="str">
        <f>VLOOKUP(RIGHT(E3327,3)+0,SchLocTable!$A$2:$B$47,2,FALSE)</f>
        <v>BMA HS</v>
      </c>
      <c r="B3327" s="207" t="str">
        <f>VLOOKUP(VALUE(D3327),$D$3:F$106,3,FALSE)</f>
        <v>Security</v>
      </c>
      <c r="C3327" s="751" t="s">
        <v>246</v>
      </c>
      <c r="D3327" s="751" t="s">
        <v>942</v>
      </c>
      <c r="E3327" s="751" t="s">
        <v>961</v>
      </c>
      <c r="F3327" s="751" t="s">
        <v>331</v>
      </c>
      <c r="G3327" s="752" t="s">
        <v>1681</v>
      </c>
      <c r="H3327" s="753">
        <v>52504</v>
      </c>
      <c r="I3327" s="754">
        <v>19026.95</v>
      </c>
      <c r="J3327" s="754">
        <v>0</v>
      </c>
      <c r="K3327" s="754">
        <v>0</v>
      </c>
      <c r="L3327" s="754">
        <v>4466.9799999999996</v>
      </c>
      <c r="M3327" s="754">
        <f t="shared" ref="M3327:M3390" si="129">SUM(J3327:L3327)</f>
        <v>4466.9799999999996</v>
      </c>
      <c r="N3327" s="756">
        <v>19026.95</v>
      </c>
      <c r="O3327" s="720">
        <f t="shared" ref="O3327:O3390" si="130">I3327-N3327</f>
        <v>0</v>
      </c>
    </row>
    <row r="3328" spans="1:15" x14ac:dyDescent="0.25">
      <c r="A3328" s="207" t="str">
        <f>VLOOKUP(RIGHT(E3328,3)+0,SchLocTable!$A$2:$B$47,2,FALSE)</f>
        <v>BMA HS</v>
      </c>
      <c r="B3328" s="207" t="str">
        <f>VLOOKUP(VALUE(D3328),$D$3:F$106,3,FALSE)</f>
        <v>Security</v>
      </c>
      <c r="C3328" s="751" t="s">
        <v>246</v>
      </c>
      <c r="D3328" s="751" t="s">
        <v>942</v>
      </c>
      <c r="E3328" s="751" t="s">
        <v>961</v>
      </c>
      <c r="F3328" s="751" t="s">
        <v>259</v>
      </c>
      <c r="G3328" s="752" t="s">
        <v>1681</v>
      </c>
      <c r="H3328" s="753">
        <v>52917</v>
      </c>
      <c r="I3328" s="754">
        <v>420.73</v>
      </c>
      <c r="J3328" s="754">
        <v>0</v>
      </c>
      <c r="K3328" s="754">
        <v>0</v>
      </c>
      <c r="L3328" s="754">
        <v>128.96</v>
      </c>
      <c r="M3328" s="754">
        <f t="shared" si="129"/>
        <v>128.96</v>
      </c>
      <c r="N3328" s="756">
        <v>420.73</v>
      </c>
      <c r="O3328" s="720">
        <f t="shared" si="130"/>
        <v>0</v>
      </c>
    </row>
    <row r="3329" spans="1:22" x14ac:dyDescent="0.25">
      <c r="A3329" s="207" t="str">
        <f>VLOOKUP(RIGHT(E3329,3)+0,SchLocTable!$A$2:$B$47,2,FALSE)</f>
        <v>BMA HS</v>
      </c>
      <c r="B3329" s="207" t="str">
        <f>VLOOKUP(VALUE(D3329),$D$3:F$106,3,FALSE)</f>
        <v>Security</v>
      </c>
      <c r="C3329" s="751" t="s">
        <v>246</v>
      </c>
      <c r="D3329" s="751" t="s">
        <v>942</v>
      </c>
      <c r="E3329" s="751" t="s">
        <v>961</v>
      </c>
      <c r="F3329" s="751" t="s">
        <v>333</v>
      </c>
      <c r="G3329" s="752" t="s">
        <v>1681</v>
      </c>
      <c r="H3329" s="753">
        <v>52920</v>
      </c>
      <c r="I3329" s="754">
        <v>4000</v>
      </c>
      <c r="J3329" s="754">
        <v>0</v>
      </c>
      <c r="K3329" s="754">
        <v>0</v>
      </c>
      <c r="L3329" s="754">
        <v>0</v>
      </c>
      <c r="M3329" s="754">
        <f t="shared" si="129"/>
        <v>0</v>
      </c>
      <c r="N3329" s="756">
        <v>4000</v>
      </c>
      <c r="O3329" s="720">
        <f t="shared" si="130"/>
        <v>0</v>
      </c>
    </row>
    <row r="3330" spans="1:22" x14ac:dyDescent="0.25">
      <c r="A3330" s="207" t="str">
        <f>VLOOKUP(RIGHT(E3330,3)+0,SchLocTable!$A$2:$B$47,2,FALSE)</f>
        <v>Park City Magnet</v>
      </c>
      <c r="B3330" s="207" t="str">
        <f>VLOOKUP(VALUE(D3330),$D$3:F$106,3,FALSE)</f>
        <v>Security</v>
      </c>
      <c r="C3330" s="751" t="s">
        <v>246</v>
      </c>
      <c r="D3330" s="751" t="s">
        <v>942</v>
      </c>
      <c r="E3330" s="751" t="s">
        <v>962</v>
      </c>
      <c r="F3330" s="751" t="s">
        <v>248</v>
      </c>
      <c r="G3330" s="752" t="s">
        <v>1681</v>
      </c>
      <c r="H3330" s="753">
        <v>51000</v>
      </c>
      <c r="I3330" s="754">
        <v>0</v>
      </c>
      <c r="J3330" s="754">
        <v>0</v>
      </c>
      <c r="K3330" s="754">
        <v>0</v>
      </c>
      <c r="L3330" s="754">
        <v>0</v>
      </c>
      <c r="M3330" s="754">
        <f t="shared" si="129"/>
        <v>0</v>
      </c>
      <c r="N3330" s="756">
        <v>0</v>
      </c>
      <c r="O3330" s="720">
        <f t="shared" si="130"/>
        <v>0</v>
      </c>
      <c r="V3330" s="641"/>
    </row>
    <row r="3331" spans="1:22" x14ac:dyDescent="0.25">
      <c r="A3331" s="207" t="str">
        <f>VLOOKUP(RIGHT(E3331,3)+0,SchLocTable!$A$2:$B$47,2,FALSE)</f>
        <v>Park City Magnet</v>
      </c>
      <c r="B3331" s="207" t="str">
        <f>VLOOKUP(VALUE(D3331),$D$3:F$106,3,FALSE)</f>
        <v>Security</v>
      </c>
      <c r="C3331" s="751" t="s">
        <v>246</v>
      </c>
      <c r="D3331" s="751" t="s">
        <v>942</v>
      </c>
      <c r="E3331" s="751" t="s">
        <v>962</v>
      </c>
      <c r="F3331" s="751" t="s">
        <v>257</v>
      </c>
      <c r="G3331" s="752" t="s">
        <v>1681</v>
      </c>
      <c r="H3331" s="753">
        <v>51140</v>
      </c>
      <c r="I3331" s="754">
        <v>0</v>
      </c>
      <c r="J3331" s="754">
        <v>0</v>
      </c>
      <c r="K3331" s="754">
        <v>0</v>
      </c>
      <c r="L3331" s="754">
        <v>0</v>
      </c>
      <c r="M3331" s="754">
        <f t="shared" si="129"/>
        <v>0</v>
      </c>
      <c r="N3331" s="756">
        <v>0</v>
      </c>
      <c r="O3331" s="720">
        <f t="shared" si="130"/>
        <v>0</v>
      </c>
      <c r="V3331" s="641"/>
    </row>
    <row r="3332" spans="1:22" x14ac:dyDescent="0.25">
      <c r="A3332" s="207" t="str">
        <f>VLOOKUP(RIGHT(E3332,3)+0,SchLocTable!$A$2:$B$47,2,FALSE)</f>
        <v>Park City Magnet</v>
      </c>
      <c r="B3332" s="207" t="str">
        <f>VLOOKUP(VALUE(D3332),$D$3:F$106,3,FALSE)</f>
        <v>Security</v>
      </c>
      <c r="C3332" s="751" t="s">
        <v>246</v>
      </c>
      <c r="D3332" s="751" t="s">
        <v>942</v>
      </c>
      <c r="E3332" s="751" t="s">
        <v>962</v>
      </c>
      <c r="F3332" s="751" t="s">
        <v>254</v>
      </c>
      <c r="G3332" s="752" t="s">
        <v>1681</v>
      </c>
      <c r="H3332" s="753">
        <v>52360</v>
      </c>
      <c r="I3332" s="754">
        <v>0</v>
      </c>
      <c r="J3332" s="754">
        <v>0</v>
      </c>
      <c r="K3332" s="754">
        <v>0</v>
      </c>
      <c r="L3332" s="754">
        <v>0</v>
      </c>
      <c r="M3332" s="754">
        <f t="shared" si="129"/>
        <v>0</v>
      </c>
      <c r="N3332" s="756">
        <v>0</v>
      </c>
      <c r="O3332" s="720">
        <f t="shared" si="130"/>
        <v>0</v>
      </c>
      <c r="V3332" s="641"/>
    </row>
    <row r="3333" spans="1:22" x14ac:dyDescent="0.25">
      <c r="A3333" s="207" t="str">
        <f>VLOOKUP(RIGHT(E3333,3)+0,SchLocTable!$A$2:$B$47,2,FALSE)</f>
        <v>Park City Magnet</v>
      </c>
      <c r="B3333" s="207" t="str">
        <f>VLOOKUP(VALUE(D3333),$D$3:F$106,3,FALSE)</f>
        <v>Security</v>
      </c>
      <c r="C3333" s="751" t="s">
        <v>246</v>
      </c>
      <c r="D3333" s="751" t="s">
        <v>942</v>
      </c>
      <c r="E3333" s="751" t="s">
        <v>962</v>
      </c>
      <c r="F3333" s="751" t="s">
        <v>331</v>
      </c>
      <c r="G3333" s="752" t="s">
        <v>1681</v>
      </c>
      <c r="H3333" s="753">
        <v>52504</v>
      </c>
      <c r="I3333" s="754">
        <v>0</v>
      </c>
      <c r="J3333" s="754">
        <v>0</v>
      </c>
      <c r="K3333" s="754">
        <v>0</v>
      </c>
      <c r="L3333" s="754">
        <v>0</v>
      </c>
      <c r="M3333" s="754">
        <f t="shared" si="129"/>
        <v>0</v>
      </c>
      <c r="N3333" s="756">
        <v>0</v>
      </c>
      <c r="O3333" s="720">
        <f t="shared" si="130"/>
        <v>0</v>
      </c>
      <c r="V3333" s="641"/>
    </row>
    <row r="3334" spans="1:22" x14ac:dyDescent="0.25">
      <c r="A3334" s="207" t="str">
        <f>VLOOKUP(RIGHT(E3334,3)+0,SchLocTable!$A$2:$B$47,2,FALSE)</f>
        <v>Park City Magnet</v>
      </c>
      <c r="B3334" s="207" t="str">
        <f>VLOOKUP(VALUE(D3334),$D$3:F$106,3,FALSE)</f>
        <v>Security</v>
      </c>
      <c r="C3334" s="751" t="s">
        <v>246</v>
      </c>
      <c r="D3334" s="751" t="s">
        <v>942</v>
      </c>
      <c r="E3334" s="751" t="s">
        <v>962</v>
      </c>
      <c r="F3334" s="751" t="s">
        <v>259</v>
      </c>
      <c r="G3334" s="752" t="s">
        <v>1681</v>
      </c>
      <c r="H3334" s="753">
        <v>52917</v>
      </c>
      <c r="I3334" s="754">
        <v>0</v>
      </c>
      <c r="J3334" s="754">
        <v>0</v>
      </c>
      <c r="K3334" s="754">
        <v>0</v>
      </c>
      <c r="L3334" s="754">
        <v>0</v>
      </c>
      <c r="M3334" s="754">
        <f t="shared" si="129"/>
        <v>0</v>
      </c>
      <c r="N3334" s="756">
        <v>0</v>
      </c>
      <c r="O3334" s="720">
        <f t="shared" si="130"/>
        <v>0</v>
      </c>
      <c r="V3334" s="641"/>
    </row>
    <row r="3335" spans="1:22" x14ac:dyDescent="0.25">
      <c r="A3335" s="207" t="str">
        <f>VLOOKUP(RIGHT(E3335,3)+0,SchLocTable!$A$2:$B$47,2,FALSE)</f>
        <v>Madison</v>
      </c>
      <c r="B3335" s="207" t="str">
        <f>VLOOKUP(VALUE(D3335),$D$3:F$106,3,FALSE)</f>
        <v>Security</v>
      </c>
      <c r="C3335" s="751" t="s">
        <v>246</v>
      </c>
      <c r="D3335" s="751" t="s">
        <v>942</v>
      </c>
      <c r="E3335" s="751" t="s">
        <v>963</v>
      </c>
      <c r="F3335" s="751" t="s">
        <v>248</v>
      </c>
      <c r="G3335" s="752">
        <v>1</v>
      </c>
      <c r="H3335" s="753">
        <v>51000</v>
      </c>
      <c r="I3335" s="754">
        <v>45258.400000000001</v>
      </c>
      <c r="J3335" s="754">
        <v>0</v>
      </c>
      <c r="K3335" s="754">
        <v>0</v>
      </c>
      <c r="L3335" s="754">
        <v>13503.76</v>
      </c>
      <c r="M3335" s="754">
        <f t="shared" si="129"/>
        <v>13503.76</v>
      </c>
      <c r="N3335" s="756">
        <v>45258.400000000001</v>
      </c>
      <c r="O3335" s="720">
        <f t="shared" si="130"/>
        <v>0</v>
      </c>
      <c r="V3335" s="641"/>
    </row>
    <row r="3336" spans="1:22" x14ac:dyDescent="0.25">
      <c r="A3336" s="207" t="str">
        <f>VLOOKUP(RIGHT(E3336,3)+0,SchLocTable!$A$2:$B$47,2,FALSE)</f>
        <v>Madison</v>
      </c>
      <c r="B3336" s="207" t="str">
        <f>VLOOKUP(VALUE(D3336),$D$3:F$106,3,FALSE)</f>
        <v>Security</v>
      </c>
      <c r="C3336" s="751" t="s">
        <v>246</v>
      </c>
      <c r="D3336" s="751" t="s">
        <v>942</v>
      </c>
      <c r="E3336" s="751" t="s">
        <v>963</v>
      </c>
      <c r="F3336" s="751" t="s">
        <v>380</v>
      </c>
      <c r="G3336" s="752" t="s">
        <v>1681</v>
      </c>
      <c r="H3336" s="753">
        <v>51122</v>
      </c>
      <c r="I3336" s="754">
        <v>138.47999999999999</v>
      </c>
      <c r="J3336" s="754">
        <v>0</v>
      </c>
      <c r="K3336" s="754">
        <v>0</v>
      </c>
      <c r="L3336" s="754">
        <v>138.47999999999999</v>
      </c>
      <c r="M3336" s="754">
        <f t="shared" si="129"/>
        <v>138.47999999999999</v>
      </c>
      <c r="N3336" s="756">
        <v>138.47999999999999</v>
      </c>
      <c r="O3336" s="720">
        <f t="shared" si="130"/>
        <v>0</v>
      </c>
      <c r="V3336" s="641"/>
    </row>
    <row r="3337" spans="1:22" x14ac:dyDescent="0.25">
      <c r="A3337" s="207" t="str">
        <f>VLOOKUP(RIGHT(E3337,3)+0,SchLocTable!$A$2:$B$47,2,FALSE)</f>
        <v>Madison</v>
      </c>
      <c r="B3337" s="207" t="str">
        <f>VLOOKUP(VALUE(D3337),$D$3:F$106,3,FALSE)</f>
        <v>Security</v>
      </c>
      <c r="C3337" s="751" t="s">
        <v>246</v>
      </c>
      <c r="D3337" s="751" t="s">
        <v>942</v>
      </c>
      <c r="E3337" s="751" t="s">
        <v>963</v>
      </c>
      <c r="F3337" s="751" t="s">
        <v>254</v>
      </c>
      <c r="G3337" s="752" t="s">
        <v>1681</v>
      </c>
      <c r="H3337" s="753">
        <v>52360</v>
      </c>
      <c r="I3337" s="754">
        <v>658.25</v>
      </c>
      <c r="J3337" s="754">
        <v>0</v>
      </c>
      <c r="K3337" s="754">
        <v>0</v>
      </c>
      <c r="L3337" s="754">
        <v>197.81</v>
      </c>
      <c r="M3337" s="754">
        <f t="shared" si="129"/>
        <v>197.81</v>
      </c>
      <c r="N3337" s="756">
        <v>658.25</v>
      </c>
      <c r="O3337" s="720">
        <f t="shared" si="130"/>
        <v>0</v>
      </c>
      <c r="V3337" s="641"/>
    </row>
    <row r="3338" spans="1:22" x14ac:dyDescent="0.25">
      <c r="A3338" s="207" t="str">
        <f>VLOOKUP(RIGHT(E3338,3)+0,SchLocTable!$A$2:$B$47,2,FALSE)</f>
        <v>Madison</v>
      </c>
      <c r="B3338" s="207" t="str">
        <f>VLOOKUP(VALUE(D3338),$D$3:F$106,3,FALSE)</f>
        <v>Security</v>
      </c>
      <c r="C3338" s="751" t="s">
        <v>246</v>
      </c>
      <c r="D3338" s="751" t="s">
        <v>942</v>
      </c>
      <c r="E3338" s="751" t="s">
        <v>963</v>
      </c>
      <c r="F3338" s="751" t="s">
        <v>331</v>
      </c>
      <c r="G3338" s="752" t="s">
        <v>1681</v>
      </c>
      <c r="H3338" s="753">
        <v>52504</v>
      </c>
      <c r="I3338" s="754">
        <v>9347.2800000000007</v>
      </c>
      <c r="J3338" s="754">
        <v>0</v>
      </c>
      <c r="K3338" s="754">
        <v>0</v>
      </c>
      <c r="L3338" s="754">
        <v>2809</v>
      </c>
      <c r="M3338" s="754">
        <f t="shared" si="129"/>
        <v>2809</v>
      </c>
      <c r="N3338" s="756">
        <v>9347.2800000000007</v>
      </c>
      <c r="O3338" s="720">
        <f t="shared" si="130"/>
        <v>0</v>
      </c>
      <c r="V3338" s="641"/>
    </row>
    <row r="3339" spans="1:22" x14ac:dyDescent="0.25">
      <c r="A3339" s="207" t="str">
        <f>VLOOKUP(RIGHT(E3339,3)+0,SchLocTable!$A$2:$B$47,2,FALSE)</f>
        <v>Madison</v>
      </c>
      <c r="B3339" s="207" t="str">
        <f>VLOOKUP(VALUE(D3339),$D$3:F$106,3,FALSE)</f>
        <v>Security</v>
      </c>
      <c r="C3339" s="751" t="s">
        <v>246</v>
      </c>
      <c r="D3339" s="751" t="s">
        <v>942</v>
      </c>
      <c r="E3339" s="751" t="s">
        <v>963</v>
      </c>
      <c r="F3339" s="751" t="s">
        <v>259</v>
      </c>
      <c r="G3339" s="752" t="s">
        <v>1681</v>
      </c>
      <c r="H3339" s="753">
        <v>52917</v>
      </c>
      <c r="I3339" s="754">
        <v>895.75</v>
      </c>
      <c r="J3339" s="754">
        <v>0</v>
      </c>
      <c r="K3339" s="754">
        <v>0</v>
      </c>
      <c r="L3339" s="754">
        <v>274.56</v>
      </c>
      <c r="M3339" s="754">
        <f t="shared" si="129"/>
        <v>274.56</v>
      </c>
      <c r="N3339" s="756">
        <v>895.75</v>
      </c>
      <c r="O3339" s="720">
        <f t="shared" si="130"/>
        <v>0</v>
      </c>
      <c r="V3339" s="641"/>
    </row>
    <row r="3340" spans="1:22" x14ac:dyDescent="0.25">
      <c r="A3340" s="207" t="str">
        <f>VLOOKUP(RIGHT(E3340,3)+0,SchLocTable!$A$2:$B$47,2,FALSE)</f>
        <v>Madison</v>
      </c>
      <c r="B3340" s="207" t="str">
        <f>VLOOKUP(VALUE(D3340),$D$3:F$106,3,FALSE)</f>
        <v>Security</v>
      </c>
      <c r="C3340" s="751" t="s">
        <v>246</v>
      </c>
      <c r="D3340" s="751" t="s">
        <v>942</v>
      </c>
      <c r="E3340" s="751" t="s">
        <v>963</v>
      </c>
      <c r="F3340" s="751" t="s">
        <v>333</v>
      </c>
      <c r="G3340" s="752" t="s">
        <v>1681</v>
      </c>
      <c r="H3340" s="753">
        <v>52920</v>
      </c>
      <c r="I3340" s="754">
        <v>2000</v>
      </c>
      <c r="J3340" s="754">
        <v>0</v>
      </c>
      <c r="K3340" s="754">
        <v>0</v>
      </c>
      <c r="L3340" s="754">
        <v>0</v>
      </c>
      <c r="M3340" s="754">
        <f t="shared" si="129"/>
        <v>0</v>
      </c>
      <c r="N3340" s="756">
        <v>2000</v>
      </c>
      <c r="O3340" s="720">
        <f t="shared" si="130"/>
        <v>0</v>
      </c>
      <c r="V3340" s="641"/>
    </row>
    <row r="3341" spans="1:22" x14ac:dyDescent="0.25">
      <c r="A3341" s="207" t="str">
        <f>VLOOKUP(RIGHT(E3341,3)+0,SchLocTable!$A$2:$B$47,2,FALSE)</f>
        <v>Classical Studies Academy</v>
      </c>
      <c r="B3341" s="207" t="str">
        <f>VLOOKUP(VALUE(D3341),$D$3:F$106,3,FALSE)</f>
        <v>Security</v>
      </c>
      <c r="C3341" s="755" t="s">
        <v>246</v>
      </c>
      <c r="D3341" s="751" t="s">
        <v>942</v>
      </c>
      <c r="E3341" s="751" t="s">
        <v>964</v>
      </c>
      <c r="F3341" s="751" t="s">
        <v>248</v>
      </c>
      <c r="G3341" s="752">
        <v>1</v>
      </c>
      <c r="H3341" s="753">
        <v>51000</v>
      </c>
      <c r="I3341" s="754">
        <v>45789.84</v>
      </c>
      <c r="J3341" s="754">
        <v>0</v>
      </c>
      <c r="K3341" s="754">
        <v>0</v>
      </c>
      <c r="L3341" s="754">
        <v>14035.2</v>
      </c>
      <c r="M3341" s="754">
        <f t="shared" si="129"/>
        <v>14035.2</v>
      </c>
      <c r="N3341" s="756">
        <v>45789.84</v>
      </c>
      <c r="O3341" s="720">
        <f t="shared" si="130"/>
        <v>0</v>
      </c>
      <c r="V3341" s="641"/>
    </row>
    <row r="3342" spans="1:22" x14ac:dyDescent="0.25">
      <c r="A3342" s="207" t="str">
        <f>VLOOKUP(RIGHT(E3342,3)+0,SchLocTable!$A$2:$B$47,2,FALSE)</f>
        <v>Classical Studies Academy</v>
      </c>
      <c r="B3342" s="207" t="str">
        <f>VLOOKUP(VALUE(D3342),$D$3:F$106,3,FALSE)</f>
        <v>Security</v>
      </c>
      <c r="C3342" s="751" t="s">
        <v>246</v>
      </c>
      <c r="D3342" s="751" t="s">
        <v>942</v>
      </c>
      <c r="E3342" s="751" t="s">
        <v>964</v>
      </c>
      <c r="F3342" s="751" t="s">
        <v>378</v>
      </c>
      <c r="G3342" s="752" t="s">
        <v>1681</v>
      </c>
      <c r="H3342" s="753">
        <v>51108</v>
      </c>
      <c r="I3342" s="754">
        <v>0</v>
      </c>
      <c r="J3342" s="754">
        <v>0</v>
      </c>
      <c r="K3342" s="754">
        <v>0</v>
      </c>
      <c r="L3342" s="754">
        <v>0</v>
      </c>
      <c r="M3342" s="754">
        <f t="shared" si="129"/>
        <v>0</v>
      </c>
      <c r="N3342" s="756">
        <v>0</v>
      </c>
      <c r="O3342" s="720">
        <f t="shared" si="130"/>
        <v>0</v>
      </c>
      <c r="V3342" s="641"/>
    </row>
    <row r="3343" spans="1:22" x14ac:dyDescent="0.25">
      <c r="A3343" s="207" t="str">
        <f>VLOOKUP(RIGHT(E3343,3)+0,SchLocTable!$A$2:$B$47,2,FALSE)</f>
        <v>Classical Studies Academy</v>
      </c>
      <c r="B3343" s="207" t="str">
        <f>VLOOKUP(VALUE(D3343),$D$3:F$106,3,FALSE)</f>
        <v>Security</v>
      </c>
      <c r="C3343" s="751" t="s">
        <v>246</v>
      </c>
      <c r="D3343" s="751" t="s">
        <v>942</v>
      </c>
      <c r="E3343" s="751" t="s">
        <v>964</v>
      </c>
      <c r="F3343" s="751" t="s">
        <v>380</v>
      </c>
      <c r="G3343" s="752" t="s">
        <v>1681</v>
      </c>
      <c r="H3343" s="753">
        <v>51122</v>
      </c>
      <c r="I3343" s="754">
        <v>0</v>
      </c>
      <c r="J3343" s="754">
        <v>0</v>
      </c>
      <c r="K3343" s="754">
        <v>0</v>
      </c>
      <c r="L3343" s="754">
        <v>0</v>
      </c>
      <c r="M3343" s="754">
        <f t="shared" si="129"/>
        <v>0</v>
      </c>
      <c r="N3343" s="756">
        <v>0</v>
      </c>
      <c r="O3343" s="720">
        <f t="shared" si="130"/>
        <v>0</v>
      </c>
      <c r="V3343" s="641"/>
    </row>
    <row r="3344" spans="1:22" x14ac:dyDescent="0.25">
      <c r="A3344" s="207" t="str">
        <f>VLOOKUP(RIGHT(E3344,3)+0,SchLocTable!$A$2:$B$47,2,FALSE)</f>
        <v>Classical Studies Academy</v>
      </c>
      <c r="B3344" s="207" t="str">
        <f>VLOOKUP(VALUE(D3344),$D$3:F$106,3,FALSE)</f>
        <v>Security</v>
      </c>
      <c r="C3344" s="751" t="s">
        <v>246</v>
      </c>
      <c r="D3344" s="751" t="s">
        <v>942</v>
      </c>
      <c r="E3344" s="751" t="s">
        <v>964</v>
      </c>
      <c r="F3344" s="751" t="s">
        <v>257</v>
      </c>
      <c r="G3344" s="752" t="s">
        <v>1681</v>
      </c>
      <c r="H3344" s="753">
        <v>51140</v>
      </c>
      <c r="I3344" s="754">
        <v>3000</v>
      </c>
      <c r="J3344" s="754">
        <v>0</v>
      </c>
      <c r="K3344" s="754">
        <v>0</v>
      </c>
      <c r="L3344" s="754">
        <v>2568.75</v>
      </c>
      <c r="M3344" s="754">
        <f t="shared" si="129"/>
        <v>2568.75</v>
      </c>
      <c r="N3344" s="756">
        <v>3000</v>
      </c>
      <c r="O3344" s="720">
        <f t="shared" si="130"/>
        <v>0</v>
      </c>
      <c r="V3344" s="641"/>
    </row>
    <row r="3345" spans="1:22" x14ac:dyDescent="0.25">
      <c r="A3345" s="207" t="str">
        <f>VLOOKUP(RIGHT(E3345,3)+0,SchLocTable!$A$2:$B$47,2,FALSE)</f>
        <v>Classical Studies Academy</v>
      </c>
      <c r="B3345" s="207" t="str">
        <f>VLOOKUP(VALUE(D3345),$D$3:F$106,3,FALSE)</f>
        <v>Security</v>
      </c>
      <c r="C3345" s="751" t="s">
        <v>246</v>
      </c>
      <c r="D3345" s="751" t="s">
        <v>942</v>
      </c>
      <c r="E3345" s="751" t="s">
        <v>964</v>
      </c>
      <c r="F3345" s="751" t="s">
        <v>252</v>
      </c>
      <c r="G3345" s="752" t="s">
        <v>1681</v>
      </c>
      <c r="H3345" s="753">
        <v>51154</v>
      </c>
      <c r="I3345" s="754">
        <v>7188.47</v>
      </c>
      <c r="J3345" s="754">
        <v>0</v>
      </c>
      <c r="K3345" s="754">
        <v>0</v>
      </c>
      <c r="L3345" s="754">
        <v>7188.47</v>
      </c>
      <c r="M3345" s="754">
        <f t="shared" si="129"/>
        <v>7188.47</v>
      </c>
      <c r="N3345" s="756">
        <v>7188.47</v>
      </c>
      <c r="O3345" s="720">
        <f t="shared" si="130"/>
        <v>0</v>
      </c>
      <c r="V3345" s="641"/>
    </row>
    <row r="3346" spans="1:22" x14ac:dyDescent="0.25">
      <c r="A3346" s="207" t="str">
        <f>VLOOKUP(RIGHT(E3346,3)+0,SchLocTable!$A$2:$B$47,2,FALSE)</f>
        <v>Classical Studies Academy</v>
      </c>
      <c r="B3346" s="207" t="str">
        <f>VLOOKUP(VALUE(D3346),$D$3:F$106,3,FALSE)</f>
        <v>Security</v>
      </c>
      <c r="C3346" s="751" t="s">
        <v>246</v>
      </c>
      <c r="D3346" s="751" t="s">
        <v>942</v>
      </c>
      <c r="E3346" s="751" t="s">
        <v>964</v>
      </c>
      <c r="F3346" s="751" t="s">
        <v>797</v>
      </c>
      <c r="G3346" s="752" t="s">
        <v>1681</v>
      </c>
      <c r="H3346" s="753">
        <v>51156</v>
      </c>
      <c r="I3346" s="754">
        <v>0</v>
      </c>
      <c r="J3346" s="754">
        <v>0</v>
      </c>
      <c r="K3346" s="754">
        <v>0</v>
      </c>
      <c r="L3346" s="754">
        <v>0</v>
      </c>
      <c r="M3346" s="754">
        <f t="shared" si="129"/>
        <v>0</v>
      </c>
      <c r="N3346" s="756">
        <v>0</v>
      </c>
      <c r="O3346" s="720">
        <f t="shared" si="130"/>
        <v>0</v>
      </c>
      <c r="V3346" s="641"/>
    </row>
    <row r="3347" spans="1:22" x14ac:dyDescent="0.25">
      <c r="A3347" s="207" t="str">
        <f>VLOOKUP(RIGHT(E3347,3)+0,SchLocTable!$A$2:$B$47,2,FALSE)</f>
        <v>Classical Studies Academy</v>
      </c>
      <c r="B3347" s="207" t="str">
        <f>VLOOKUP(VALUE(D3347),$D$3:F$106,3,FALSE)</f>
        <v>Security</v>
      </c>
      <c r="C3347" s="751" t="s">
        <v>246</v>
      </c>
      <c r="D3347" s="751" t="s">
        <v>942</v>
      </c>
      <c r="E3347" s="751" t="s">
        <v>964</v>
      </c>
      <c r="F3347" s="751" t="s">
        <v>326</v>
      </c>
      <c r="G3347" s="752" t="s">
        <v>1681</v>
      </c>
      <c r="H3347" s="753">
        <v>51314</v>
      </c>
      <c r="I3347" s="754">
        <v>4172.84</v>
      </c>
      <c r="J3347" s="754">
        <v>0</v>
      </c>
      <c r="K3347" s="754">
        <v>0</v>
      </c>
      <c r="L3347" s="754">
        <v>4172.84</v>
      </c>
      <c r="M3347" s="754">
        <f t="shared" si="129"/>
        <v>4172.84</v>
      </c>
      <c r="N3347" s="756">
        <v>4172.84</v>
      </c>
      <c r="O3347" s="720">
        <f t="shared" si="130"/>
        <v>0</v>
      </c>
      <c r="V3347" s="641"/>
    </row>
    <row r="3348" spans="1:22" x14ac:dyDescent="0.25">
      <c r="A3348" s="207" t="str">
        <f>VLOOKUP(RIGHT(E3348,3)+0,SchLocTable!$A$2:$B$47,2,FALSE)</f>
        <v>Classical Studies Academy</v>
      </c>
      <c r="B3348" s="207" t="str">
        <f>VLOOKUP(VALUE(D3348),$D$3:F$106,3,FALSE)</f>
        <v>Security</v>
      </c>
      <c r="C3348" s="751" t="s">
        <v>246</v>
      </c>
      <c r="D3348" s="751" t="s">
        <v>942</v>
      </c>
      <c r="E3348" s="751" t="s">
        <v>964</v>
      </c>
      <c r="F3348" s="751" t="s">
        <v>254</v>
      </c>
      <c r="G3348" s="752" t="s">
        <v>1681</v>
      </c>
      <c r="H3348" s="753">
        <v>52360</v>
      </c>
      <c r="I3348" s="754">
        <v>848.09</v>
      </c>
      <c r="J3348" s="754">
        <v>0</v>
      </c>
      <c r="K3348" s="754">
        <v>0</v>
      </c>
      <c r="L3348" s="754">
        <v>387.65</v>
      </c>
      <c r="M3348" s="754">
        <f t="shared" si="129"/>
        <v>387.65</v>
      </c>
      <c r="N3348" s="756">
        <v>848.09</v>
      </c>
      <c r="O3348" s="720">
        <f t="shared" si="130"/>
        <v>0</v>
      </c>
      <c r="V3348" s="641"/>
    </row>
    <row r="3349" spans="1:22" x14ac:dyDescent="0.25">
      <c r="A3349" s="207" t="str">
        <f>VLOOKUP(RIGHT(E3349,3)+0,SchLocTable!$A$2:$B$47,2,FALSE)</f>
        <v>Classical Studies Academy</v>
      </c>
      <c r="B3349" s="207" t="str">
        <f>VLOOKUP(VALUE(D3349),$D$3:F$106,3,FALSE)</f>
        <v>Security</v>
      </c>
      <c r="C3349" s="751" t="s">
        <v>246</v>
      </c>
      <c r="D3349" s="751" t="s">
        <v>942</v>
      </c>
      <c r="E3349" s="751" t="s">
        <v>964</v>
      </c>
      <c r="F3349" s="751" t="s">
        <v>331</v>
      </c>
      <c r="G3349" s="752" t="s">
        <v>1681</v>
      </c>
      <c r="H3349" s="753">
        <v>52504</v>
      </c>
      <c r="I3349" s="754">
        <v>9957.1</v>
      </c>
      <c r="J3349" s="754">
        <v>0</v>
      </c>
      <c r="K3349" s="754">
        <v>0</v>
      </c>
      <c r="L3349" s="754">
        <v>3418.82</v>
      </c>
      <c r="M3349" s="754">
        <f t="shared" si="129"/>
        <v>3418.82</v>
      </c>
      <c r="N3349" s="756">
        <v>9957.1</v>
      </c>
      <c r="O3349" s="720">
        <f t="shared" si="130"/>
        <v>0</v>
      </c>
      <c r="V3349" s="641"/>
    </row>
    <row r="3350" spans="1:22" x14ac:dyDescent="0.25">
      <c r="A3350" s="207" t="str">
        <f>VLOOKUP(RIGHT(E3350,3)+0,SchLocTable!$A$2:$B$47,2,FALSE)</f>
        <v>Classical Studies Academy</v>
      </c>
      <c r="B3350" s="207" t="str">
        <f>VLOOKUP(VALUE(D3350),$D$3:F$106,3,FALSE)</f>
        <v>Security</v>
      </c>
      <c r="C3350" s="751" t="s">
        <v>246</v>
      </c>
      <c r="D3350" s="751" t="s">
        <v>942</v>
      </c>
      <c r="E3350" s="751" t="s">
        <v>964</v>
      </c>
      <c r="F3350" s="751" t="s">
        <v>259</v>
      </c>
      <c r="G3350" s="752" t="s">
        <v>1681</v>
      </c>
      <c r="H3350" s="753">
        <v>52917</v>
      </c>
      <c r="I3350" s="754">
        <v>11301.82</v>
      </c>
      <c r="J3350" s="754">
        <v>0</v>
      </c>
      <c r="K3350" s="754">
        <v>0</v>
      </c>
      <c r="L3350" s="754">
        <v>3464.16</v>
      </c>
      <c r="M3350" s="754">
        <f t="shared" si="129"/>
        <v>3464.16</v>
      </c>
      <c r="N3350" s="756">
        <v>11301.82</v>
      </c>
      <c r="O3350" s="720">
        <f t="shared" si="130"/>
        <v>0</v>
      </c>
      <c r="V3350" s="641"/>
    </row>
    <row r="3351" spans="1:22" x14ac:dyDescent="0.25">
      <c r="A3351" s="207" t="str">
        <f>VLOOKUP(RIGHT(E3351,3)+0,SchLocTable!$A$2:$B$47,2,FALSE)</f>
        <v>Tisdale</v>
      </c>
      <c r="B3351" s="207" t="str">
        <f>VLOOKUP(VALUE(D3351),$D$3:F$106,3,FALSE)</f>
        <v>Security</v>
      </c>
      <c r="C3351" s="751" t="s">
        <v>246</v>
      </c>
      <c r="D3351" s="751" t="s">
        <v>942</v>
      </c>
      <c r="E3351" s="751" t="s">
        <v>965</v>
      </c>
      <c r="F3351" s="751" t="s">
        <v>248</v>
      </c>
      <c r="G3351" s="752" t="s">
        <v>1681</v>
      </c>
      <c r="H3351" s="753">
        <v>51000</v>
      </c>
      <c r="I3351" s="754">
        <v>7368.48</v>
      </c>
      <c r="J3351" s="754">
        <v>0</v>
      </c>
      <c r="K3351" s="754">
        <v>0</v>
      </c>
      <c r="L3351" s="754">
        <v>7368.48</v>
      </c>
      <c r="M3351" s="754">
        <f t="shared" si="129"/>
        <v>7368.48</v>
      </c>
      <c r="N3351" s="756">
        <v>7368.48</v>
      </c>
      <c r="O3351" s="720">
        <f t="shared" si="130"/>
        <v>0</v>
      </c>
      <c r="V3351" s="641"/>
    </row>
    <row r="3352" spans="1:22" x14ac:dyDescent="0.25">
      <c r="A3352" s="207" t="str">
        <f>VLOOKUP(RIGHT(E3352,3)+0,SchLocTable!$A$2:$B$47,2,FALSE)</f>
        <v>Tisdale</v>
      </c>
      <c r="B3352" s="207" t="str">
        <f>VLOOKUP(VALUE(D3352),$D$3:F$106,3,FALSE)</f>
        <v>Security</v>
      </c>
      <c r="C3352" s="751" t="s">
        <v>246</v>
      </c>
      <c r="D3352" s="751" t="s">
        <v>942</v>
      </c>
      <c r="E3352" s="751" t="s">
        <v>965</v>
      </c>
      <c r="F3352" s="751" t="s">
        <v>378</v>
      </c>
      <c r="G3352" s="752" t="s">
        <v>1681</v>
      </c>
      <c r="H3352" s="753">
        <v>51108</v>
      </c>
      <c r="I3352" s="754">
        <v>0</v>
      </c>
      <c r="J3352" s="754">
        <v>0</v>
      </c>
      <c r="K3352" s="754">
        <v>0</v>
      </c>
      <c r="L3352" s="754">
        <v>0</v>
      </c>
      <c r="M3352" s="754">
        <f t="shared" si="129"/>
        <v>0</v>
      </c>
      <c r="N3352" s="756">
        <v>0</v>
      </c>
      <c r="O3352" s="720">
        <f t="shared" si="130"/>
        <v>0</v>
      </c>
      <c r="V3352" s="641"/>
    </row>
    <row r="3353" spans="1:22" x14ac:dyDescent="0.25">
      <c r="A3353" s="207" t="str">
        <f>VLOOKUP(RIGHT(E3353,3)+0,SchLocTable!$A$2:$B$47,2,FALSE)</f>
        <v>Tisdale</v>
      </c>
      <c r="B3353" s="207" t="str">
        <f>VLOOKUP(VALUE(D3353),$D$3:F$106,3,FALSE)</f>
        <v>Security</v>
      </c>
      <c r="C3353" s="751" t="s">
        <v>246</v>
      </c>
      <c r="D3353" s="751" t="s">
        <v>942</v>
      </c>
      <c r="E3353" s="751" t="s">
        <v>965</v>
      </c>
      <c r="F3353" s="751" t="s">
        <v>380</v>
      </c>
      <c r="G3353" s="752" t="s">
        <v>1681</v>
      </c>
      <c r="H3353" s="753">
        <v>51122</v>
      </c>
      <c r="I3353" s="754">
        <v>0</v>
      </c>
      <c r="J3353" s="754">
        <v>0</v>
      </c>
      <c r="K3353" s="754">
        <v>0</v>
      </c>
      <c r="L3353" s="754">
        <v>0</v>
      </c>
      <c r="M3353" s="754">
        <f t="shared" si="129"/>
        <v>0</v>
      </c>
      <c r="N3353" s="756">
        <v>0</v>
      </c>
      <c r="O3353" s="720">
        <f t="shared" si="130"/>
        <v>0</v>
      </c>
      <c r="V3353" s="641"/>
    </row>
    <row r="3354" spans="1:22" x14ac:dyDescent="0.25">
      <c r="A3354" s="207" t="str">
        <f>VLOOKUP(RIGHT(E3354,3)+0,SchLocTable!$A$2:$B$47,2,FALSE)</f>
        <v>Tisdale</v>
      </c>
      <c r="B3354" s="207" t="str">
        <f>VLOOKUP(VALUE(D3354),$D$3:F$106,3,FALSE)</f>
        <v>Security</v>
      </c>
      <c r="C3354" s="751" t="s">
        <v>246</v>
      </c>
      <c r="D3354" s="751" t="s">
        <v>942</v>
      </c>
      <c r="E3354" s="751" t="s">
        <v>965</v>
      </c>
      <c r="F3354" s="751" t="s">
        <v>257</v>
      </c>
      <c r="G3354" s="752" t="s">
        <v>1681</v>
      </c>
      <c r="H3354" s="753">
        <v>51140</v>
      </c>
      <c r="I3354" s="754">
        <v>1350</v>
      </c>
      <c r="J3354" s="754">
        <v>0</v>
      </c>
      <c r="K3354" s="754">
        <v>0</v>
      </c>
      <c r="L3354" s="754">
        <v>0</v>
      </c>
      <c r="M3354" s="754">
        <f t="shared" si="129"/>
        <v>0</v>
      </c>
      <c r="N3354" s="756">
        <v>1350</v>
      </c>
      <c r="O3354" s="720">
        <f t="shared" si="130"/>
        <v>0</v>
      </c>
      <c r="V3354" s="641"/>
    </row>
    <row r="3355" spans="1:22" x14ac:dyDescent="0.25">
      <c r="A3355" s="207" t="str">
        <f>VLOOKUP(RIGHT(E3355,3)+0,SchLocTable!$A$2:$B$47,2,FALSE)</f>
        <v>Tisdale</v>
      </c>
      <c r="B3355" s="207" t="str">
        <f>VLOOKUP(VALUE(D3355),$D$3:F$106,3,FALSE)</f>
        <v>Security</v>
      </c>
      <c r="C3355" s="755" t="s">
        <v>246</v>
      </c>
      <c r="D3355" s="751" t="s">
        <v>942</v>
      </c>
      <c r="E3355" s="751" t="s">
        <v>965</v>
      </c>
      <c r="F3355" s="751" t="s">
        <v>797</v>
      </c>
      <c r="G3355" s="752" t="s">
        <v>1681</v>
      </c>
      <c r="H3355" s="753">
        <v>51156</v>
      </c>
      <c r="I3355" s="754">
        <v>0</v>
      </c>
      <c r="J3355" s="754">
        <v>0</v>
      </c>
      <c r="K3355" s="754">
        <v>0</v>
      </c>
      <c r="L3355" s="754">
        <v>0</v>
      </c>
      <c r="M3355" s="754">
        <f t="shared" si="129"/>
        <v>0</v>
      </c>
      <c r="N3355" s="756">
        <v>0</v>
      </c>
      <c r="O3355" s="720">
        <f t="shared" si="130"/>
        <v>0</v>
      </c>
      <c r="V3355" s="641"/>
    </row>
    <row r="3356" spans="1:22" ht="18" customHeight="1" x14ac:dyDescent="0.25">
      <c r="A3356" s="207" t="str">
        <f>VLOOKUP(RIGHT(E3356,3)+0,SchLocTable!$A$2:$B$47,2,FALSE)</f>
        <v>Tisdale</v>
      </c>
      <c r="B3356" s="207" t="str">
        <f>VLOOKUP(VALUE(D3356),$D$3:F$106,3,FALSE)</f>
        <v>Security</v>
      </c>
      <c r="C3356" s="751" t="s">
        <v>246</v>
      </c>
      <c r="D3356" s="751" t="s">
        <v>942</v>
      </c>
      <c r="E3356" s="751" t="s">
        <v>965</v>
      </c>
      <c r="F3356" s="751" t="s">
        <v>326</v>
      </c>
      <c r="G3356" s="752" t="s">
        <v>1681</v>
      </c>
      <c r="H3356" s="753">
        <v>51314</v>
      </c>
      <c r="I3356" s="754">
        <v>0</v>
      </c>
      <c r="J3356" s="754">
        <v>0</v>
      </c>
      <c r="K3356" s="754">
        <v>0</v>
      </c>
      <c r="L3356" s="754">
        <v>0</v>
      </c>
      <c r="M3356" s="754">
        <f t="shared" si="129"/>
        <v>0</v>
      </c>
      <c r="N3356" s="756">
        <v>0</v>
      </c>
      <c r="O3356" s="720">
        <f t="shared" si="130"/>
        <v>0</v>
      </c>
      <c r="V3356" s="641"/>
    </row>
    <row r="3357" spans="1:22" x14ac:dyDescent="0.25">
      <c r="A3357" s="207" t="str">
        <f>VLOOKUP(RIGHT(E3357,3)+0,SchLocTable!$A$2:$B$47,2,FALSE)</f>
        <v>Tisdale</v>
      </c>
      <c r="B3357" s="207" t="str">
        <f>VLOOKUP(VALUE(D3357),$D$3:F$106,3,FALSE)</f>
        <v>Security</v>
      </c>
      <c r="C3357" s="755" t="s">
        <v>246</v>
      </c>
      <c r="D3357" s="751" t="s">
        <v>942</v>
      </c>
      <c r="E3357" s="751" t="s">
        <v>965</v>
      </c>
      <c r="F3357" s="751" t="s">
        <v>328</v>
      </c>
      <c r="G3357" s="752" t="s">
        <v>1681</v>
      </c>
      <c r="H3357" s="753">
        <v>51318</v>
      </c>
      <c r="I3357" s="754">
        <v>0</v>
      </c>
      <c r="J3357" s="754">
        <v>0</v>
      </c>
      <c r="K3357" s="754">
        <v>0</v>
      </c>
      <c r="L3357" s="754">
        <v>0</v>
      </c>
      <c r="M3357" s="754">
        <f t="shared" si="129"/>
        <v>0</v>
      </c>
      <c r="N3357" s="756">
        <v>0</v>
      </c>
      <c r="O3357" s="720">
        <f t="shared" si="130"/>
        <v>0</v>
      </c>
      <c r="V3357" s="641"/>
    </row>
    <row r="3358" spans="1:22" x14ac:dyDescent="0.25">
      <c r="A3358" s="207" t="str">
        <f>VLOOKUP(RIGHT(E3358,3)+0,SchLocTable!$A$2:$B$47,2,FALSE)</f>
        <v>Tisdale</v>
      </c>
      <c r="B3358" s="207" t="str">
        <f>VLOOKUP(VALUE(D3358),$D$3:F$106,3,FALSE)</f>
        <v>Security</v>
      </c>
      <c r="C3358" s="751" t="s">
        <v>246</v>
      </c>
      <c r="D3358" s="751" t="s">
        <v>942</v>
      </c>
      <c r="E3358" s="751" t="s">
        <v>965</v>
      </c>
      <c r="F3358" s="751" t="s">
        <v>254</v>
      </c>
      <c r="G3358" s="752" t="s">
        <v>1681</v>
      </c>
      <c r="H3358" s="753">
        <v>52360</v>
      </c>
      <c r="I3358" s="754">
        <v>98.17</v>
      </c>
      <c r="J3358" s="754">
        <v>0</v>
      </c>
      <c r="K3358" s="754">
        <v>0</v>
      </c>
      <c r="L3358" s="754">
        <v>98.17</v>
      </c>
      <c r="M3358" s="754">
        <f t="shared" si="129"/>
        <v>98.17</v>
      </c>
      <c r="N3358" s="756">
        <v>98.17</v>
      </c>
      <c r="O3358" s="720">
        <f t="shared" si="130"/>
        <v>0</v>
      </c>
      <c r="V3358" s="641"/>
    </row>
    <row r="3359" spans="1:22" x14ac:dyDescent="0.25">
      <c r="A3359" s="207" t="str">
        <f>VLOOKUP(RIGHT(E3359,3)+0,SchLocTable!$A$2:$B$47,2,FALSE)</f>
        <v>Tisdale</v>
      </c>
      <c r="B3359" s="207" t="str">
        <f>VLOOKUP(VALUE(D3359),$D$3:F$106,3,FALSE)</f>
        <v>Security</v>
      </c>
      <c r="C3359" s="751" t="s">
        <v>246</v>
      </c>
      <c r="D3359" s="751" t="s">
        <v>942</v>
      </c>
      <c r="E3359" s="751" t="s">
        <v>965</v>
      </c>
      <c r="F3359" s="751" t="s">
        <v>331</v>
      </c>
      <c r="G3359" s="752" t="s">
        <v>1681</v>
      </c>
      <c r="H3359" s="753">
        <v>52504</v>
      </c>
      <c r="I3359" s="754">
        <v>1517.21</v>
      </c>
      <c r="J3359" s="754">
        <v>0</v>
      </c>
      <c r="K3359" s="754">
        <v>0</v>
      </c>
      <c r="L3359" s="754">
        <v>1517.21</v>
      </c>
      <c r="M3359" s="754">
        <f t="shared" si="129"/>
        <v>1517.21</v>
      </c>
      <c r="N3359" s="756">
        <v>1517.21</v>
      </c>
      <c r="O3359" s="720">
        <f t="shared" si="130"/>
        <v>0</v>
      </c>
      <c r="V3359" s="641"/>
    </row>
    <row r="3360" spans="1:22" x14ac:dyDescent="0.25">
      <c r="A3360" s="207" t="str">
        <f>VLOOKUP(RIGHT(E3360,3)+0,SchLocTable!$A$2:$B$47,2,FALSE)</f>
        <v>Tisdale</v>
      </c>
      <c r="B3360" s="207" t="str">
        <f>VLOOKUP(VALUE(D3360),$D$3:F$106,3,FALSE)</f>
        <v>Security</v>
      </c>
      <c r="C3360" s="751" t="s">
        <v>246</v>
      </c>
      <c r="D3360" s="751" t="s">
        <v>942</v>
      </c>
      <c r="E3360" s="751" t="s">
        <v>965</v>
      </c>
      <c r="F3360" s="751" t="s">
        <v>259</v>
      </c>
      <c r="G3360" s="752" t="s">
        <v>1681</v>
      </c>
      <c r="H3360" s="753">
        <v>52917</v>
      </c>
      <c r="I3360" s="754">
        <v>1866.56</v>
      </c>
      <c r="J3360" s="754">
        <v>0</v>
      </c>
      <c r="K3360" s="754">
        <v>0</v>
      </c>
      <c r="L3360" s="754">
        <v>1866.56</v>
      </c>
      <c r="M3360" s="754">
        <f t="shared" si="129"/>
        <v>1866.56</v>
      </c>
      <c r="N3360" s="756">
        <v>1866.56</v>
      </c>
      <c r="O3360" s="720">
        <f t="shared" si="130"/>
        <v>0</v>
      </c>
      <c r="V3360" s="641"/>
    </row>
    <row r="3361" spans="1:22" x14ac:dyDescent="0.25">
      <c r="A3361" s="207" t="str">
        <f>VLOOKUP(RIGHT(E3361,3)+0,SchLocTable!$A$2:$B$47,2,FALSE)</f>
        <v>Read</v>
      </c>
      <c r="B3361" s="207" t="str">
        <f>VLOOKUP(VALUE(D3361),$D$3:F$106,3,FALSE)</f>
        <v>Security</v>
      </c>
      <c r="C3361" s="751" t="s">
        <v>246</v>
      </c>
      <c r="D3361" s="751" t="s">
        <v>942</v>
      </c>
      <c r="E3361" s="751" t="s">
        <v>966</v>
      </c>
      <c r="F3361" s="751" t="s">
        <v>248</v>
      </c>
      <c r="G3361" s="752">
        <v>1</v>
      </c>
      <c r="H3361" s="753">
        <v>51000</v>
      </c>
      <c r="I3361" s="754">
        <v>45784.72</v>
      </c>
      <c r="J3361" s="754">
        <v>0</v>
      </c>
      <c r="K3361" s="754">
        <v>0</v>
      </c>
      <c r="L3361" s="754">
        <v>14030.08</v>
      </c>
      <c r="M3361" s="754">
        <f t="shared" si="129"/>
        <v>14030.08</v>
      </c>
      <c r="N3361" s="756">
        <v>45784.72</v>
      </c>
      <c r="O3361" s="720">
        <f t="shared" si="130"/>
        <v>0</v>
      </c>
      <c r="V3361" s="641"/>
    </row>
    <row r="3362" spans="1:22" x14ac:dyDescent="0.25">
      <c r="A3362" s="207" t="str">
        <f>VLOOKUP(RIGHT(E3362,3)+0,SchLocTable!$A$2:$B$47,2,FALSE)</f>
        <v>Read</v>
      </c>
      <c r="B3362" s="207" t="str">
        <f>VLOOKUP(VALUE(D3362),$D$3:F$106,3,FALSE)</f>
        <v>Security</v>
      </c>
      <c r="C3362" s="751" t="s">
        <v>246</v>
      </c>
      <c r="D3362" s="751" t="s">
        <v>942</v>
      </c>
      <c r="E3362" s="751" t="s">
        <v>966</v>
      </c>
      <c r="F3362" s="751" t="s">
        <v>380</v>
      </c>
      <c r="G3362" s="752" t="s">
        <v>1681</v>
      </c>
      <c r="H3362" s="753">
        <v>51122</v>
      </c>
      <c r="I3362" s="754">
        <v>0</v>
      </c>
      <c r="J3362" s="754">
        <v>0</v>
      </c>
      <c r="K3362" s="754">
        <v>0</v>
      </c>
      <c r="L3362" s="754">
        <v>0</v>
      </c>
      <c r="M3362" s="754">
        <f t="shared" si="129"/>
        <v>0</v>
      </c>
      <c r="N3362" s="756">
        <v>0</v>
      </c>
      <c r="O3362" s="720">
        <f t="shared" si="130"/>
        <v>0</v>
      </c>
      <c r="V3362" s="641"/>
    </row>
    <row r="3363" spans="1:22" x14ac:dyDescent="0.25">
      <c r="A3363" s="207" t="str">
        <f>VLOOKUP(RIGHT(E3363,3)+0,SchLocTable!$A$2:$B$47,2,FALSE)</f>
        <v>Read</v>
      </c>
      <c r="B3363" s="207" t="str">
        <f>VLOOKUP(VALUE(D3363),$D$3:F$106,3,FALSE)</f>
        <v>Security</v>
      </c>
      <c r="C3363" s="751" t="s">
        <v>246</v>
      </c>
      <c r="D3363" s="751" t="s">
        <v>942</v>
      </c>
      <c r="E3363" s="751" t="s">
        <v>966</v>
      </c>
      <c r="F3363" s="751" t="s">
        <v>254</v>
      </c>
      <c r="G3363" s="752" t="s">
        <v>1681</v>
      </c>
      <c r="H3363" s="753">
        <v>52360</v>
      </c>
      <c r="I3363" s="754">
        <v>663.88</v>
      </c>
      <c r="J3363" s="754">
        <v>0</v>
      </c>
      <c r="K3363" s="754">
        <v>0</v>
      </c>
      <c r="L3363" s="754">
        <v>203.44</v>
      </c>
      <c r="M3363" s="754">
        <f t="shared" si="129"/>
        <v>203.44</v>
      </c>
      <c r="N3363" s="756">
        <v>663.88</v>
      </c>
      <c r="O3363" s="720">
        <f t="shared" si="130"/>
        <v>0</v>
      </c>
      <c r="V3363" s="641"/>
    </row>
    <row r="3364" spans="1:22" x14ac:dyDescent="0.25">
      <c r="A3364" s="207" t="str">
        <f>VLOOKUP(RIGHT(E3364,3)+0,SchLocTable!$A$2:$B$47,2,FALSE)</f>
        <v>Read</v>
      </c>
      <c r="B3364" s="207" t="str">
        <f>VLOOKUP(VALUE(D3364),$D$3:F$106,3,FALSE)</f>
        <v>Security</v>
      </c>
      <c r="C3364" s="751" t="s">
        <v>246</v>
      </c>
      <c r="D3364" s="751" t="s">
        <v>942</v>
      </c>
      <c r="E3364" s="751" t="s">
        <v>966</v>
      </c>
      <c r="F3364" s="751" t="s">
        <v>331</v>
      </c>
      <c r="G3364" s="752" t="s">
        <v>1681</v>
      </c>
      <c r="H3364" s="753">
        <v>52504</v>
      </c>
      <c r="I3364" s="754">
        <v>9427.14</v>
      </c>
      <c r="J3364" s="754">
        <v>0</v>
      </c>
      <c r="K3364" s="754">
        <v>0</v>
      </c>
      <c r="L3364" s="754">
        <v>2888.86</v>
      </c>
      <c r="M3364" s="754">
        <f t="shared" si="129"/>
        <v>2888.86</v>
      </c>
      <c r="N3364" s="756">
        <v>9427.14</v>
      </c>
      <c r="O3364" s="720">
        <f t="shared" si="130"/>
        <v>0</v>
      </c>
      <c r="V3364" s="641"/>
    </row>
    <row r="3365" spans="1:22" x14ac:dyDescent="0.25">
      <c r="A3365" s="207" t="str">
        <f>VLOOKUP(RIGHT(E3365,3)+0,SchLocTable!$A$2:$B$47,2,FALSE)</f>
        <v>Read</v>
      </c>
      <c r="B3365" s="207" t="str">
        <f>VLOOKUP(VALUE(D3365),$D$3:F$106,3,FALSE)</f>
        <v>Security</v>
      </c>
      <c r="C3365" s="751" t="s">
        <v>246</v>
      </c>
      <c r="D3365" s="751" t="s">
        <v>942</v>
      </c>
      <c r="E3365" s="751" t="s">
        <v>966</v>
      </c>
      <c r="F3365" s="751" t="s">
        <v>259</v>
      </c>
      <c r="G3365" s="752" t="s">
        <v>1681</v>
      </c>
      <c r="H3365" s="753">
        <v>52917</v>
      </c>
      <c r="I3365" s="754">
        <v>447.88</v>
      </c>
      <c r="J3365" s="754">
        <v>0</v>
      </c>
      <c r="K3365" s="754">
        <v>0</v>
      </c>
      <c r="L3365" s="754">
        <v>137.28</v>
      </c>
      <c r="M3365" s="754">
        <f t="shared" si="129"/>
        <v>137.28</v>
      </c>
      <c r="N3365" s="756">
        <v>447.88</v>
      </c>
      <c r="O3365" s="720">
        <f t="shared" si="130"/>
        <v>0</v>
      </c>
      <c r="V3365" s="641"/>
    </row>
    <row r="3366" spans="1:22" x14ac:dyDescent="0.25">
      <c r="A3366" s="207" t="str">
        <f>VLOOKUP(RIGHT(E3366,3)+0,SchLocTable!$A$2:$B$47,2,FALSE)</f>
        <v>Read</v>
      </c>
      <c r="B3366" s="207" t="str">
        <f>VLOOKUP(VALUE(D3366),$D$3:F$106,3,FALSE)</f>
        <v>Security</v>
      </c>
      <c r="C3366" s="751" t="s">
        <v>246</v>
      </c>
      <c r="D3366" s="751" t="s">
        <v>942</v>
      </c>
      <c r="E3366" s="751" t="s">
        <v>966</v>
      </c>
      <c r="F3366" s="751" t="s">
        <v>333</v>
      </c>
      <c r="G3366" s="752" t="s">
        <v>1681</v>
      </c>
      <c r="H3366" s="753">
        <v>52920</v>
      </c>
      <c r="I3366" s="754">
        <v>2000</v>
      </c>
      <c r="J3366" s="754">
        <v>0</v>
      </c>
      <c r="K3366" s="754">
        <v>0</v>
      </c>
      <c r="L3366" s="754">
        <v>0</v>
      </c>
      <c r="M3366" s="754">
        <f t="shared" si="129"/>
        <v>0</v>
      </c>
      <c r="N3366" s="756">
        <v>2000</v>
      </c>
      <c r="O3366" s="720">
        <f t="shared" si="130"/>
        <v>0</v>
      </c>
      <c r="V3366" s="641"/>
    </row>
    <row r="3367" spans="1:22" x14ac:dyDescent="0.25">
      <c r="A3367" s="207" t="str">
        <f>VLOOKUP(RIGHT(E3367,3)+0,SchLocTable!$A$2:$B$47,2,FALSE)</f>
        <v>Roosevelt</v>
      </c>
      <c r="B3367" s="207" t="str">
        <f>VLOOKUP(VALUE(D3367),$D$3:F$106,3,FALSE)</f>
        <v>Security</v>
      </c>
      <c r="C3367" s="751" t="s">
        <v>246</v>
      </c>
      <c r="D3367" s="751" t="s">
        <v>942</v>
      </c>
      <c r="E3367" s="751" t="s">
        <v>967</v>
      </c>
      <c r="F3367" s="751" t="s">
        <v>248</v>
      </c>
      <c r="G3367" s="752">
        <v>2</v>
      </c>
      <c r="H3367" s="753">
        <v>51000</v>
      </c>
      <c r="I3367" s="754">
        <v>81236.240000000005</v>
      </c>
      <c r="J3367" s="754">
        <v>0</v>
      </c>
      <c r="K3367" s="754">
        <v>0</v>
      </c>
      <c r="L3367" s="754">
        <v>18784</v>
      </c>
      <c r="M3367" s="754">
        <f t="shared" si="129"/>
        <v>18784</v>
      </c>
      <c r="N3367" s="756">
        <v>81236.240000000005</v>
      </c>
      <c r="O3367" s="720">
        <f t="shared" si="130"/>
        <v>0</v>
      </c>
      <c r="V3367" s="641"/>
    </row>
    <row r="3368" spans="1:22" x14ac:dyDescent="0.25">
      <c r="A3368" s="207" t="str">
        <f>VLOOKUP(RIGHT(E3368,3)+0,SchLocTable!$A$2:$B$47,2,FALSE)</f>
        <v>Roosevelt</v>
      </c>
      <c r="B3368" s="207" t="str">
        <f>VLOOKUP(VALUE(D3368),$D$3:F$106,3,FALSE)</f>
        <v>Security</v>
      </c>
      <c r="C3368" s="751" t="s">
        <v>246</v>
      </c>
      <c r="D3368" s="751" t="s">
        <v>942</v>
      </c>
      <c r="E3368" s="751" t="s">
        <v>967</v>
      </c>
      <c r="F3368" s="751" t="s">
        <v>378</v>
      </c>
      <c r="G3368" s="752" t="s">
        <v>1681</v>
      </c>
      <c r="H3368" s="753">
        <v>51108</v>
      </c>
      <c r="I3368" s="754">
        <v>0</v>
      </c>
      <c r="J3368" s="754">
        <v>0</v>
      </c>
      <c r="K3368" s="754">
        <v>0</v>
      </c>
      <c r="L3368" s="754">
        <v>0</v>
      </c>
      <c r="M3368" s="754">
        <f t="shared" si="129"/>
        <v>0</v>
      </c>
      <c r="N3368" s="756">
        <v>0</v>
      </c>
      <c r="O3368" s="720">
        <f t="shared" si="130"/>
        <v>0</v>
      </c>
      <c r="V3368" s="641"/>
    </row>
    <row r="3369" spans="1:22" x14ac:dyDescent="0.25">
      <c r="A3369" s="207" t="str">
        <f>VLOOKUP(RIGHT(E3369,3)+0,SchLocTable!$A$2:$B$47,2,FALSE)</f>
        <v>Roosevelt</v>
      </c>
      <c r="B3369" s="207" t="str">
        <f>VLOOKUP(VALUE(D3369),$D$3:F$106,3,FALSE)</f>
        <v>Security</v>
      </c>
      <c r="C3369" s="751" t="s">
        <v>246</v>
      </c>
      <c r="D3369" s="751" t="s">
        <v>942</v>
      </c>
      <c r="E3369" s="751" t="s">
        <v>967</v>
      </c>
      <c r="F3369" s="751" t="s">
        <v>380</v>
      </c>
      <c r="G3369" s="752" t="s">
        <v>1681</v>
      </c>
      <c r="H3369" s="753">
        <v>51122</v>
      </c>
      <c r="I3369" s="754">
        <v>0</v>
      </c>
      <c r="J3369" s="754">
        <v>0</v>
      </c>
      <c r="K3369" s="754">
        <v>0</v>
      </c>
      <c r="L3369" s="754">
        <v>0</v>
      </c>
      <c r="M3369" s="754">
        <f t="shared" si="129"/>
        <v>0</v>
      </c>
      <c r="N3369" s="756">
        <v>0</v>
      </c>
      <c r="O3369" s="720">
        <f t="shared" si="130"/>
        <v>0</v>
      </c>
      <c r="V3369" s="641"/>
    </row>
    <row r="3370" spans="1:22" x14ac:dyDescent="0.25">
      <c r="A3370" s="207" t="str">
        <f>VLOOKUP(RIGHT(E3370,3)+0,SchLocTable!$A$2:$B$47,2,FALSE)</f>
        <v>Roosevelt</v>
      </c>
      <c r="B3370" s="207" t="str">
        <f>VLOOKUP(VALUE(D3370),$D$3:F$106,3,FALSE)</f>
        <v>Security</v>
      </c>
      <c r="C3370" s="755" t="s">
        <v>246</v>
      </c>
      <c r="D3370" s="751" t="s">
        <v>942</v>
      </c>
      <c r="E3370" s="751" t="s">
        <v>967</v>
      </c>
      <c r="F3370" s="751" t="s">
        <v>257</v>
      </c>
      <c r="G3370" s="752" t="s">
        <v>1681</v>
      </c>
      <c r="H3370" s="753">
        <v>51140</v>
      </c>
      <c r="I3370" s="754">
        <v>2250</v>
      </c>
      <c r="J3370" s="754">
        <v>0</v>
      </c>
      <c r="K3370" s="754">
        <v>0</v>
      </c>
      <c r="L3370" s="754">
        <v>1050</v>
      </c>
      <c r="M3370" s="754">
        <f t="shared" si="129"/>
        <v>1050</v>
      </c>
      <c r="N3370" s="756">
        <v>2250</v>
      </c>
      <c r="O3370" s="720">
        <f t="shared" si="130"/>
        <v>0</v>
      </c>
      <c r="P3370" s="641"/>
      <c r="Q3370" s="641"/>
      <c r="R3370" s="641"/>
      <c r="S3370" s="641"/>
      <c r="T3370" s="641"/>
      <c r="U3370" s="641"/>
      <c r="V3370" s="641"/>
    </row>
    <row r="3371" spans="1:22" x14ac:dyDescent="0.25">
      <c r="A3371" s="207" t="str">
        <f>VLOOKUP(RIGHT(E3371,3)+0,SchLocTable!$A$2:$B$47,2,FALSE)</f>
        <v>Roosevelt</v>
      </c>
      <c r="B3371" s="207" t="str">
        <f>VLOOKUP(VALUE(D3371),$D$3:F$106,3,FALSE)</f>
        <v>Security</v>
      </c>
      <c r="C3371" s="751" t="s">
        <v>246</v>
      </c>
      <c r="D3371" s="751" t="s">
        <v>942</v>
      </c>
      <c r="E3371" s="751" t="s">
        <v>967</v>
      </c>
      <c r="F3371" s="751" t="s">
        <v>797</v>
      </c>
      <c r="G3371" s="752" t="s">
        <v>1681</v>
      </c>
      <c r="H3371" s="753">
        <v>51156</v>
      </c>
      <c r="I3371" s="754">
        <v>0</v>
      </c>
      <c r="J3371" s="754">
        <v>0</v>
      </c>
      <c r="K3371" s="754">
        <v>0</v>
      </c>
      <c r="L3371" s="754">
        <v>0</v>
      </c>
      <c r="M3371" s="754">
        <f t="shared" si="129"/>
        <v>0</v>
      </c>
      <c r="N3371" s="756">
        <v>0</v>
      </c>
      <c r="O3371" s="720">
        <f t="shared" si="130"/>
        <v>0</v>
      </c>
    </row>
    <row r="3372" spans="1:22" x14ac:dyDescent="0.25">
      <c r="A3372" s="207" t="str">
        <f>VLOOKUP(RIGHT(E3372,3)+0,SchLocTable!$A$2:$B$47,2,FALSE)</f>
        <v>Roosevelt</v>
      </c>
      <c r="B3372" s="207" t="str">
        <f>VLOOKUP(VALUE(D3372),$D$3:F$106,3,FALSE)</f>
        <v>Security</v>
      </c>
      <c r="C3372" s="751" t="s">
        <v>246</v>
      </c>
      <c r="D3372" s="751" t="s">
        <v>942</v>
      </c>
      <c r="E3372" s="751" t="s">
        <v>967</v>
      </c>
      <c r="F3372" s="751" t="s">
        <v>254</v>
      </c>
      <c r="G3372" s="752" t="s">
        <v>1681</v>
      </c>
      <c r="H3372" s="753">
        <v>52360</v>
      </c>
      <c r="I3372" s="754">
        <v>1176.6300000000001</v>
      </c>
      <c r="J3372" s="754">
        <v>0</v>
      </c>
      <c r="K3372" s="754">
        <v>0</v>
      </c>
      <c r="L3372" s="754">
        <v>271.07</v>
      </c>
      <c r="M3372" s="754">
        <f t="shared" si="129"/>
        <v>271.07</v>
      </c>
      <c r="N3372" s="756">
        <v>1176.6300000000001</v>
      </c>
      <c r="O3372" s="720">
        <f t="shared" si="130"/>
        <v>0</v>
      </c>
    </row>
    <row r="3373" spans="1:22" x14ac:dyDescent="0.25">
      <c r="A3373" s="207" t="str">
        <f>VLOOKUP(RIGHT(E3373,3)+0,SchLocTable!$A$2:$B$47,2,FALSE)</f>
        <v>Roosevelt</v>
      </c>
      <c r="B3373" s="207" t="str">
        <f>VLOOKUP(VALUE(D3373),$D$3:F$106,3,FALSE)</f>
        <v>Security</v>
      </c>
      <c r="C3373" s="751" t="s">
        <v>246</v>
      </c>
      <c r="D3373" s="751" t="s">
        <v>942</v>
      </c>
      <c r="E3373" s="751" t="s">
        <v>967</v>
      </c>
      <c r="F3373" s="751" t="s">
        <v>292</v>
      </c>
      <c r="G3373" s="752" t="s">
        <v>1681</v>
      </c>
      <c r="H3373" s="753">
        <v>52385</v>
      </c>
      <c r="I3373" s="754">
        <v>294.43</v>
      </c>
      <c r="J3373" s="754">
        <v>0</v>
      </c>
      <c r="K3373" s="754">
        <v>0</v>
      </c>
      <c r="L3373" s="754">
        <v>294.43</v>
      </c>
      <c r="M3373" s="754">
        <f t="shared" si="129"/>
        <v>294.43</v>
      </c>
      <c r="N3373" s="756">
        <v>294.43</v>
      </c>
      <c r="O3373" s="720">
        <f t="shared" si="130"/>
        <v>0</v>
      </c>
    </row>
    <row r="3374" spans="1:22" x14ac:dyDescent="0.25">
      <c r="A3374" s="207" t="str">
        <f>VLOOKUP(RIGHT(E3374,3)+0,SchLocTable!$A$2:$B$47,2,FALSE)</f>
        <v>Roosevelt</v>
      </c>
      <c r="B3374" s="207" t="str">
        <f>VLOOKUP(VALUE(D3374),$D$3:F$106,3,FALSE)</f>
        <v>Security</v>
      </c>
      <c r="C3374" s="751" t="s">
        <v>246</v>
      </c>
      <c r="D3374" s="751" t="s">
        <v>942</v>
      </c>
      <c r="E3374" s="751" t="s">
        <v>967</v>
      </c>
      <c r="F3374" s="751" t="s">
        <v>331</v>
      </c>
      <c r="G3374" s="752" t="s">
        <v>1681</v>
      </c>
      <c r="H3374" s="753">
        <v>52504</v>
      </c>
      <c r="I3374" s="754">
        <v>15965.01</v>
      </c>
      <c r="J3374" s="754">
        <v>0</v>
      </c>
      <c r="K3374" s="754">
        <v>0</v>
      </c>
      <c r="L3374" s="754">
        <v>3106.09</v>
      </c>
      <c r="M3374" s="754">
        <f t="shared" si="129"/>
        <v>3106.09</v>
      </c>
      <c r="N3374" s="756">
        <v>15965.01</v>
      </c>
      <c r="O3374" s="720">
        <f t="shared" si="130"/>
        <v>0</v>
      </c>
    </row>
    <row r="3375" spans="1:22" x14ac:dyDescent="0.25">
      <c r="A3375" s="207" t="str">
        <f>VLOOKUP(RIGHT(E3375,3)+0,SchLocTable!$A$2:$B$47,2,FALSE)</f>
        <v>Roosevelt</v>
      </c>
      <c r="B3375" s="207" t="str">
        <f>VLOOKUP(VALUE(D3375),$D$3:F$106,3,FALSE)</f>
        <v>Security</v>
      </c>
      <c r="C3375" s="755" t="s">
        <v>246</v>
      </c>
      <c r="D3375" s="751" t="s">
        <v>942</v>
      </c>
      <c r="E3375" s="751" t="s">
        <v>967</v>
      </c>
      <c r="F3375" s="751" t="s">
        <v>259</v>
      </c>
      <c r="G3375" s="752" t="s">
        <v>1681</v>
      </c>
      <c r="H3375" s="753">
        <v>52917</v>
      </c>
      <c r="I3375" s="754">
        <v>11599.36</v>
      </c>
      <c r="J3375" s="754">
        <v>0</v>
      </c>
      <c r="K3375" s="754">
        <v>0</v>
      </c>
      <c r="L3375" s="754">
        <v>3555.36</v>
      </c>
      <c r="M3375" s="754">
        <f t="shared" si="129"/>
        <v>3555.36</v>
      </c>
      <c r="N3375" s="756">
        <v>11599.36</v>
      </c>
      <c r="O3375" s="720">
        <f t="shared" si="130"/>
        <v>0</v>
      </c>
    </row>
    <row r="3376" spans="1:22" x14ac:dyDescent="0.25">
      <c r="A3376" s="207" t="str">
        <f>VLOOKUP(RIGHT(E3376,3)+0,SchLocTable!$A$2:$B$47,2,FALSE)</f>
        <v>Bridgeport Learning Center</v>
      </c>
      <c r="B3376" s="207" t="str">
        <f>VLOOKUP(VALUE(D3376),$D$3:F$106,3,FALSE)</f>
        <v>Security</v>
      </c>
      <c r="C3376" s="751" t="s">
        <v>246</v>
      </c>
      <c r="D3376" s="751" t="s">
        <v>942</v>
      </c>
      <c r="E3376" s="751" t="s">
        <v>968</v>
      </c>
      <c r="F3376" s="751" t="s">
        <v>248</v>
      </c>
      <c r="G3376" s="752">
        <v>1</v>
      </c>
      <c r="H3376" s="753">
        <v>51000</v>
      </c>
      <c r="I3376" s="754">
        <v>45789.84</v>
      </c>
      <c r="J3376" s="754">
        <v>0</v>
      </c>
      <c r="K3376" s="754">
        <v>0</v>
      </c>
      <c r="L3376" s="754">
        <v>14035.2</v>
      </c>
      <c r="M3376" s="754">
        <f t="shared" si="129"/>
        <v>14035.2</v>
      </c>
      <c r="N3376" s="756">
        <v>45789.84</v>
      </c>
      <c r="O3376" s="720">
        <f t="shared" si="130"/>
        <v>0</v>
      </c>
    </row>
    <row r="3377" spans="1:15" x14ac:dyDescent="0.25">
      <c r="A3377" s="207" t="str">
        <f>VLOOKUP(RIGHT(E3377,3)+0,SchLocTable!$A$2:$B$47,2,FALSE)</f>
        <v>Bridgeport Learning Center</v>
      </c>
      <c r="B3377" s="207" t="str">
        <f>VLOOKUP(VALUE(D3377),$D$3:F$106,3,FALSE)</f>
        <v>Security</v>
      </c>
      <c r="C3377" s="751" t="s">
        <v>246</v>
      </c>
      <c r="D3377" s="751" t="s">
        <v>942</v>
      </c>
      <c r="E3377" s="751" t="s">
        <v>968</v>
      </c>
      <c r="F3377" s="751" t="s">
        <v>257</v>
      </c>
      <c r="G3377" s="752" t="s">
        <v>1681</v>
      </c>
      <c r="H3377" s="753">
        <v>51140</v>
      </c>
      <c r="I3377" s="754">
        <v>2250</v>
      </c>
      <c r="J3377" s="754">
        <v>0</v>
      </c>
      <c r="K3377" s="754">
        <v>0</v>
      </c>
      <c r="L3377" s="754">
        <v>2250</v>
      </c>
      <c r="M3377" s="754">
        <f t="shared" si="129"/>
        <v>2250</v>
      </c>
      <c r="N3377" s="756">
        <v>2250</v>
      </c>
      <c r="O3377" s="720">
        <f t="shared" si="130"/>
        <v>0</v>
      </c>
    </row>
    <row r="3378" spans="1:15" x14ac:dyDescent="0.25">
      <c r="A3378" s="207" t="str">
        <f>VLOOKUP(RIGHT(E3378,3)+0,SchLocTable!$A$2:$B$47,2,FALSE)</f>
        <v>Bridgeport Learning Center</v>
      </c>
      <c r="B3378" s="207" t="str">
        <f>VLOOKUP(VALUE(D3378),$D$3:F$106,3,FALSE)</f>
        <v>Security</v>
      </c>
      <c r="C3378" s="755" t="s">
        <v>246</v>
      </c>
      <c r="D3378" s="751" t="s">
        <v>942</v>
      </c>
      <c r="E3378" s="751" t="s">
        <v>968</v>
      </c>
      <c r="F3378" s="751" t="s">
        <v>254</v>
      </c>
      <c r="G3378" s="752" t="s">
        <v>1681</v>
      </c>
      <c r="H3378" s="753">
        <v>52360</v>
      </c>
      <c r="I3378" s="754">
        <v>656.6</v>
      </c>
      <c r="J3378" s="754">
        <v>0</v>
      </c>
      <c r="K3378" s="754">
        <v>0</v>
      </c>
      <c r="L3378" s="754">
        <v>196.16</v>
      </c>
      <c r="M3378" s="754">
        <f t="shared" si="129"/>
        <v>196.16</v>
      </c>
      <c r="N3378" s="756">
        <v>656.6</v>
      </c>
      <c r="O3378" s="720">
        <f t="shared" si="130"/>
        <v>0</v>
      </c>
    </row>
    <row r="3379" spans="1:15" x14ac:dyDescent="0.25">
      <c r="A3379" s="207" t="str">
        <f>VLOOKUP(RIGHT(E3379,3)+0,SchLocTable!$A$2:$B$47,2,FALSE)</f>
        <v>Bridgeport Learning Center</v>
      </c>
      <c r="B3379" s="207" t="str">
        <f>VLOOKUP(VALUE(D3379),$D$3:F$106,3,FALSE)</f>
        <v>Security</v>
      </c>
      <c r="C3379" s="751" t="s">
        <v>246</v>
      </c>
      <c r="D3379" s="751" t="s">
        <v>942</v>
      </c>
      <c r="E3379" s="751" t="s">
        <v>968</v>
      </c>
      <c r="F3379" s="751" t="s">
        <v>331</v>
      </c>
      <c r="G3379" s="752" t="s">
        <v>1681</v>
      </c>
      <c r="H3379" s="753">
        <v>52504</v>
      </c>
      <c r="I3379" s="754">
        <v>9891.4699999999993</v>
      </c>
      <c r="J3379" s="754">
        <v>0</v>
      </c>
      <c r="K3379" s="754">
        <v>0</v>
      </c>
      <c r="L3379" s="754">
        <v>3353.19</v>
      </c>
      <c r="M3379" s="754">
        <f t="shared" si="129"/>
        <v>3353.19</v>
      </c>
      <c r="N3379" s="756">
        <v>9891.4699999999993</v>
      </c>
      <c r="O3379" s="720">
        <f t="shared" si="130"/>
        <v>0</v>
      </c>
    </row>
    <row r="3380" spans="1:15" x14ac:dyDescent="0.25">
      <c r="A3380" s="207" t="str">
        <f>VLOOKUP(RIGHT(E3380,3)+0,SchLocTable!$A$2:$B$47,2,FALSE)</f>
        <v>Bridgeport Learning Center</v>
      </c>
      <c r="B3380" s="207" t="str">
        <f>VLOOKUP(VALUE(D3380),$D$3:F$106,3,FALSE)</f>
        <v>Security</v>
      </c>
      <c r="C3380" s="751" t="s">
        <v>246</v>
      </c>
      <c r="D3380" s="751" t="s">
        <v>942</v>
      </c>
      <c r="E3380" s="751" t="s">
        <v>968</v>
      </c>
      <c r="F3380" s="751" t="s">
        <v>259</v>
      </c>
      <c r="G3380" s="752" t="s">
        <v>1681</v>
      </c>
      <c r="H3380" s="753">
        <v>52917</v>
      </c>
      <c r="I3380" s="754">
        <v>27881.59</v>
      </c>
      <c r="J3380" s="754">
        <v>0</v>
      </c>
      <c r="K3380" s="754">
        <v>0</v>
      </c>
      <c r="L3380" s="754">
        <v>8546.08</v>
      </c>
      <c r="M3380" s="754">
        <f t="shared" si="129"/>
        <v>8546.08</v>
      </c>
      <c r="N3380" s="756">
        <v>27881.59</v>
      </c>
      <c r="O3380" s="720">
        <f t="shared" si="130"/>
        <v>0</v>
      </c>
    </row>
    <row r="3381" spans="1:15" x14ac:dyDescent="0.25">
      <c r="A3381" s="207" t="str">
        <f>VLOOKUP(RIGHT(E3381,3)+0,SchLocTable!$A$2:$B$47,2,FALSE)</f>
        <v>Waltersville</v>
      </c>
      <c r="B3381" s="207" t="str">
        <f>VLOOKUP(VALUE(D3381),$D$3:F$106,3,FALSE)</f>
        <v>Security</v>
      </c>
      <c r="C3381" s="751" t="s">
        <v>246</v>
      </c>
      <c r="D3381" s="751" t="s">
        <v>942</v>
      </c>
      <c r="E3381" s="751" t="s">
        <v>969</v>
      </c>
      <c r="F3381" s="751" t="s">
        <v>248</v>
      </c>
      <c r="G3381" s="752">
        <v>1</v>
      </c>
      <c r="H3381" s="753">
        <v>51000</v>
      </c>
      <c r="I3381" s="754">
        <v>45789.84</v>
      </c>
      <c r="J3381" s="754">
        <v>0</v>
      </c>
      <c r="K3381" s="754">
        <v>0</v>
      </c>
      <c r="L3381" s="754">
        <v>14035.2</v>
      </c>
      <c r="M3381" s="754">
        <f t="shared" si="129"/>
        <v>14035.2</v>
      </c>
      <c r="N3381" s="756">
        <v>45789.84</v>
      </c>
      <c r="O3381" s="720">
        <f t="shared" si="130"/>
        <v>0</v>
      </c>
    </row>
    <row r="3382" spans="1:15" x14ac:dyDescent="0.25">
      <c r="A3382" s="207" t="str">
        <f>VLOOKUP(RIGHT(E3382,3)+0,SchLocTable!$A$2:$B$47,2,FALSE)</f>
        <v>Waltersville</v>
      </c>
      <c r="B3382" s="207" t="str">
        <f>VLOOKUP(VALUE(D3382),$D$3:F$106,3,FALSE)</f>
        <v>Security</v>
      </c>
      <c r="C3382" s="751" t="s">
        <v>246</v>
      </c>
      <c r="D3382" s="751" t="s">
        <v>942</v>
      </c>
      <c r="E3382" s="751" t="s">
        <v>969</v>
      </c>
      <c r="F3382" s="751" t="s">
        <v>378</v>
      </c>
      <c r="G3382" s="752" t="s">
        <v>1681</v>
      </c>
      <c r="H3382" s="753">
        <v>51108</v>
      </c>
      <c r="I3382" s="754">
        <v>0</v>
      </c>
      <c r="J3382" s="754">
        <v>0</v>
      </c>
      <c r="K3382" s="754">
        <v>0</v>
      </c>
      <c r="L3382" s="754">
        <v>0</v>
      </c>
      <c r="M3382" s="754">
        <f t="shared" si="129"/>
        <v>0</v>
      </c>
      <c r="N3382" s="756">
        <v>0</v>
      </c>
      <c r="O3382" s="720">
        <f t="shared" si="130"/>
        <v>0</v>
      </c>
    </row>
    <row r="3383" spans="1:15" x14ac:dyDescent="0.25">
      <c r="A3383" s="207" t="str">
        <f>VLOOKUP(RIGHT(E3383,3)+0,SchLocTable!$A$2:$B$47,2,FALSE)</f>
        <v>Waltersville</v>
      </c>
      <c r="B3383" s="207" t="str">
        <f>VLOOKUP(VALUE(D3383),$D$3:F$106,3,FALSE)</f>
        <v>Security</v>
      </c>
      <c r="C3383" s="751" t="s">
        <v>246</v>
      </c>
      <c r="D3383" s="751" t="s">
        <v>942</v>
      </c>
      <c r="E3383" s="751" t="s">
        <v>969</v>
      </c>
      <c r="F3383" s="751" t="s">
        <v>380</v>
      </c>
      <c r="G3383" s="752" t="s">
        <v>1681</v>
      </c>
      <c r="H3383" s="753">
        <v>51122</v>
      </c>
      <c r="I3383" s="754">
        <v>0</v>
      </c>
      <c r="J3383" s="754">
        <v>0</v>
      </c>
      <c r="K3383" s="754">
        <v>0</v>
      </c>
      <c r="L3383" s="754">
        <v>0</v>
      </c>
      <c r="M3383" s="754">
        <f t="shared" si="129"/>
        <v>0</v>
      </c>
      <c r="N3383" s="756">
        <v>0</v>
      </c>
      <c r="O3383" s="720">
        <f t="shared" si="130"/>
        <v>0</v>
      </c>
    </row>
    <row r="3384" spans="1:15" x14ac:dyDescent="0.25">
      <c r="A3384" s="207" t="str">
        <f>VLOOKUP(RIGHT(E3384,3)+0,SchLocTable!$A$2:$B$47,2,FALSE)</f>
        <v>Waltersville</v>
      </c>
      <c r="B3384" s="207" t="str">
        <f>VLOOKUP(VALUE(D3384),$D$3:F$106,3,FALSE)</f>
        <v>Security</v>
      </c>
      <c r="C3384" s="751" t="s">
        <v>246</v>
      </c>
      <c r="D3384" s="751" t="s">
        <v>942</v>
      </c>
      <c r="E3384" s="751" t="s">
        <v>969</v>
      </c>
      <c r="F3384" s="751" t="s">
        <v>257</v>
      </c>
      <c r="G3384" s="752" t="s">
        <v>1681</v>
      </c>
      <c r="H3384" s="753">
        <v>51140</v>
      </c>
      <c r="I3384" s="754">
        <v>1275</v>
      </c>
      <c r="J3384" s="754">
        <v>0</v>
      </c>
      <c r="K3384" s="754">
        <v>0</v>
      </c>
      <c r="L3384" s="754">
        <v>1275</v>
      </c>
      <c r="M3384" s="754">
        <f t="shared" si="129"/>
        <v>1275</v>
      </c>
      <c r="N3384" s="756">
        <v>1275</v>
      </c>
      <c r="O3384" s="720">
        <f t="shared" si="130"/>
        <v>0</v>
      </c>
    </row>
    <row r="3385" spans="1:15" x14ac:dyDescent="0.25">
      <c r="A3385" s="207" t="str">
        <f>VLOOKUP(RIGHT(E3385,3)+0,SchLocTable!$A$2:$B$47,2,FALSE)</f>
        <v>Waltersville</v>
      </c>
      <c r="B3385" s="207" t="str">
        <f>VLOOKUP(VALUE(D3385),$D$3:F$106,3,FALSE)</f>
        <v>Security</v>
      </c>
      <c r="C3385" s="751" t="s">
        <v>246</v>
      </c>
      <c r="D3385" s="751" t="s">
        <v>942</v>
      </c>
      <c r="E3385" s="751" t="s">
        <v>969</v>
      </c>
      <c r="F3385" s="751" t="s">
        <v>254</v>
      </c>
      <c r="G3385" s="752" t="s">
        <v>1681</v>
      </c>
      <c r="H3385" s="753">
        <v>52360</v>
      </c>
      <c r="I3385" s="754">
        <v>642.45000000000005</v>
      </c>
      <c r="J3385" s="754">
        <v>0</v>
      </c>
      <c r="K3385" s="754">
        <v>0</v>
      </c>
      <c r="L3385" s="754">
        <v>182.01</v>
      </c>
      <c r="M3385" s="754">
        <f t="shared" si="129"/>
        <v>182.01</v>
      </c>
      <c r="N3385" s="756">
        <v>642.45000000000005</v>
      </c>
      <c r="O3385" s="720">
        <f t="shared" si="130"/>
        <v>0</v>
      </c>
    </row>
    <row r="3386" spans="1:15" x14ac:dyDescent="0.25">
      <c r="A3386" s="207" t="str">
        <f>VLOOKUP(RIGHT(E3386,3)+0,SchLocTable!$A$2:$B$47,2,FALSE)</f>
        <v>Waltersville</v>
      </c>
      <c r="B3386" s="207" t="str">
        <f>VLOOKUP(VALUE(D3386),$D$3:F$106,3,FALSE)</f>
        <v>Security</v>
      </c>
      <c r="C3386" s="751" t="s">
        <v>246</v>
      </c>
      <c r="D3386" s="751" t="s">
        <v>942</v>
      </c>
      <c r="E3386" s="751" t="s">
        <v>969</v>
      </c>
      <c r="F3386" s="751" t="s">
        <v>331</v>
      </c>
      <c r="G3386" s="752" t="s">
        <v>1681</v>
      </c>
      <c r="H3386" s="753">
        <v>52504</v>
      </c>
      <c r="I3386" s="754">
        <v>9690.7199999999993</v>
      </c>
      <c r="J3386" s="754">
        <v>0</v>
      </c>
      <c r="K3386" s="754">
        <v>0</v>
      </c>
      <c r="L3386" s="754">
        <v>3152.44</v>
      </c>
      <c r="M3386" s="754">
        <f t="shared" si="129"/>
        <v>3152.44</v>
      </c>
      <c r="N3386" s="756">
        <v>9690.7199999999993</v>
      </c>
      <c r="O3386" s="720">
        <f t="shared" si="130"/>
        <v>0</v>
      </c>
    </row>
    <row r="3387" spans="1:15" x14ac:dyDescent="0.25">
      <c r="A3387" s="207" t="str">
        <f>VLOOKUP(RIGHT(E3387,3)+0,SchLocTable!$A$2:$B$47,2,FALSE)</f>
        <v>Waltersville</v>
      </c>
      <c r="B3387" s="207" t="str">
        <f>VLOOKUP(VALUE(D3387),$D$3:F$106,3,FALSE)</f>
        <v>Security</v>
      </c>
      <c r="C3387" s="751" t="s">
        <v>246</v>
      </c>
      <c r="D3387" s="751" t="s">
        <v>942</v>
      </c>
      <c r="E3387" s="751" t="s">
        <v>969</v>
      </c>
      <c r="F3387" s="751" t="s">
        <v>259</v>
      </c>
      <c r="G3387" s="752" t="s">
        <v>1681</v>
      </c>
      <c r="H3387" s="753">
        <v>52917</v>
      </c>
      <c r="I3387" s="754">
        <v>28335.200000000001</v>
      </c>
      <c r="J3387" s="754">
        <v>0</v>
      </c>
      <c r="K3387" s="754">
        <v>0</v>
      </c>
      <c r="L3387" s="754">
        <v>8685.1200000000008</v>
      </c>
      <c r="M3387" s="754">
        <f t="shared" si="129"/>
        <v>8685.1200000000008</v>
      </c>
      <c r="N3387" s="756">
        <v>28335.200000000001</v>
      </c>
      <c r="O3387" s="720">
        <f t="shared" si="130"/>
        <v>0</v>
      </c>
    </row>
    <row r="3388" spans="1:15" x14ac:dyDescent="0.25">
      <c r="A3388" s="207" t="str">
        <f>VLOOKUP(RIGHT(E3388,3)+0,SchLocTable!$A$2:$B$47,2,FALSE)</f>
        <v>Claytor</v>
      </c>
      <c r="B3388" s="207" t="str">
        <f>VLOOKUP(VALUE(D3388),$D$3:F$106,3,FALSE)</f>
        <v>Security</v>
      </c>
      <c r="C3388" s="751" t="s">
        <v>246</v>
      </c>
      <c r="D3388" s="751" t="s">
        <v>942</v>
      </c>
      <c r="E3388" s="751" t="s">
        <v>970</v>
      </c>
      <c r="F3388" s="751" t="s">
        <v>248</v>
      </c>
      <c r="G3388" s="752">
        <v>1</v>
      </c>
      <c r="H3388" s="753">
        <v>51000</v>
      </c>
      <c r="I3388" s="754">
        <v>45789.84</v>
      </c>
      <c r="J3388" s="754">
        <v>0</v>
      </c>
      <c r="K3388" s="754">
        <v>0</v>
      </c>
      <c r="L3388" s="754">
        <v>14035.2</v>
      </c>
      <c r="M3388" s="754">
        <f t="shared" si="129"/>
        <v>14035.2</v>
      </c>
      <c r="N3388" s="756">
        <v>45789.84</v>
      </c>
      <c r="O3388" s="720">
        <f t="shared" si="130"/>
        <v>0</v>
      </c>
    </row>
    <row r="3389" spans="1:15" x14ac:dyDescent="0.25">
      <c r="A3389" s="207" t="str">
        <f>VLOOKUP(RIGHT(E3389,3)+0,SchLocTable!$A$2:$B$47,2,FALSE)</f>
        <v>Claytor</v>
      </c>
      <c r="B3389" s="207" t="str">
        <f>VLOOKUP(VALUE(D3389),$D$3:F$106,3,FALSE)</f>
        <v>Security</v>
      </c>
      <c r="C3389" s="751" t="s">
        <v>246</v>
      </c>
      <c r="D3389" s="751" t="s">
        <v>942</v>
      </c>
      <c r="E3389" s="751" t="s">
        <v>970</v>
      </c>
      <c r="F3389" s="751" t="s">
        <v>380</v>
      </c>
      <c r="G3389" s="752" t="s">
        <v>1681</v>
      </c>
      <c r="H3389" s="753">
        <v>51122</v>
      </c>
      <c r="I3389" s="754">
        <v>0</v>
      </c>
      <c r="J3389" s="754">
        <v>0</v>
      </c>
      <c r="K3389" s="754">
        <v>0</v>
      </c>
      <c r="L3389" s="754">
        <v>0</v>
      </c>
      <c r="M3389" s="754">
        <f t="shared" si="129"/>
        <v>0</v>
      </c>
      <c r="N3389" s="756">
        <v>0</v>
      </c>
      <c r="O3389" s="720">
        <f t="shared" si="130"/>
        <v>0</v>
      </c>
    </row>
    <row r="3390" spans="1:15" x14ac:dyDescent="0.25">
      <c r="A3390" s="207" t="str">
        <f>VLOOKUP(RIGHT(E3390,3)+0,SchLocTable!$A$2:$B$47,2,FALSE)</f>
        <v>Claytor</v>
      </c>
      <c r="B3390" s="207" t="str">
        <f>VLOOKUP(VALUE(D3390),$D$3:F$106,3,FALSE)</f>
        <v>Security</v>
      </c>
      <c r="C3390" s="751" t="s">
        <v>246</v>
      </c>
      <c r="D3390" s="751" t="s">
        <v>942</v>
      </c>
      <c r="E3390" s="751" t="s">
        <v>970</v>
      </c>
      <c r="F3390" s="751" t="s">
        <v>257</v>
      </c>
      <c r="G3390" s="752" t="s">
        <v>1681</v>
      </c>
      <c r="H3390" s="753">
        <v>51140</v>
      </c>
      <c r="I3390" s="754">
        <v>1800</v>
      </c>
      <c r="J3390" s="754">
        <v>0</v>
      </c>
      <c r="K3390" s="754">
        <v>0</v>
      </c>
      <c r="L3390" s="754">
        <v>1800</v>
      </c>
      <c r="M3390" s="754">
        <f t="shared" si="129"/>
        <v>1800</v>
      </c>
      <c r="N3390" s="756">
        <v>1800</v>
      </c>
      <c r="O3390" s="720">
        <f t="shared" si="130"/>
        <v>0</v>
      </c>
    </row>
    <row r="3391" spans="1:15" x14ac:dyDescent="0.25">
      <c r="A3391" s="207" t="str">
        <f>VLOOKUP(RIGHT(E3391,3)+0,SchLocTable!$A$2:$B$47,2,FALSE)</f>
        <v>Claytor</v>
      </c>
      <c r="B3391" s="207" t="str">
        <f>VLOOKUP(VALUE(D3391),$D$3:F$106,3,FALSE)</f>
        <v>Security</v>
      </c>
      <c r="C3391" s="751" t="s">
        <v>246</v>
      </c>
      <c r="D3391" s="751" t="s">
        <v>942</v>
      </c>
      <c r="E3391" s="751" t="s">
        <v>970</v>
      </c>
      <c r="F3391" s="751" t="s">
        <v>254</v>
      </c>
      <c r="G3391" s="752" t="s">
        <v>1681</v>
      </c>
      <c r="H3391" s="753">
        <v>52360</v>
      </c>
      <c r="I3391" s="754">
        <v>690.04</v>
      </c>
      <c r="J3391" s="754">
        <v>0</v>
      </c>
      <c r="K3391" s="754">
        <v>0</v>
      </c>
      <c r="L3391" s="754">
        <v>229.6</v>
      </c>
      <c r="M3391" s="754">
        <f t="shared" ref="M3391:M3454" si="131">SUM(J3391:L3391)</f>
        <v>229.6</v>
      </c>
      <c r="N3391" s="756">
        <v>690.04</v>
      </c>
      <c r="O3391" s="720">
        <f t="shared" ref="O3391:O3454" si="132">I3391-N3391</f>
        <v>0</v>
      </c>
    </row>
    <row r="3392" spans="1:15" x14ac:dyDescent="0.25">
      <c r="A3392" s="207" t="str">
        <f>VLOOKUP(RIGHT(E3392,3)+0,SchLocTable!$A$2:$B$47,2,FALSE)</f>
        <v>Claytor</v>
      </c>
      <c r="B3392" s="207" t="str">
        <f>VLOOKUP(VALUE(D3392),$D$3:F$106,3,FALSE)</f>
        <v>Security</v>
      </c>
      <c r="C3392" s="751" t="s">
        <v>246</v>
      </c>
      <c r="D3392" s="751" t="s">
        <v>942</v>
      </c>
      <c r="E3392" s="751" t="s">
        <v>970</v>
      </c>
      <c r="F3392" s="751" t="s">
        <v>331</v>
      </c>
      <c r="G3392" s="752" t="s">
        <v>1681</v>
      </c>
      <c r="H3392" s="753">
        <v>52504</v>
      </c>
      <c r="I3392" s="754">
        <v>9798.77</v>
      </c>
      <c r="J3392" s="754">
        <v>0</v>
      </c>
      <c r="K3392" s="754">
        <v>0</v>
      </c>
      <c r="L3392" s="754">
        <v>3260.49</v>
      </c>
      <c r="M3392" s="754">
        <f t="shared" si="131"/>
        <v>3260.49</v>
      </c>
      <c r="N3392" s="756">
        <v>9798.77</v>
      </c>
      <c r="O3392" s="720">
        <f t="shared" si="132"/>
        <v>0</v>
      </c>
    </row>
    <row r="3393" spans="1:15" x14ac:dyDescent="0.25">
      <c r="A3393" s="207" t="str">
        <f>VLOOKUP(RIGHT(E3393,3)+0,SchLocTable!$A$2:$B$47,2,FALSE)</f>
        <v>Claytor</v>
      </c>
      <c r="B3393" s="207" t="str">
        <f>VLOOKUP(VALUE(D3393),$D$3:F$106,3,FALSE)</f>
        <v>Security</v>
      </c>
      <c r="C3393" s="751" t="s">
        <v>246</v>
      </c>
      <c r="D3393" s="751" t="s">
        <v>942</v>
      </c>
      <c r="E3393" s="751" t="s">
        <v>970</v>
      </c>
      <c r="F3393" s="751" t="s">
        <v>259</v>
      </c>
      <c r="G3393" s="752" t="s">
        <v>1681</v>
      </c>
      <c r="H3393" s="753">
        <v>52917</v>
      </c>
      <c r="I3393" s="754">
        <v>11599.36</v>
      </c>
      <c r="J3393" s="754">
        <v>0</v>
      </c>
      <c r="K3393" s="754">
        <v>0</v>
      </c>
      <c r="L3393" s="754">
        <v>3555.36</v>
      </c>
      <c r="M3393" s="754">
        <f t="shared" si="131"/>
        <v>3555.36</v>
      </c>
      <c r="N3393" s="756">
        <v>11599.36</v>
      </c>
      <c r="O3393" s="720">
        <f t="shared" si="132"/>
        <v>0</v>
      </c>
    </row>
    <row r="3394" spans="1:15" x14ac:dyDescent="0.25">
      <c r="A3394" s="207" t="str">
        <f>VLOOKUP(RIGHT(E3394,3)+0,SchLocTable!$A$2:$B$47,2,FALSE)</f>
        <v>Claytor</v>
      </c>
      <c r="B3394" s="207" t="str">
        <f>VLOOKUP(VALUE(D3394),$D$3:F$106,3,FALSE)</f>
        <v>Security</v>
      </c>
      <c r="C3394" s="751" t="s">
        <v>246</v>
      </c>
      <c r="D3394" s="751" t="s">
        <v>942</v>
      </c>
      <c r="E3394" s="751" t="s">
        <v>970</v>
      </c>
      <c r="F3394" s="751" t="s">
        <v>333</v>
      </c>
      <c r="G3394" s="752" t="s">
        <v>1681</v>
      </c>
      <c r="H3394" s="753">
        <v>52920</v>
      </c>
      <c r="I3394" s="754">
        <v>2000</v>
      </c>
      <c r="J3394" s="754">
        <v>0</v>
      </c>
      <c r="K3394" s="754">
        <v>0</v>
      </c>
      <c r="L3394" s="754">
        <v>0</v>
      </c>
      <c r="M3394" s="754">
        <f t="shared" si="131"/>
        <v>0</v>
      </c>
      <c r="N3394" s="756">
        <v>2000</v>
      </c>
      <c r="O3394" s="720">
        <f t="shared" si="132"/>
        <v>0</v>
      </c>
    </row>
    <row r="3395" spans="1:15" x14ac:dyDescent="0.25">
      <c r="A3395" s="207" t="str">
        <f>VLOOKUP(RIGHT(E3395,3)+0,SchLocTable!$A$2:$B$47,2,FALSE)</f>
        <v>Johnson</v>
      </c>
      <c r="B3395" s="207" t="str">
        <f>VLOOKUP(VALUE(D3395),$D$3:F$106,3,FALSE)</f>
        <v>Security</v>
      </c>
      <c r="C3395" s="751" t="s">
        <v>246</v>
      </c>
      <c r="D3395" s="751" t="s">
        <v>942</v>
      </c>
      <c r="E3395" s="751" t="s">
        <v>971</v>
      </c>
      <c r="F3395" s="751" t="s">
        <v>248</v>
      </c>
      <c r="G3395" s="752">
        <v>1</v>
      </c>
      <c r="H3395" s="753">
        <v>51000</v>
      </c>
      <c r="I3395" s="754">
        <v>45789.84</v>
      </c>
      <c r="J3395" s="754">
        <v>0</v>
      </c>
      <c r="K3395" s="754">
        <v>0</v>
      </c>
      <c r="L3395" s="754">
        <v>14035.2</v>
      </c>
      <c r="M3395" s="754">
        <f t="shared" si="131"/>
        <v>14035.2</v>
      </c>
      <c r="N3395" s="756">
        <v>45789.84</v>
      </c>
      <c r="O3395" s="720">
        <f t="shared" si="132"/>
        <v>0</v>
      </c>
    </row>
    <row r="3396" spans="1:15" x14ac:dyDescent="0.25">
      <c r="A3396" s="207" t="str">
        <f>VLOOKUP(RIGHT(E3396,3)+0,SchLocTable!$A$2:$B$47,2,FALSE)</f>
        <v>Johnson</v>
      </c>
      <c r="B3396" s="207" t="str">
        <f>VLOOKUP(VALUE(D3396),$D$3:F$106,3,FALSE)</f>
        <v>Security</v>
      </c>
      <c r="C3396" s="751" t="s">
        <v>246</v>
      </c>
      <c r="D3396" s="751" t="s">
        <v>942</v>
      </c>
      <c r="E3396" s="751" t="s">
        <v>971</v>
      </c>
      <c r="F3396" s="751" t="s">
        <v>378</v>
      </c>
      <c r="G3396" s="752" t="s">
        <v>1681</v>
      </c>
      <c r="H3396" s="753">
        <v>51108</v>
      </c>
      <c r="I3396" s="754">
        <v>0</v>
      </c>
      <c r="J3396" s="754">
        <v>0</v>
      </c>
      <c r="K3396" s="754">
        <v>0</v>
      </c>
      <c r="L3396" s="754">
        <v>0</v>
      </c>
      <c r="M3396" s="754">
        <f t="shared" si="131"/>
        <v>0</v>
      </c>
      <c r="N3396" s="756">
        <v>0</v>
      </c>
      <c r="O3396" s="720">
        <f t="shared" si="132"/>
        <v>0</v>
      </c>
    </row>
    <row r="3397" spans="1:15" x14ac:dyDescent="0.25">
      <c r="A3397" s="207" t="str">
        <f>VLOOKUP(RIGHT(E3397,3)+0,SchLocTable!$A$2:$B$47,2,FALSE)</f>
        <v>Johnson</v>
      </c>
      <c r="B3397" s="207" t="str">
        <f>VLOOKUP(VALUE(D3397),$D$3:F$106,3,FALSE)</f>
        <v>Security</v>
      </c>
      <c r="C3397" s="751" t="s">
        <v>246</v>
      </c>
      <c r="D3397" s="751" t="s">
        <v>942</v>
      </c>
      <c r="E3397" s="751" t="s">
        <v>971</v>
      </c>
      <c r="F3397" s="751" t="s">
        <v>380</v>
      </c>
      <c r="G3397" s="752" t="s">
        <v>1681</v>
      </c>
      <c r="H3397" s="753">
        <v>51122</v>
      </c>
      <c r="I3397" s="754">
        <v>138.47999999999999</v>
      </c>
      <c r="J3397" s="754">
        <v>0</v>
      </c>
      <c r="K3397" s="754">
        <v>0</v>
      </c>
      <c r="L3397" s="754">
        <v>138.47999999999999</v>
      </c>
      <c r="M3397" s="754">
        <f t="shared" si="131"/>
        <v>138.47999999999999</v>
      </c>
      <c r="N3397" s="756">
        <v>138.47999999999999</v>
      </c>
      <c r="O3397" s="720">
        <f t="shared" si="132"/>
        <v>0</v>
      </c>
    </row>
    <row r="3398" spans="1:15" x14ac:dyDescent="0.25">
      <c r="A3398" s="207" t="str">
        <f>VLOOKUP(RIGHT(E3398,3)+0,SchLocTable!$A$2:$B$47,2,FALSE)</f>
        <v>Johnson</v>
      </c>
      <c r="B3398" s="207" t="str">
        <f>VLOOKUP(VALUE(D3398),$D$3:F$106,3,FALSE)</f>
        <v>Security</v>
      </c>
      <c r="C3398" s="751" t="s">
        <v>246</v>
      </c>
      <c r="D3398" s="751" t="s">
        <v>942</v>
      </c>
      <c r="E3398" s="751" t="s">
        <v>971</v>
      </c>
      <c r="F3398" s="751" t="s">
        <v>254</v>
      </c>
      <c r="G3398" s="752" t="s">
        <v>1681</v>
      </c>
      <c r="H3398" s="753">
        <v>52360</v>
      </c>
      <c r="I3398" s="754">
        <v>648.09</v>
      </c>
      <c r="J3398" s="754">
        <v>0</v>
      </c>
      <c r="K3398" s="754">
        <v>0</v>
      </c>
      <c r="L3398" s="754">
        <v>187.65</v>
      </c>
      <c r="M3398" s="754">
        <f t="shared" si="131"/>
        <v>187.65</v>
      </c>
      <c r="N3398" s="756">
        <v>648.09</v>
      </c>
      <c r="O3398" s="720">
        <f t="shared" si="132"/>
        <v>0</v>
      </c>
    </row>
    <row r="3399" spans="1:15" x14ac:dyDescent="0.25">
      <c r="A3399" s="207" t="str">
        <f>VLOOKUP(RIGHT(E3399,3)+0,SchLocTable!$A$2:$B$47,2,FALSE)</f>
        <v>Johnson</v>
      </c>
      <c r="B3399" s="207" t="str">
        <f>VLOOKUP(VALUE(D3399),$D$3:F$106,3,FALSE)</f>
        <v>Security</v>
      </c>
      <c r="C3399" s="751" t="s">
        <v>246</v>
      </c>
      <c r="D3399" s="751" t="s">
        <v>942</v>
      </c>
      <c r="E3399" s="751" t="s">
        <v>971</v>
      </c>
      <c r="F3399" s="751" t="s">
        <v>331</v>
      </c>
      <c r="G3399" s="752" t="s">
        <v>1681</v>
      </c>
      <c r="H3399" s="753">
        <v>52504</v>
      </c>
      <c r="I3399" s="754">
        <v>9456.7000000000007</v>
      </c>
      <c r="J3399" s="754">
        <v>0</v>
      </c>
      <c r="K3399" s="754">
        <v>0</v>
      </c>
      <c r="L3399" s="754">
        <v>2918.42</v>
      </c>
      <c r="M3399" s="754">
        <f t="shared" si="131"/>
        <v>2918.42</v>
      </c>
      <c r="N3399" s="756">
        <v>9456.7000000000007</v>
      </c>
      <c r="O3399" s="720">
        <f t="shared" si="132"/>
        <v>0</v>
      </c>
    </row>
    <row r="3400" spans="1:15" x14ac:dyDescent="0.25">
      <c r="A3400" s="207" t="str">
        <f>VLOOKUP(RIGHT(E3400,3)+0,SchLocTable!$A$2:$B$47,2,FALSE)</f>
        <v>Johnson</v>
      </c>
      <c r="B3400" s="207" t="str">
        <f>VLOOKUP(VALUE(D3400),$D$3:F$106,3,FALSE)</f>
        <v>Security</v>
      </c>
      <c r="C3400" s="751" t="s">
        <v>246</v>
      </c>
      <c r="D3400" s="751" t="s">
        <v>942</v>
      </c>
      <c r="E3400" s="751" t="s">
        <v>971</v>
      </c>
      <c r="F3400" s="751" t="s">
        <v>259</v>
      </c>
      <c r="G3400" s="752" t="s">
        <v>1681</v>
      </c>
      <c r="H3400" s="753">
        <v>52917</v>
      </c>
      <c r="I3400" s="754">
        <v>11722.55</v>
      </c>
      <c r="J3400" s="754">
        <v>0</v>
      </c>
      <c r="K3400" s="754">
        <v>0</v>
      </c>
      <c r="L3400" s="754">
        <v>3593.12</v>
      </c>
      <c r="M3400" s="754">
        <f t="shared" si="131"/>
        <v>3593.12</v>
      </c>
      <c r="N3400" s="756">
        <v>11722.55</v>
      </c>
      <c r="O3400" s="720">
        <f t="shared" si="132"/>
        <v>0</v>
      </c>
    </row>
    <row r="3401" spans="1:15" x14ac:dyDescent="0.25">
      <c r="A3401" s="207" t="str">
        <f>VLOOKUP(RIGHT(E3401,3)+0,SchLocTable!$A$2:$B$47,2,FALSE)</f>
        <v>Johnson</v>
      </c>
      <c r="B3401" s="207" t="str">
        <f>VLOOKUP(VALUE(D3401),$D$3:F$106,3,FALSE)</f>
        <v>Security</v>
      </c>
      <c r="C3401" s="751" t="s">
        <v>246</v>
      </c>
      <c r="D3401" s="751" t="s">
        <v>942</v>
      </c>
      <c r="E3401" s="751" t="s">
        <v>971</v>
      </c>
      <c r="F3401" s="751" t="s">
        <v>333</v>
      </c>
      <c r="G3401" s="752" t="s">
        <v>1681</v>
      </c>
      <c r="H3401" s="753">
        <v>52920</v>
      </c>
      <c r="I3401" s="754">
        <v>2000</v>
      </c>
      <c r="J3401" s="754">
        <v>0</v>
      </c>
      <c r="K3401" s="754">
        <v>0</v>
      </c>
      <c r="L3401" s="754">
        <v>0</v>
      </c>
      <c r="M3401" s="754">
        <f t="shared" si="131"/>
        <v>0</v>
      </c>
      <c r="N3401" s="756">
        <v>2000</v>
      </c>
      <c r="O3401" s="720">
        <f t="shared" si="132"/>
        <v>0</v>
      </c>
    </row>
    <row r="3402" spans="1:15" x14ac:dyDescent="0.25">
      <c r="A3402" s="207" t="str">
        <f>VLOOKUP(RIGHT(E3402,3)+0,SchLocTable!$A$2:$B$47,2,FALSE)</f>
        <v>Winthrop</v>
      </c>
      <c r="B3402" s="207" t="str">
        <f>VLOOKUP(VALUE(D3402),$D$3:F$106,3,FALSE)</f>
        <v>Security</v>
      </c>
      <c r="C3402" s="751" t="s">
        <v>246</v>
      </c>
      <c r="D3402" s="751" t="s">
        <v>942</v>
      </c>
      <c r="E3402" s="751" t="s">
        <v>972</v>
      </c>
      <c r="F3402" s="751" t="s">
        <v>248</v>
      </c>
      <c r="G3402" s="752">
        <v>1</v>
      </c>
      <c r="H3402" s="753">
        <v>51000</v>
      </c>
      <c r="I3402" s="754">
        <v>45702.12</v>
      </c>
      <c r="J3402" s="754">
        <v>0</v>
      </c>
      <c r="K3402" s="754">
        <v>0</v>
      </c>
      <c r="L3402" s="754">
        <v>13947.48</v>
      </c>
      <c r="M3402" s="754">
        <f t="shared" si="131"/>
        <v>13947.48</v>
      </c>
      <c r="N3402" s="756">
        <v>45702.12</v>
      </c>
      <c r="O3402" s="720">
        <f t="shared" si="132"/>
        <v>0</v>
      </c>
    </row>
    <row r="3403" spans="1:15" x14ac:dyDescent="0.25">
      <c r="A3403" s="207" t="str">
        <f>VLOOKUP(RIGHT(E3403,3)+0,SchLocTable!$A$2:$B$47,2,FALSE)</f>
        <v>Winthrop</v>
      </c>
      <c r="B3403" s="207" t="str">
        <f>VLOOKUP(VALUE(D3403),$D$3:F$106,3,FALSE)</f>
        <v>Security</v>
      </c>
      <c r="C3403" s="751" t="s">
        <v>246</v>
      </c>
      <c r="D3403" s="751" t="s">
        <v>942</v>
      </c>
      <c r="E3403" s="751" t="s">
        <v>972</v>
      </c>
      <c r="F3403" s="751" t="s">
        <v>257</v>
      </c>
      <c r="G3403" s="752" t="s">
        <v>1681</v>
      </c>
      <c r="H3403" s="753">
        <v>51140</v>
      </c>
      <c r="I3403" s="754">
        <v>1350</v>
      </c>
      <c r="J3403" s="754">
        <v>0</v>
      </c>
      <c r="K3403" s="754">
        <v>0</v>
      </c>
      <c r="L3403" s="754">
        <v>1350</v>
      </c>
      <c r="M3403" s="754">
        <f t="shared" si="131"/>
        <v>1350</v>
      </c>
      <c r="N3403" s="756">
        <v>1350</v>
      </c>
      <c r="O3403" s="720">
        <f t="shared" si="132"/>
        <v>0</v>
      </c>
    </row>
    <row r="3404" spans="1:15" x14ac:dyDescent="0.25">
      <c r="A3404" s="207" t="str">
        <f>VLOOKUP(RIGHT(E3404,3)+0,SchLocTable!$A$2:$B$47,2,FALSE)</f>
        <v>Winthrop</v>
      </c>
      <c r="B3404" s="207" t="str">
        <f>VLOOKUP(VALUE(D3404),$D$3:F$106,3,FALSE)</f>
        <v>Security</v>
      </c>
      <c r="C3404" s="755" t="s">
        <v>246</v>
      </c>
      <c r="D3404" s="751" t="s">
        <v>942</v>
      </c>
      <c r="E3404" s="751" t="s">
        <v>972</v>
      </c>
      <c r="F3404" s="751" t="s">
        <v>252</v>
      </c>
      <c r="G3404" s="752" t="s">
        <v>1681</v>
      </c>
      <c r="H3404" s="753">
        <v>51154</v>
      </c>
      <c r="I3404" s="754">
        <v>0</v>
      </c>
      <c r="J3404" s="754">
        <v>0</v>
      </c>
      <c r="K3404" s="754">
        <v>0</v>
      </c>
      <c r="L3404" s="754">
        <v>0</v>
      </c>
      <c r="M3404" s="754">
        <f t="shared" si="131"/>
        <v>0</v>
      </c>
      <c r="N3404" s="756">
        <v>0</v>
      </c>
      <c r="O3404" s="720">
        <f t="shared" si="132"/>
        <v>0</v>
      </c>
    </row>
    <row r="3405" spans="1:15" x14ac:dyDescent="0.25">
      <c r="A3405" s="207" t="str">
        <f>VLOOKUP(RIGHT(E3405,3)+0,SchLocTable!$A$2:$B$47,2,FALSE)</f>
        <v>Winthrop</v>
      </c>
      <c r="B3405" s="207" t="str">
        <f>VLOOKUP(VALUE(D3405),$D$3:F$106,3,FALSE)</f>
        <v>Security</v>
      </c>
      <c r="C3405" s="751" t="s">
        <v>246</v>
      </c>
      <c r="D3405" s="751" t="s">
        <v>942</v>
      </c>
      <c r="E3405" s="751" t="s">
        <v>972</v>
      </c>
      <c r="F3405" s="751" t="s">
        <v>326</v>
      </c>
      <c r="G3405" s="752" t="s">
        <v>1681</v>
      </c>
      <c r="H3405" s="753">
        <v>51314</v>
      </c>
      <c r="I3405" s="754">
        <v>0</v>
      </c>
      <c r="J3405" s="754">
        <v>0</v>
      </c>
      <c r="K3405" s="754">
        <v>0</v>
      </c>
      <c r="L3405" s="754">
        <v>0</v>
      </c>
      <c r="M3405" s="754">
        <f t="shared" si="131"/>
        <v>0</v>
      </c>
      <c r="N3405" s="756">
        <v>0</v>
      </c>
      <c r="O3405" s="720">
        <f t="shared" si="132"/>
        <v>0</v>
      </c>
    </row>
    <row r="3406" spans="1:15" x14ac:dyDescent="0.25">
      <c r="A3406" s="207" t="str">
        <f>VLOOKUP(RIGHT(E3406,3)+0,SchLocTable!$A$2:$B$47,2,FALSE)</f>
        <v>Winthrop</v>
      </c>
      <c r="B3406" s="207" t="str">
        <f>VLOOKUP(VALUE(D3406),$D$3:F$106,3,FALSE)</f>
        <v>Security</v>
      </c>
      <c r="C3406" s="751" t="s">
        <v>246</v>
      </c>
      <c r="D3406" s="751" t="s">
        <v>942</v>
      </c>
      <c r="E3406" s="751" t="s">
        <v>972</v>
      </c>
      <c r="F3406" s="751" t="s">
        <v>254</v>
      </c>
      <c r="G3406" s="752" t="s">
        <v>1681</v>
      </c>
      <c r="H3406" s="753">
        <v>52360</v>
      </c>
      <c r="I3406" s="754">
        <v>633.33000000000004</v>
      </c>
      <c r="J3406" s="754">
        <v>0</v>
      </c>
      <c r="K3406" s="754">
        <v>0</v>
      </c>
      <c r="L3406" s="754">
        <v>172.89</v>
      </c>
      <c r="M3406" s="754">
        <f t="shared" si="131"/>
        <v>172.89</v>
      </c>
      <c r="N3406" s="756">
        <v>633.33000000000004</v>
      </c>
      <c r="O3406" s="720">
        <f t="shared" si="132"/>
        <v>0</v>
      </c>
    </row>
    <row r="3407" spans="1:15" x14ac:dyDescent="0.25">
      <c r="A3407" s="207" t="str">
        <f>VLOOKUP(RIGHT(E3407,3)+0,SchLocTable!$A$2:$B$47,2,FALSE)</f>
        <v>Winthrop</v>
      </c>
      <c r="B3407" s="207" t="str">
        <f>VLOOKUP(VALUE(D3407),$D$3:F$106,3,FALSE)</f>
        <v>Security</v>
      </c>
      <c r="C3407" s="751" t="s">
        <v>246</v>
      </c>
      <c r="D3407" s="751" t="s">
        <v>942</v>
      </c>
      <c r="E3407" s="751" t="s">
        <v>972</v>
      </c>
      <c r="F3407" s="751" t="s">
        <v>331</v>
      </c>
      <c r="G3407" s="752" t="s">
        <v>1681</v>
      </c>
      <c r="H3407" s="753">
        <v>52504</v>
      </c>
      <c r="I3407" s="754">
        <v>9688.09</v>
      </c>
      <c r="J3407" s="754">
        <v>0</v>
      </c>
      <c r="K3407" s="754">
        <v>0</v>
      </c>
      <c r="L3407" s="754">
        <v>3149.81</v>
      </c>
      <c r="M3407" s="754">
        <f t="shared" si="131"/>
        <v>3149.81</v>
      </c>
      <c r="N3407" s="756">
        <v>9688.09</v>
      </c>
      <c r="O3407" s="720">
        <f t="shared" si="132"/>
        <v>0</v>
      </c>
    </row>
    <row r="3408" spans="1:15" x14ac:dyDescent="0.25">
      <c r="A3408" s="207" t="str">
        <f>VLOOKUP(RIGHT(E3408,3)+0,SchLocTable!$A$2:$B$47,2,FALSE)</f>
        <v>Winthrop</v>
      </c>
      <c r="B3408" s="207" t="str">
        <f>VLOOKUP(VALUE(D3408),$D$3:F$106,3,FALSE)</f>
        <v>Security</v>
      </c>
      <c r="C3408" s="751" t="s">
        <v>246</v>
      </c>
      <c r="D3408" s="751" t="s">
        <v>942</v>
      </c>
      <c r="E3408" s="751" t="s">
        <v>972</v>
      </c>
      <c r="F3408" s="751" t="s">
        <v>259</v>
      </c>
      <c r="G3408" s="752" t="s">
        <v>1681</v>
      </c>
      <c r="H3408" s="753">
        <v>52917</v>
      </c>
      <c r="I3408" s="754">
        <v>34357</v>
      </c>
      <c r="J3408" s="754">
        <v>0</v>
      </c>
      <c r="K3408" s="754">
        <v>0</v>
      </c>
      <c r="L3408" s="754">
        <v>10530.88</v>
      </c>
      <c r="M3408" s="754">
        <f t="shared" si="131"/>
        <v>10530.88</v>
      </c>
      <c r="N3408" s="756">
        <v>34357</v>
      </c>
      <c r="O3408" s="720">
        <f t="shared" si="132"/>
        <v>0</v>
      </c>
    </row>
    <row r="3409" spans="1:15" x14ac:dyDescent="0.25">
      <c r="A3409" s="207" t="str">
        <f>VLOOKUP(RIGHT(E3409,3)+0,SchLocTable!$A$2:$B$47,2,FALSE)</f>
        <v>Discovery</v>
      </c>
      <c r="B3409" s="207" t="str">
        <f>VLOOKUP(VALUE(D3409),$D$3:F$106,3,FALSE)</f>
        <v>Security</v>
      </c>
      <c r="C3409" s="751" t="s">
        <v>246</v>
      </c>
      <c r="D3409" s="751" t="s">
        <v>942</v>
      </c>
      <c r="E3409" s="751" t="s">
        <v>1406</v>
      </c>
      <c r="F3409" s="751" t="s">
        <v>248</v>
      </c>
      <c r="G3409" s="752">
        <v>1</v>
      </c>
      <c r="H3409" s="753">
        <v>51000</v>
      </c>
      <c r="I3409" s="754">
        <v>45784.72</v>
      </c>
      <c r="J3409" s="754">
        <v>0</v>
      </c>
      <c r="K3409" s="754">
        <v>0</v>
      </c>
      <c r="L3409" s="754">
        <v>14030.08</v>
      </c>
      <c r="M3409" s="754">
        <f t="shared" si="131"/>
        <v>14030.08</v>
      </c>
      <c r="N3409" s="756">
        <v>45784.72</v>
      </c>
      <c r="O3409" s="720">
        <f t="shared" si="132"/>
        <v>0</v>
      </c>
    </row>
    <row r="3410" spans="1:15" x14ac:dyDescent="0.25">
      <c r="A3410" s="207" t="str">
        <f>VLOOKUP(RIGHT(E3410,3)+0,SchLocTable!$A$2:$B$47,2,FALSE)</f>
        <v>Discovery</v>
      </c>
      <c r="B3410" s="207" t="str">
        <f>VLOOKUP(VALUE(D3410),$D$3:F$106,3,FALSE)</f>
        <v>Security</v>
      </c>
      <c r="C3410" s="755" t="s">
        <v>246</v>
      </c>
      <c r="D3410" s="751" t="s">
        <v>942</v>
      </c>
      <c r="E3410" s="751" t="s">
        <v>1406</v>
      </c>
      <c r="F3410" s="751" t="s">
        <v>380</v>
      </c>
      <c r="G3410" s="752" t="s">
        <v>1681</v>
      </c>
      <c r="H3410" s="753">
        <v>51122</v>
      </c>
      <c r="I3410" s="754">
        <v>0</v>
      </c>
      <c r="J3410" s="754">
        <v>0</v>
      </c>
      <c r="K3410" s="754">
        <v>0</v>
      </c>
      <c r="L3410" s="754">
        <v>0</v>
      </c>
      <c r="M3410" s="754">
        <f t="shared" si="131"/>
        <v>0</v>
      </c>
      <c r="N3410" s="756">
        <v>0</v>
      </c>
      <c r="O3410" s="720">
        <f t="shared" si="132"/>
        <v>0</v>
      </c>
    </row>
    <row r="3411" spans="1:15" x14ac:dyDescent="0.25">
      <c r="A3411" s="207" t="str">
        <f>VLOOKUP(RIGHT(E3411,3)+0,SchLocTable!$A$2:$B$47,2,FALSE)</f>
        <v>Discovery</v>
      </c>
      <c r="B3411" s="207" t="str">
        <f>VLOOKUP(VALUE(D3411),$D$3:F$106,3,FALSE)</f>
        <v>Security</v>
      </c>
      <c r="C3411" s="751" t="s">
        <v>246</v>
      </c>
      <c r="D3411" s="751" t="s">
        <v>942</v>
      </c>
      <c r="E3411" s="751" t="s">
        <v>1406</v>
      </c>
      <c r="F3411" s="751" t="s">
        <v>257</v>
      </c>
      <c r="G3411" s="752" t="s">
        <v>1681</v>
      </c>
      <c r="H3411" s="753">
        <v>51140</v>
      </c>
      <c r="I3411" s="754">
        <v>0</v>
      </c>
      <c r="J3411" s="754">
        <v>0</v>
      </c>
      <c r="K3411" s="754">
        <v>0</v>
      </c>
      <c r="L3411" s="754">
        <v>0</v>
      </c>
      <c r="M3411" s="754">
        <f t="shared" si="131"/>
        <v>0</v>
      </c>
      <c r="N3411" s="756">
        <v>0</v>
      </c>
      <c r="O3411" s="720">
        <f t="shared" si="132"/>
        <v>0</v>
      </c>
    </row>
    <row r="3412" spans="1:15" x14ac:dyDescent="0.25">
      <c r="A3412" s="207" t="str">
        <f>VLOOKUP(RIGHT(E3412,3)+0,SchLocTable!$A$2:$B$47,2,FALSE)</f>
        <v>Discovery</v>
      </c>
      <c r="B3412" s="207" t="str">
        <f>VLOOKUP(VALUE(D3412),$D$3:F$106,3,FALSE)</f>
        <v>Security</v>
      </c>
      <c r="C3412" s="755" t="s">
        <v>246</v>
      </c>
      <c r="D3412" s="751" t="s">
        <v>942</v>
      </c>
      <c r="E3412" s="751" t="s">
        <v>1406</v>
      </c>
      <c r="F3412" s="751" t="s">
        <v>254</v>
      </c>
      <c r="G3412" s="752" t="s">
        <v>1681</v>
      </c>
      <c r="H3412" s="753">
        <v>52360</v>
      </c>
      <c r="I3412" s="754">
        <v>646.03</v>
      </c>
      <c r="J3412" s="754">
        <v>0</v>
      </c>
      <c r="K3412" s="754">
        <v>0</v>
      </c>
      <c r="L3412" s="754">
        <v>185.59</v>
      </c>
      <c r="M3412" s="754">
        <f t="shared" si="131"/>
        <v>185.59</v>
      </c>
      <c r="N3412" s="756">
        <v>646.03</v>
      </c>
      <c r="O3412" s="720">
        <f t="shared" si="132"/>
        <v>0</v>
      </c>
    </row>
    <row r="3413" spans="1:15" x14ac:dyDescent="0.25">
      <c r="A3413" s="207" t="str">
        <f>VLOOKUP(RIGHT(E3413,3)+0,SchLocTable!$A$2:$B$47,2,FALSE)</f>
        <v>Discovery</v>
      </c>
      <c r="B3413" s="207" t="str">
        <f>VLOOKUP(VALUE(D3413),$D$3:F$106,3,FALSE)</f>
        <v>Security</v>
      </c>
      <c r="C3413" s="751" t="s">
        <v>246</v>
      </c>
      <c r="D3413" s="751" t="s">
        <v>942</v>
      </c>
      <c r="E3413" s="751" t="s">
        <v>1406</v>
      </c>
      <c r="F3413" s="751" t="s">
        <v>331</v>
      </c>
      <c r="G3413" s="752" t="s">
        <v>1681</v>
      </c>
      <c r="H3413" s="753">
        <v>52504</v>
      </c>
      <c r="I3413" s="754">
        <v>9427.1299999999992</v>
      </c>
      <c r="J3413" s="754">
        <v>0</v>
      </c>
      <c r="K3413" s="754">
        <v>0</v>
      </c>
      <c r="L3413" s="754">
        <v>2888.85</v>
      </c>
      <c r="M3413" s="754">
        <f t="shared" si="131"/>
        <v>2888.85</v>
      </c>
      <c r="N3413" s="756">
        <v>9427.1299999999992</v>
      </c>
      <c r="O3413" s="720">
        <f t="shared" si="132"/>
        <v>0</v>
      </c>
    </row>
    <row r="3414" spans="1:15" x14ac:dyDescent="0.25">
      <c r="A3414" s="207" t="str">
        <f>VLOOKUP(RIGHT(E3414,3)+0,SchLocTable!$A$2:$B$47,2,FALSE)</f>
        <v>Discovery</v>
      </c>
      <c r="B3414" s="207" t="str">
        <f>VLOOKUP(VALUE(D3414),$D$3:F$106,3,FALSE)</f>
        <v>Security</v>
      </c>
      <c r="C3414" s="751" t="s">
        <v>246</v>
      </c>
      <c r="D3414" s="751" t="s">
        <v>942</v>
      </c>
      <c r="E3414" s="751" t="s">
        <v>1406</v>
      </c>
      <c r="F3414" s="751" t="s">
        <v>259</v>
      </c>
      <c r="G3414" s="752" t="s">
        <v>1681</v>
      </c>
      <c r="H3414" s="753">
        <v>52917</v>
      </c>
      <c r="I3414" s="754">
        <v>11301.82</v>
      </c>
      <c r="J3414" s="754">
        <v>0</v>
      </c>
      <c r="K3414" s="754">
        <v>0</v>
      </c>
      <c r="L3414" s="754">
        <v>3464.16</v>
      </c>
      <c r="M3414" s="754">
        <f t="shared" si="131"/>
        <v>3464.16</v>
      </c>
      <c r="N3414" s="756">
        <v>11301.82</v>
      </c>
      <c r="O3414" s="720">
        <f t="shared" si="132"/>
        <v>0</v>
      </c>
    </row>
    <row r="3415" spans="1:15" x14ac:dyDescent="0.25">
      <c r="A3415" s="207" t="str">
        <f>VLOOKUP(RIGHT(E3415,3)+0,SchLocTable!$A$2:$B$47,2,FALSE)</f>
        <v>Discovery</v>
      </c>
      <c r="B3415" s="207" t="str">
        <f>VLOOKUP(VALUE(D3415),$D$3:F$106,3,FALSE)</f>
        <v>Security</v>
      </c>
      <c r="C3415" s="751" t="s">
        <v>246</v>
      </c>
      <c r="D3415" s="751" t="s">
        <v>942</v>
      </c>
      <c r="E3415" s="751" t="s">
        <v>1406</v>
      </c>
      <c r="F3415" s="751" t="s">
        <v>333</v>
      </c>
      <c r="G3415" s="752" t="s">
        <v>1681</v>
      </c>
      <c r="H3415" s="753">
        <v>52920</v>
      </c>
      <c r="I3415" s="754">
        <v>2000</v>
      </c>
      <c r="J3415" s="754">
        <v>0</v>
      </c>
      <c r="K3415" s="754">
        <v>0</v>
      </c>
      <c r="L3415" s="754">
        <v>0</v>
      </c>
      <c r="M3415" s="754">
        <f t="shared" si="131"/>
        <v>0</v>
      </c>
      <c r="N3415" s="756">
        <v>2000</v>
      </c>
      <c r="O3415" s="720">
        <f t="shared" si="132"/>
        <v>0</v>
      </c>
    </row>
    <row r="3416" spans="1:15" x14ac:dyDescent="0.25">
      <c r="A3416" s="207" t="str">
        <f>VLOOKUP(RIGHT(E3416,3)+0,SchLocTable!$A$2:$B$47,2,FALSE)</f>
        <v>Cross</v>
      </c>
      <c r="B3416" s="207" t="str">
        <f>VLOOKUP(VALUE(D3416),$D$3:F$106,3,FALSE)</f>
        <v>Security</v>
      </c>
      <c r="C3416" s="751" t="s">
        <v>246</v>
      </c>
      <c r="D3416" s="751" t="s">
        <v>942</v>
      </c>
      <c r="E3416" s="751" t="s">
        <v>973</v>
      </c>
      <c r="F3416" s="751" t="s">
        <v>248</v>
      </c>
      <c r="G3416" s="752">
        <v>1</v>
      </c>
      <c r="H3416" s="753">
        <v>51000</v>
      </c>
      <c r="I3416" s="754">
        <v>45702.12</v>
      </c>
      <c r="J3416" s="754">
        <v>0</v>
      </c>
      <c r="K3416" s="754">
        <v>0</v>
      </c>
      <c r="L3416" s="754">
        <v>13947.48</v>
      </c>
      <c r="M3416" s="754">
        <f t="shared" si="131"/>
        <v>13947.48</v>
      </c>
      <c r="N3416" s="756">
        <v>45702.12</v>
      </c>
      <c r="O3416" s="720">
        <f t="shared" si="132"/>
        <v>0</v>
      </c>
    </row>
    <row r="3417" spans="1:15" x14ac:dyDescent="0.25">
      <c r="A3417" s="207" t="str">
        <f>VLOOKUP(RIGHT(E3417,3)+0,SchLocTable!$A$2:$B$47,2,FALSE)</f>
        <v>Cross</v>
      </c>
      <c r="B3417" s="207" t="str">
        <f>VLOOKUP(VALUE(D3417),$D$3:F$106,3,FALSE)</f>
        <v>Security</v>
      </c>
      <c r="C3417" s="755" t="s">
        <v>246</v>
      </c>
      <c r="D3417" s="751" t="s">
        <v>942</v>
      </c>
      <c r="E3417" s="751" t="s">
        <v>973</v>
      </c>
      <c r="F3417" s="751" t="s">
        <v>378</v>
      </c>
      <c r="G3417" s="752" t="s">
        <v>1681</v>
      </c>
      <c r="H3417" s="753">
        <v>51108</v>
      </c>
      <c r="I3417" s="754">
        <v>0</v>
      </c>
      <c r="J3417" s="754">
        <v>0</v>
      </c>
      <c r="K3417" s="754">
        <v>0</v>
      </c>
      <c r="L3417" s="754">
        <v>0</v>
      </c>
      <c r="M3417" s="754">
        <f t="shared" si="131"/>
        <v>0</v>
      </c>
      <c r="N3417" s="756">
        <v>0</v>
      </c>
      <c r="O3417" s="720">
        <f t="shared" si="132"/>
        <v>0</v>
      </c>
    </row>
    <row r="3418" spans="1:15" x14ac:dyDescent="0.25">
      <c r="A3418" s="207" t="str">
        <f>VLOOKUP(RIGHT(E3418,3)+0,SchLocTable!$A$2:$B$47,2,FALSE)</f>
        <v>Cross</v>
      </c>
      <c r="B3418" s="207" t="str">
        <f>VLOOKUP(VALUE(D3418),$D$3:F$106,3,FALSE)</f>
        <v>Security</v>
      </c>
      <c r="C3418" s="755" t="s">
        <v>246</v>
      </c>
      <c r="D3418" s="751" t="s">
        <v>942</v>
      </c>
      <c r="E3418" s="751" t="s">
        <v>973</v>
      </c>
      <c r="F3418" s="751" t="s">
        <v>380</v>
      </c>
      <c r="G3418" s="752" t="s">
        <v>1681</v>
      </c>
      <c r="H3418" s="753">
        <v>51122</v>
      </c>
      <c r="I3418" s="754">
        <v>0</v>
      </c>
      <c r="J3418" s="754">
        <v>0</v>
      </c>
      <c r="K3418" s="754">
        <v>0</v>
      </c>
      <c r="L3418" s="754">
        <v>0</v>
      </c>
      <c r="M3418" s="754">
        <f t="shared" si="131"/>
        <v>0</v>
      </c>
      <c r="N3418" s="756">
        <v>0</v>
      </c>
      <c r="O3418" s="720">
        <f t="shared" si="132"/>
        <v>0</v>
      </c>
    </row>
    <row r="3419" spans="1:15" x14ac:dyDescent="0.25">
      <c r="A3419" s="207" t="str">
        <f>VLOOKUP(RIGHT(E3419,3)+0,SchLocTable!$A$2:$B$47,2,FALSE)</f>
        <v>Cross</v>
      </c>
      <c r="B3419" s="207" t="str">
        <f>VLOOKUP(VALUE(D3419),$D$3:F$106,3,FALSE)</f>
        <v>Security</v>
      </c>
      <c r="C3419" s="751" t="s">
        <v>246</v>
      </c>
      <c r="D3419" s="751" t="s">
        <v>942</v>
      </c>
      <c r="E3419" s="751" t="s">
        <v>973</v>
      </c>
      <c r="F3419" s="751" t="s">
        <v>254</v>
      </c>
      <c r="G3419" s="752" t="s">
        <v>1681</v>
      </c>
      <c r="H3419" s="753">
        <v>52360</v>
      </c>
      <c r="I3419" s="754">
        <v>640.49</v>
      </c>
      <c r="J3419" s="754">
        <v>0</v>
      </c>
      <c r="K3419" s="754">
        <v>0</v>
      </c>
      <c r="L3419" s="754">
        <v>180.05</v>
      </c>
      <c r="M3419" s="754">
        <f t="shared" si="131"/>
        <v>180.05</v>
      </c>
      <c r="N3419" s="756">
        <v>640.49</v>
      </c>
      <c r="O3419" s="720">
        <f t="shared" si="132"/>
        <v>0</v>
      </c>
    </row>
    <row r="3420" spans="1:15" x14ac:dyDescent="0.25">
      <c r="A3420" s="207" t="str">
        <f>VLOOKUP(RIGHT(E3420,3)+0,SchLocTable!$A$2:$B$47,2,FALSE)</f>
        <v>Cross</v>
      </c>
      <c r="B3420" s="207" t="str">
        <f>VLOOKUP(VALUE(D3420),$D$3:F$106,3,FALSE)</f>
        <v>Security</v>
      </c>
      <c r="C3420" s="751" t="s">
        <v>246</v>
      </c>
      <c r="D3420" s="751" t="s">
        <v>942</v>
      </c>
      <c r="E3420" s="751" t="s">
        <v>973</v>
      </c>
      <c r="F3420" s="751" t="s">
        <v>292</v>
      </c>
      <c r="G3420" s="752" t="s">
        <v>1681</v>
      </c>
      <c r="H3420" s="753">
        <v>52385</v>
      </c>
      <c r="I3420" s="754">
        <v>0</v>
      </c>
      <c r="J3420" s="754">
        <v>0</v>
      </c>
      <c r="K3420" s="754">
        <v>0</v>
      </c>
      <c r="L3420" s="754">
        <v>0</v>
      </c>
      <c r="M3420" s="754">
        <f t="shared" si="131"/>
        <v>0</v>
      </c>
      <c r="N3420" s="756">
        <v>0</v>
      </c>
      <c r="O3420" s="720">
        <f t="shared" si="132"/>
        <v>0</v>
      </c>
    </row>
    <row r="3421" spans="1:15" x14ac:dyDescent="0.25">
      <c r="A3421" s="207" t="str">
        <f>VLOOKUP(RIGHT(E3421,3)+0,SchLocTable!$A$2:$B$47,2,FALSE)</f>
        <v>Cross</v>
      </c>
      <c r="B3421" s="207" t="str">
        <f>VLOOKUP(VALUE(D3421),$D$3:F$106,3,FALSE)</f>
        <v>Security</v>
      </c>
      <c r="C3421" s="751" t="s">
        <v>246</v>
      </c>
      <c r="D3421" s="751" t="s">
        <v>942</v>
      </c>
      <c r="E3421" s="751" t="s">
        <v>973</v>
      </c>
      <c r="F3421" s="751" t="s">
        <v>331</v>
      </c>
      <c r="G3421" s="752" t="s">
        <v>1681</v>
      </c>
      <c r="H3421" s="753">
        <v>52504</v>
      </c>
      <c r="I3421" s="754">
        <v>9410.1299999999992</v>
      </c>
      <c r="J3421" s="754">
        <v>0</v>
      </c>
      <c r="K3421" s="754">
        <v>0</v>
      </c>
      <c r="L3421" s="754">
        <v>2871.85</v>
      </c>
      <c r="M3421" s="754">
        <f t="shared" si="131"/>
        <v>2871.85</v>
      </c>
      <c r="N3421" s="756">
        <v>9410.1299999999992</v>
      </c>
      <c r="O3421" s="720">
        <f t="shared" si="132"/>
        <v>0</v>
      </c>
    </row>
    <row r="3422" spans="1:15" x14ac:dyDescent="0.25">
      <c r="A3422" s="207" t="str">
        <f>VLOOKUP(RIGHT(E3422,3)+0,SchLocTable!$A$2:$B$47,2,FALSE)</f>
        <v>Cross</v>
      </c>
      <c r="B3422" s="207" t="str">
        <f>VLOOKUP(VALUE(D3422),$D$3:F$106,3,FALSE)</f>
        <v>Security</v>
      </c>
      <c r="C3422" s="751" t="s">
        <v>246</v>
      </c>
      <c r="D3422" s="751" t="s">
        <v>942</v>
      </c>
      <c r="E3422" s="751" t="s">
        <v>973</v>
      </c>
      <c r="F3422" s="751" t="s">
        <v>259</v>
      </c>
      <c r="G3422" s="752" t="s">
        <v>1681</v>
      </c>
      <c r="H3422" s="753">
        <v>52917</v>
      </c>
      <c r="I3422" s="754">
        <v>11749.7</v>
      </c>
      <c r="J3422" s="754">
        <v>0</v>
      </c>
      <c r="K3422" s="754">
        <v>0</v>
      </c>
      <c r="L3422" s="754">
        <v>3601.44</v>
      </c>
      <c r="M3422" s="754">
        <f t="shared" si="131"/>
        <v>3601.44</v>
      </c>
      <c r="N3422" s="756">
        <v>11749.7</v>
      </c>
      <c r="O3422" s="720">
        <f t="shared" si="132"/>
        <v>0</v>
      </c>
    </row>
    <row r="3423" spans="1:15" x14ac:dyDescent="0.25">
      <c r="A3423" s="207" t="str">
        <f>VLOOKUP(RIGHT(E3423,3)+0,SchLocTable!$A$2:$B$47,2,FALSE)</f>
        <v>Blackham</v>
      </c>
      <c r="B3423" s="207" t="str">
        <f>VLOOKUP(VALUE(D3423),$D$3:F$106,3,FALSE)</f>
        <v>Security</v>
      </c>
      <c r="C3423" s="751" t="s">
        <v>246</v>
      </c>
      <c r="D3423" s="751" t="s">
        <v>942</v>
      </c>
      <c r="E3423" s="751" t="s">
        <v>974</v>
      </c>
      <c r="F3423" s="751" t="s">
        <v>248</v>
      </c>
      <c r="G3423" s="752">
        <v>2</v>
      </c>
      <c r="H3423" s="753">
        <v>51000</v>
      </c>
      <c r="I3423" s="754">
        <v>89277.92</v>
      </c>
      <c r="J3423" s="754">
        <v>0</v>
      </c>
      <c r="K3423" s="754">
        <v>0</v>
      </c>
      <c r="L3423" s="754">
        <v>27361.439999999999</v>
      </c>
      <c r="M3423" s="754">
        <f t="shared" si="131"/>
        <v>27361.439999999999</v>
      </c>
      <c r="N3423" s="756">
        <v>89277.92</v>
      </c>
      <c r="O3423" s="720">
        <f t="shared" si="132"/>
        <v>0</v>
      </c>
    </row>
    <row r="3424" spans="1:15" x14ac:dyDescent="0.25">
      <c r="A3424" s="207" t="str">
        <f>VLOOKUP(RIGHT(E3424,3)+0,SchLocTable!$A$2:$B$47,2,FALSE)</f>
        <v>Blackham</v>
      </c>
      <c r="B3424" s="207" t="str">
        <f>VLOOKUP(VALUE(D3424),$D$3:F$106,3,FALSE)</f>
        <v>Security</v>
      </c>
      <c r="C3424" s="751" t="s">
        <v>246</v>
      </c>
      <c r="D3424" s="751" t="s">
        <v>942</v>
      </c>
      <c r="E3424" s="751" t="s">
        <v>974</v>
      </c>
      <c r="F3424" s="751" t="s">
        <v>380</v>
      </c>
      <c r="G3424" s="752" t="s">
        <v>1681</v>
      </c>
      <c r="H3424" s="751">
        <v>51122</v>
      </c>
      <c r="I3424" s="754">
        <v>0</v>
      </c>
      <c r="J3424" s="754">
        <v>0</v>
      </c>
      <c r="K3424" s="754">
        <v>0</v>
      </c>
      <c r="L3424" s="754">
        <v>0</v>
      </c>
      <c r="M3424" s="754">
        <f t="shared" si="131"/>
        <v>0</v>
      </c>
      <c r="N3424" s="756">
        <v>0</v>
      </c>
      <c r="O3424" s="720">
        <f t="shared" si="132"/>
        <v>0</v>
      </c>
    </row>
    <row r="3425" spans="1:15" x14ac:dyDescent="0.25">
      <c r="A3425" s="207" t="str">
        <f>VLOOKUP(RIGHT(E3425,3)+0,SchLocTable!$A$2:$B$47,2,FALSE)</f>
        <v>Blackham</v>
      </c>
      <c r="B3425" s="207" t="str">
        <f>VLOOKUP(VALUE(D3425),$D$3:F$106,3,FALSE)</f>
        <v>Security</v>
      </c>
      <c r="C3425" s="751" t="s">
        <v>246</v>
      </c>
      <c r="D3425" s="751" t="s">
        <v>942</v>
      </c>
      <c r="E3425" s="751" t="s">
        <v>974</v>
      </c>
      <c r="F3425" s="751" t="s">
        <v>257</v>
      </c>
      <c r="G3425" s="752" t="s">
        <v>1681</v>
      </c>
      <c r="H3425" s="753">
        <v>51140</v>
      </c>
      <c r="I3425" s="754">
        <v>1031.25</v>
      </c>
      <c r="J3425" s="754">
        <v>0</v>
      </c>
      <c r="K3425" s="754">
        <v>0</v>
      </c>
      <c r="L3425" s="754">
        <v>0</v>
      </c>
      <c r="M3425" s="754">
        <f t="shared" si="131"/>
        <v>0</v>
      </c>
      <c r="N3425" s="756">
        <v>1031.25</v>
      </c>
      <c r="O3425" s="720">
        <f t="shared" si="132"/>
        <v>0</v>
      </c>
    </row>
    <row r="3426" spans="1:15" x14ac:dyDescent="0.25">
      <c r="A3426" s="207" t="str">
        <f>VLOOKUP(RIGHT(E3426,3)+0,SchLocTable!$A$2:$B$47,2,FALSE)</f>
        <v>Blackham</v>
      </c>
      <c r="B3426" s="207" t="str">
        <f>VLOOKUP(VALUE(D3426),$D$3:F$106,3,FALSE)</f>
        <v>Security</v>
      </c>
      <c r="C3426" s="751" t="s">
        <v>246</v>
      </c>
      <c r="D3426" s="751" t="s">
        <v>942</v>
      </c>
      <c r="E3426" s="751" t="s">
        <v>974</v>
      </c>
      <c r="F3426" s="751" t="s">
        <v>252</v>
      </c>
      <c r="G3426" s="752" t="s">
        <v>1681</v>
      </c>
      <c r="H3426" s="753">
        <v>51154</v>
      </c>
      <c r="I3426" s="754">
        <v>0</v>
      </c>
      <c r="J3426" s="754">
        <v>0</v>
      </c>
      <c r="K3426" s="754">
        <v>0</v>
      </c>
      <c r="L3426" s="754">
        <v>0</v>
      </c>
      <c r="M3426" s="754">
        <f t="shared" si="131"/>
        <v>0</v>
      </c>
      <c r="N3426" s="756">
        <v>0</v>
      </c>
      <c r="O3426" s="720">
        <f t="shared" si="132"/>
        <v>0</v>
      </c>
    </row>
    <row r="3427" spans="1:15" x14ac:dyDescent="0.25">
      <c r="A3427" s="207" t="str">
        <f>VLOOKUP(RIGHT(E3427,3)+0,SchLocTable!$A$2:$B$47,2,FALSE)</f>
        <v>Blackham</v>
      </c>
      <c r="B3427" s="207" t="str">
        <f>VLOOKUP(VALUE(D3427),$D$3:F$106,3,FALSE)</f>
        <v>Security</v>
      </c>
      <c r="C3427" s="751" t="s">
        <v>246</v>
      </c>
      <c r="D3427" s="751" t="s">
        <v>942</v>
      </c>
      <c r="E3427" s="751" t="s">
        <v>974</v>
      </c>
      <c r="F3427" s="751" t="s">
        <v>326</v>
      </c>
      <c r="G3427" s="752" t="s">
        <v>1681</v>
      </c>
      <c r="H3427" s="753">
        <v>51314</v>
      </c>
      <c r="I3427" s="754">
        <v>0</v>
      </c>
      <c r="J3427" s="754">
        <v>0</v>
      </c>
      <c r="K3427" s="754">
        <v>0</v>
      </c>
      <c r="L3427" s="754">
        <v>0</v>
      </c>
      <c r="M3427" s="754">
        <f t="shared" si="131"/>
        <v>0</v>
      </c>
      <c r="N3427" s="756">
        <v>0</v>
      </c>
      <c r="O3427" s="720">
        <f t="shared" si="132"/>
        <v>0</v>
      </c>
    </row>
    <row r="3428" spans="1:15" x14ac:dyDescent="0.25">
      <c r="A3428" s="207" t="str">
        <f>VLOOKUP(RIGHT(E3428,3)+0,SchLocTable!$A$2:$B$47,2,FALSE)</f>
        <v>Blackham</v>
      </c>
      <c r="B3428" s="207" t="str">
        <f>VLOOKUP(VALUE(D3428),$D$3:F$106,3,FALSE)</f>
        <v>Security</v>
      </c>
      <c r="C3428" s="751" t="s">
        <v>246</v>
      </c>
      <c r="D3428" s="755" t="s">
        <v>942</v>
      </c>
      <c r="E3428" s="751" t="s">
        <v>974</v>
      </c>
      <c r="F3428" s="751" t="s">
        <v>254</v>
      </c>
      <c r="G3428" s="752" t="s">
        <v>1681</v>
      </c>
      <c r="H3428" s="753">
        <v>52360</v>
      </c>
      <c r="I3428" s="754">
        <v>1294.52</v>
      </c>
      <c r="J3428" s="754">
        <v>0</v>
      </c>
      <c r="K3428" s="754">
        <v>0</v>
      </c>
      <c r="L3428" s="754">
        <v>396.73</v>
      </c>
      <c r="M3428" s="754">
        <f t="shared" si="131"/>
        <v>396.73</v>
      </c>
      <c r="N3428" s="756">
        <v>1294.52</v>
      </c>
      <c r="O3428" s="720">
        <f t="shared" si="132"/>
        <v>0</v>
      </c>
    </row>
    <row r="3429" spans="1:15" x14ac:dyDescent="0.25">
      <c r="A3429" s="207" t="str">
        <f>VLOOKUP(RIGHT(E3429,3)+0,SchLocTable!$A$2:$B$47,2,FALSE)</f>
        <v>Blackham</v>
      </c>
      <c r="B3429" s="207" t="str">
        <f>VLOOKUP(VALUE(D3429),$D$3:F$106,3,FALSE)</f>
        <v>Security</v>
      </c>
      <c r="C3429" s="751" t="s">
        <v>246</v>
      </c>
      <c r="D3429" s="751" t="s">
        <v>942</v>
      </c>
      <c r="E3429" s="751" t="s">
        <v>974</v>
      </c>
      <c r="F3429" s="751" t="s">
        <v>292</v>
      </c>
      <c r="G3429" s="752" t="s">
        <v>1681</v>
      </c>
      <c r="H3429" s="753">
        <v>52385</v>
      </c>
      <c r="I3429" s="754">
        <v>0</v>
      </c>
      <c r="J3429" s="754">
        <v>0</v>
      </c>
      <c r="K3429" s="754">
        <v>0</v>
      </c>
      <c r="L3429" s="754">
        <v>0</v>
      </c>
      <c r="M3429" s="754">
        <f t="shared" si="131"/>
        <v>0</v>
      </c>
      <c r="N3429" s="756">
        <v>0</v>
      </c>
      <c r="O3429" s="720">
        <f t="shared" si="132"/>
        <v>0</v>
      </c>
    </row>
    <row r="3430" spans="1:15" x14ac:dyDescent="0.25">
      <c r="A3430" s="207" t="str">
        <f>VLOOKUP(RIGHT(E3430,3)+0,SchLocTable!$A$2:$B$47,2,FALSE)</f>
        <v>Blackham</v>
      </c>
      <c r="B3430" s="207" t="str">
        <f>VLOOKUP(VALUE(D3430),$D$3:F$106,3,FALSE)</f>
        <v>Security</v>
      </c>
      <c r="C3430" s="751" t="s">
        <v>246</v>
      </c>
      <c r="D3430" s="751" t="s">
        <v>942</v>
      </c>
      <c r="E3430" s="751" t="s">
        <v>974</v>
      </c>
      <c r="F3430" s="751" t="s">
        <v>331</v>
      </c>
      <c r="G3430" s="752" t="s">
        <v>1681</v>
      </c>
      <c r="H3430" s="753">
        <v>52504</v>
      </c>
      <c r="I3430" s="754">
        <v>18382.29</v>
      </c>
      <c r="J3430" s="754">
        <v>0</v>
      </c>
      <c r="K3430" s="754">
        <v>0</v>
      </c>
      <c r="L3430" s="754">
        <v>5633.69</v>
      </c>
      <c r="M3430" s="754">
        <f t="shared" si="131"/>
        <v>5633.69</v>
      </c>
      <c r="N3430" s="756">
        <v>18382.29</v>
      </c>
      <c r="O3430" s="720">
        <f t="shared" si="132"/>
        <v>0</v>
      </c>
    </row>
    <row r="3431" spans="1:15" x14ac:dyDescent="0.25">
      <c r="A3431" s="207" t="str">
        <f>VLOOKUP(RIGHT(E3431,3)+0,SchLocTable!$A$2:$B$47,2,FALSE)</f>
        <v>Blackham</v>
      </c>
      <c r="B3431" s="207" t="str">
        <f>VLOOKUP(VALUE(D3431),$D$3:F$106,3,FALSE)</f>
        <v>Security</v>
      </c>
      <c r="C3431" s="751" t="s">
        <v>246</v>
      </c>
      <c r="D3431" s="751" t="s">
        <v>942</v>
      </c>
      <c r="E3431" s="751" t="s">
        <v>974</v>
      </c>
      <c r="F3431" s="751" t="s">
        <v>259</v>
      </c>
      <c r="G3431" s="752" t="s">
        <v>1681</v>
      </c>
      <c r="H3431" s="753">
        <v>52917</v>
      </c>
      <c r="I3431" s="754">
        <v>0</v>
      </c>
      <c r="J3431" s="754">
        <v>0</v>
      </c>
      <c r="K3431" s="754">
        <v>0</v>
      </c>
      <c r="L3431" s="754">
        <v>0</v>
      </c>
      <c r="M3431" s="754">
        <f t="shared" si="131"/>
        <v>0</v>
      </c>
      <c r="N3431" s="756">
        <v>0</v>
      </c>
      <c r="O3431" s="720">
        <f t="shared" si="132"/>
        <v>0</v>
      </c>
    </row>
    <row r="3432" spans="1:15" x14ac:dyDescent="0.25">
      <c r="A3432" s="207" t="str">
        <f>VLOOKUP(RIGHT(E3432,3)+0,SchLocTable!$A$2:$B$47,2,FALSE)</f>
        <v>Blackham</v>
      </c>
      <c r="B3432" s="207" t="str">
        <f>VLOOKUP(VALUE(D3432),$D$3:F$106,3,FALSE)</f>
        <v>Security</v>
      </c>
      <c r="C3432" s="751" t="s">
        <v>246</v>
      </c>
      <c r="D3432" s="751" t="s">
        <v>942</v>
      </c>
      <c r="E3432" s="751" t="s">
        <v>974</v>
      </c>
      <c r="F3432" s="751" t="s">
        <v>333</v>
      </c>
      <c r="G3432" s="752" t="s">
        <v>1681</v>
      </c>
      <c r="H3432" s="753">
        <v>52920</v>
      </c>
      <c r="I3432" s="754">
        <v>2000</v>
      </c>
      <c r="J3432" s="754">
        <v>0</v>
      </c>
      <c r="K3432" s="754">
        <v>0</v>
      </c>
      <c r="L3432" s="754">
        <v>0</v>
      </c>
      <c r="M3432" s="754">
        <f t="shared" si="131"/>
        <v>0</v>
      </c>
      <c r="N3432" s="756">
        <v>2000</v>
      </c>
      <c r="O3432" s="720">
        <f t="shared" si="132"/>
        <v>0</v>
      </c>
    </row>
    <row r="3433" spans="1:15" x14ac:dyDescent="0.25">
      <c r="A3433" s="207" t="str">
        <f>VLOOKUP(RIGHT(E3433,3)+0,SchLocTable!$A$2:$B$47,2,FALSE)</f>
        <v>Dunbar</v>
      </c>
      <c r="B3433" s="207" t="str">
        <f>VLOOKUP(VALUE(D3433),$D$3:F$106,3,FALSE)</f>
        <v>Security</v>
      </c>
      <c r="C3433" s="755" t="s">
        <v>246</v>
      </c>
      <c r="D3433" s="751" t="s">
        <v>942</v>
      </c>
      <c r="E3433" s="751" t="s">
        <v>975</v>
      </c>
      <c r="F3433" s="751" t="s">
        <v>248</v>
      </c>
      <c r="G3433" s="752">
        <v>1</v>
      </c>
      <c r="H3433" s="753">
        <v>51000</v>
      </c>
      <c r="I3433" s="754">
        <v>45784.72</v>
      </c>
      <c r="J3433" s="754">
        <v>0</v>
      </c>
      <c r="K3433" s="754">
        <v>0</v>
      </c>
      <c r="L3433" s="754">
        <v>14030.08</v>
      </c>
      <c r="M3433" s="754">
        <f t="shared" si="131"/>
        <v>14030.08</v>
      </c>
      <c r="N3433" s="756">
        <v>45784.72</v>
      </c>
      <c r="O3433" s="720">
        <f t="shared" si="132"/>
        <v>0</v>
      </c>
    </row>
    <row r="3434" spans="1:15" x14ac:dyDescent="0.25">
      <c r="A3434" s="207" t="str">
        <f>VLOOKUP(RIGHT(E3434,3)+0,SchLocTable!$A$2:$B$47,2,FALSE)</f>
        <v>Dunbar</v>
      </c>
      <c r="B3434" s="207" t="str">
        <f>VLOOKUP(VALUE(D3434),$D$3:F$106,3,FALSE)</f>
        <v>Security</v>
      </c>
      <c r="C3434" s="755" t="s">
        <v>246</v>
      </c>
      <c r="D3434" s="751" t="s">
        <v>942</v>
      </c>
      <c r="E3434" s="751" t="s">
        <v>975</v>
      </c>
      <c r="F3434" s="751" t="s">
        <v>257</v>
      </c>
      <c r="G3434" s="752" t="s">
        <v>1681</v>
      </c>
      <c r="H3434" s="753">
        <v>51140</v>
      </c>
      <c r="I3434" s="754">
        <v>825</v>
      </c>
      <c r="J3434" s="754">
        <v>0</v>
      </c>
      <c r="K3434" s="754">
        <v>0</v>
      </c>
      <c r="L3434" s="754">
        <v>825</v>
      </c>
      <c r="M3434" s="754">
        <f t="shared" si="131"/>
        <v>825</v>
      </c>
      <c r="N3434" s="756">
        <v>825</v>
      </c>
      <c r="O3434" s="720">
        <f t="shared" si="132"/>
        <v>0</v>
      </c>
    </row>
    <row r="3435" spans="1:15" x14ac:dyDescent="0.25">
      <c r="A3435" s="207" t="str">
        <f>VLOOKUP(RIGHT(E3435,3)+0,SchLocTable!$A$2:$B$47,2,FALSE)</f>
        <v>Dunbar</v>
      </c>
      <c r="B3435" s="207" t="str">
        <f>VLOOKUP(VALUE(D3435),$D$3:F$106,3,FALSE)</f>
        <v>Security</v>
      </c>
      <c r="C3435" s="751" t="s">
        <v>246</v>
      </c>
      <c r="D3435" s="751" t="s">
        <v>942</v>
      </c>
      <c r="E3435" s="751" t="s">
        <v>975</v>
      </c>
      <c r="F3435" s="751" t="s">
        <v>254</v>
      </c>
      <c r="G3435" s="752" t="s">
        <v>1681</v>
      </c>
      <c r="H3435" s="753">
        <v>52360</v>
      </c>
      <c r="I3435" s="754">
        <v>675.84</v>
      </c>
      <c r="J3435" s="754">
        <v>0</v>
      </c>
      <c r="K3435" s="754">
        <v>0</v>
      </c>
      <c r="L3435" s="754">
        <v>215.4</v>
      </c>
      <c r="M3435" s="754">
        <f t="shared" si="131"/>
        <v>215.4</v>
      </c>
      <c r="N3435" s="756">
        <v>675.84</v>
      </c>
      <c r="O3435" s="720">
        <f t="shared" si="132"/>
        <v>0</v>
      </c>
    </row>
    <row r="3436" spans="1:15" x14ac:dyDescent="0.25">
      <c r="A3436" s="207" t="str">
        <f>VLOOKUP(RIGHT(E3436,3)+0,SchLocTable!$A$2:$B$47,2,FALSE)</f>
        <v>Dunbar</v>
      </c>
      <c r="B3436" s="207" t="str">
        <f>VLOOKUP(VALUE(D3436),$D$3:F$106,3,FALSE)</f>
        <v>Security</v>
      </c>
      <c r="C3436" s="751" t="s">
        <v>246</v>
      </c>
      <c r="D3436" s="751" t="s">
        <v>942</v>
      </c>
      <c r="E3436" s="751" t="s">
        <v>975</v>
      </c>
      <c r="F3436" s="751" t="s">
        <v>331</v>
      </c>
      <c r="G3436" s="752" t="s">
        <v>1681</v>
      </c>
      <c r="H3436" s="753">
        <v>52504</v>
      </c>
      <c r="I3436" s="754">
        <v>9597</v>
      </c>
      <c r="J3436" s="754">
        <v>0</v>
      </c>
      <c r="K3436" s="754">
        <v>0</v>
      </c>
      <c r="L3436" s="754">
        <v>3058.72</v>
      </c>
      <c r="M3436" s="754">
        <f t="shared" si="131"/>
        <v>3058.72</v>
      </c>
      <c r="N3436" s="756">
        <v>9597</v>
      </c>
      <c r="O3436" s="720">
        <f t="shared" si="132"/>
        <v>0</v>
      </c>
    </row>
    <row r="3437" spans="1:15" x14ac:dyDescent="0.25">
      <c r="A3437" s="207" t="str">
        <f>VLOOKUP(RIGHT(E3437,3)+0,SchLocTable!$A$2:$B$47,2,FALSE)</f>
        <v>Dunbar</v>
      </c>
      <c r="B3437" s="207" t="str">
        <f>VLOOKUP(VALUE(D3437),$D$3:F$106,3,FALSE)</f>
        <v>Security</v>
      </c>
      <c r="C3437" s="751" t="s">
        <v>246</v>
      </c>
      <c r="D3437" s="751" t="s">
        <v>942</v>
      </c>
      <c r="E3437" s="751" t="s">
        <v>975</v>
      </c>
      <c r="F3437" s="751" t="s">
        <v>259</v>
      </c>
      <c r="G3437" s="752" t="s">
        <v>1681</v>
      </c>
      <c r="H3437" s="753">
        <v>52917</v>
      </c>
      <c r="I3437" s="754">
        <v>0</v>
      </c>
      <c r="J3437" s="754">
        <v>0</v>
      </c>
      <c r="K3437" s="754">
        <v>0</v>
      </c>
      <c r="L3437" s="754">
        <v>0</v>
      </c>
      <c r="M3437" s="754">
        <f t="shared" si="131"/>
        <v>0</v>
      </c>
      <c r="N3437" s="756">
        <v>0</v>
      </c>
      <c r="O3437" s="720">
        <f t="shared" si="132"/>
        <v>0</v>
      </c>
    </row>
    <row r="3438" spans="1:15" x14ac:dyDescent="0.25">
      <c r="A3438" s="207" t="str">
        <f>VLOOKUP(RIGHT(E3438,3)+0,SchLocTable!$A$2:$B$47,2,FALSE)</f>
        <v>Curiale</v>
      </c>
      <c r="B3438" s="207" t="str">
        <f>VLOOKUP(VALUE(D3438),$D$3:F$106,3,FALSE)</f>
        <v>Security</v>
      </c>
      <c r="C3438" s="751" t="s">
        <v>246</v>
      </c>
      <c r="D3438" s="751" t="s">
        <v>942</v>
      </c>
      <c r="E3438" s="751" t="s">
        <v>976</v>
      </c>
      <c r="F3438" s="751" t="s">
        <v>248</v>
      </c>
      <c r="G3438" s="752">
        <v>2</v>
      </c>
      <c r="H3438" s="753">
        <v>51000</v>
      </c>
      <c r="I3438" s="754">
        <v>90473.42</v>
      </c>
      <c r="J3438" s="754">
        <v>0</v>
      </c>
      <c r="K3438" s="754">
        <v>0</v>
      </c>
      <c r="L3438" s="754">
        <v>27499.9</v>
      </c>
      <c r="M3438" s="754">
        <f t="shared" si="131"/>
        <v>27499.9</v>
      </c>
      <c r="N3438" s="756">
        <v>90473.42</v>
      </c>
      <c r="O3438" s="720">
        <f t="shared" si="132"/>
        <v>0</v>
      </c>
    </row>
    <row r="3439" spans="1:15" x14ac:dyDescent="0.25">
      <c r="A3439" s="207" t="str">
        <f>VLOOKUP(RIGHT(E3439,3)+0,SchLocTable!$A$2:$B$47,2,FALSE)</f>
        <v>Curiale</v>
      </c>
      <c r="B3439" s="207" t="str">
        <f>VLOOKUP(VALUE(D3439),$D$3:F$106,3,FALSE)</f>
        <v>Security</v>
      </c>
      <c r="C3439" s="751" t="s">
        <v>246</v>
      </c>
      <c r="D3439" s="751" t="s">
        <v>942</v>
      </c>
      <c r="E3439" s="751" t="s">
        <v>976</v>
      </c>
      <c r="F3439" s="751" t="s">
        <v>378</v>
      </c>
      <c r="G3439" s="752" t="s">
        <v>1681</v>
      </c>
      <c r="H3439" s="753">
        <v>51108</v>
      </c>
      <c r="I3439" s="754">
        <v>0</v>
      </c>
      <c r="J3439" s="754">
        <v>0</v>
      </c>
      <c r="K3439" s="754">
        <v>0</v>
      </c>
      <c r="L3439" s="754">
        <v>0</v>
      </c>
      <c r="M3439" s="754">
        <f t="shared" si="131"/>
        <v>0</v>
      </c>
      <c r="N3439" s="756">
        <v>0</v>
      </c>
      <c r="O3439" s="720">
        <f t="shared" si="132"/>
        <v>0</v>
      </c>
    </row>
    <row r="3440" spans="1:15" x14ac:dyDescent="0.25">
      <c r="A3440" s="207" t="str">
        <f>VLOOKUP(RIGHT(E3440,3)+0,SchLocTable!$A$2:$B$47,2,FALSE)</f>
        <v>Curiale</v>
      </c>
      <c r="B3440" s="207" t="str">
        <f>VLOOKUP(VALUE(D3440),$D$3:F$106,3,FALSE)</f>
        <v>Security</v>
      </c>
      <c r="C3440" s="751" t="s">
        <v>246</v>
      </c>
      <c r="D3440" s="751" t="s">
        <v>942</v>
      </c>
      <c r="E3440" s="751" t="s">
        <v>976</v>
      </c>
      <c r="F3440" s="751" t="s">
        <v>380</v>
      </c>
      <c r="G3440" s="752" t="s">
        <v>1681</v>
      </c>
      <c r="H3440" s="753">
        <v>51122</v>
      </c>
      <c r="I3440" s="754">
        <v>0</v>
      </c>
      <c r="J3440" s="754">
        <v>0</v>
      </c>
      <c r="K3440" s="754">
        <v>0</v>
      </c>
      <c r="L3440" s="754">
        <v>0</v>
      </c>
      <c r="M3440" s="754">
        <f t="shared" si="131"/>
        <v>0</v>
      </c>
      <c r="N3440" s="756">
        <v>0</v>
      </c>
      <c r="O3440" s="720">
        <f t="shared" si="132"/>
        <v>0</v>
      </c>
    </row>
    <row r="3441" spans="1:15" x14ac:dyDescent="0.25">
      <c r="A3441" s="207" t="str">
        <f>VLOOKUP(RIGHT(E3441,3)+0,SchLocTable!$A$2:$B$47,2,FALSE)</f>
        <v>Curiale</v>
      </c>
      <c r="B3441" s="207" t="str">
        <f>VLOOKUP(VALUE(D3441),$D$3:F$106,3,FALSE)</f>
        <v>Security</v>
      </c>
      <c r="C3441" s="751" t="s">
        <v>246</v>
      </c>
      <c r="D3441" s="751" t="s">
        <v>942</v>
      </c>
      <c r="E3441" s="751" t="s">
        <v>976</v>
      </c>
      <c r="F3441" s="751" t="s">
        <v>257</v>
      </c>
      <c r="G3441" s="752" t="s">
        <v>1681</v>
      </c>
      <c r="H3441" s="753">
        <v>51140</v>
      </c>
      <c r="I3441" s="754">
        <v>840</v>
      </c>
      <c r="J3441" s="754">
        <v>0</v>
      </c>
      <c r="K3441" s="754">
        <v>0</v>
      </c>
      <c r="L3441" s="754">
        <v>750</v>
      </c>
      <c r="M3441" s="754">
        <f t="shared" si="131"/>
        <v>750</v>
      </c>
      <c r="N3441" s="756">
        <v>840</v>
      </c>
      <c r="O3441" s="720">
        <f t="shared" si="132"/>
        <v>0</v>
      </c>
    </row>
    <row r="3442" spans="1:15" x14ac:dyDescent="0.25">
      <c r="A3442" s="207" t="str">
        <f>VLOOKUP(RIGHT(E3442,3)+0,SchLocTable!$A$2:$B$47,2,FALSE)</f>
        <v>Curiale</v>
      </c>
      <c r="B3442" s="207" t="str">
        <f>VLOOKUP(VALUE(D3442),$D$3:F$106,3,FALSE)</f>
        <v>Security</v>
      </c>
      <c r="C3442" s="751" t="s">
        <v>246</v>
      </c>
      <c r="D3442" s="751" t="s">
        <v>942</v>
      </c>
      <c r="E3442" s="751" t="s">
        <v>976</v>
      </c>
      <c r="F3442" s="751" t="s">
        <v>254</v>
      </c>
      <c r="G3442" s="752" t="s">
        <v>1681</v>
      </c>
      <c r="H3442" s="753">
        <v>52360</v>
      </c>
      <c r="I3442" s="754">
        <v>1304.8900000000001</v>
      </c>
      <c r="J3442" s="754">
        <v>0</v>
      </c>
      <c r="K3442" s="754">
        <v>0</v>
      </c>
      <c r="L3442" s="754">
        <v>391.77</v>
      </c>
      <c r="M3442" s="754">
        <f t="shared" si="131"/>
        <v>391.77</v>
      </c>
      <c r="N3442" s="756">
        <v>1304.8900000000001</v>
      </c>
      <c r="O3442" s="720">
        <f t="shared" si="132"/>
        <v>0</v>
      </c>
    </row>
    <row r="3443" spans="1:15" x14ac:dyDescent="0.25">
      <c r="A3443" s="207" t="str">
        <f>VLOOKUP(RIGHT(E3443,3)+0,SchLocTable!$A$2:$B$47,2,FALSE)</f>
        <v>Curiale</v>
      </c>
      <c r="B3443" s="207" t="str">
        <f>VLOOKUP(VALUE(D3443),$D$3:F$106,3,FALSE)</f>
        <v>Security</v>
      </c>
      <c r="C3443" s="755" t="s">
        <v>246</v>
      </c>
      <c r="D3443" s="751" t="s">
        <v>942</v>
      </c>
      <c r="E3443" s="751" t="s">
        <v>976</v>
      </c>
      <c r="F3443" s="751" t="s">
        <v>331</v>
      </c>
      <c r="G3443" s="752" t="s">
        <v>1681</v>
      </c>
      <c r="H3443" s="753">
        <v>52504</v>
      </c>
      <c r="I3443" s="754">
        <v>18782.97</v>
      </c>
      <c r="J3443" s="754">
        <v>0</v>
      </c>
      <c r="K3443" s="754">
        <v>0</v>
      </c>
      <c r="L3443" s="754">
        <v>5816.72</v>
      </c>
      <c r="M3443" s="754">
        <f t="shared" si="131"/>
        <v>5816.72</v>
      </c>
      <c r="N3443" s="756">
        <v>18782.97</v>
      </c>
      <c r="O3443" s="720">
        <f t="shared" si="132"/>
        <v>0</v>
      </c>
    </row>
    <row r="3444" spans="1:15" x14ac:dyDescent="0.25">
      <c r="A3444" s="207" t="str">
        <f>VLOOKUP(RIGHT(E3444,3)+0,SchLocTable!$A$2:$B$47,2,FALSE)</f>
        <v>Curiale</v>
      </c>
      <c r="B3444" s="207" t="str">
        <f>VLOOKUP(VALUE(D3444),$D$3:F$106,3,FALSE)</f>
        <v>Security</v>
      </c>
      <c r="C3444" s="751" t="s">
        <v>246</v>
      </c>
      <c r="D3444" s="751" t="s">
        <v>942</v>
      </c>
      <c r="E3444" s="751" t="s">
        <v>976</v>
      </c>
      <c r="F3444" s="751" t="s">
        <v>259</v>
      </c>
      <c r="G3444" s="752" t="s">
        <v>1681</v>
      </c>
      <c r="H3444" s="753">
        <v>52917</v>
      </c>
      <c r="I3444" s="754">
        <v>12289.29</v>
      </c>
      <c r="J3444" s="754">
        <v>0</v>
      </c>
      <c r="K3444" s="754">
        <v>0</v>
      </c>
      <c r="L3444" s="754">
        <v>3515.86</v>
      </c>
      <c r="M3444" s="754">
        <f t="shared" si="131"/>
        <v>3515.86</v>
      </c>
      <c r="N3444" s="756">
        <v>12289.29</v>
      </c>
      <c r="O3444" s="720">
        <f t="shared" si="132"/>
        <v>0</v>
      </c>
    </row>
    <row r="3445" spans="1:15" x14ac:dyDescent="0.25">
      <c r="A3445" s="207" t="str">
        <f>VLOOKUP(RIGHT(E3445,3)+0,SchLocTable!$A$2:$B$47,2,FALSE)</f>
        <v>Curiale</v>
      </c>
      <c r="B3445" s="207" t="str">
        <f>VLOOKUP(VALUE(D3445),$D$3:F$106,3,FALSE)</f>
        <v>Security</v>
      </c>
      <c r="C3445" s="751" t="s">
        <v>246</v>
      </c>
      <c r="D3445" s="751" t="s">
        <v>942</v>
      </c>
      <c r="E3445" s="751" t="s">
        <v>976</v>
      </c>
      <c r="F3445" s="751" t="s">
        <v>333</v>
      </c>
      <c r="G3445" s="752" t="s">
        <v>1681</v>
      </c>
      <c r="H3445" s="753">
        <v>52920</v>
      </c>
      <c r="I3445" s="754">
        <v>4000</v>
      </c>
      <c r="J3445" s="754">
        <v>0</v>
      </c>
      <c r="K3445" s="754">
        <v>0</v>
      </c>
      <c r="L3445" s="754">
        <v>0</v>
      </c>
      <c r="M3445" s="754">
        <f t="shared" si="131"/>
        <v>0</v>
      </c>
      <c r="N3445" s="756">
        <v>4000</v>
      </c>
      <c r="O3445" s="720">
        <f t="shared" si="132"/>
        <v>0</v>
      </c>
    </row>
    <row r="3446" spans="1:15" x14ac:dyDescent="0.25">
      <c r="A3446" s="207" t="str">
        <f>VLOOKUP(RIGHT(E3446,3)+0,SchLocTable!$A$2:$B$47,2,FALSE)</f>
        <v>Skane</v>
      </c>
      <c r="B3446" s="207" t="str">
        <f>VLOOKUP(VALUE(D3446),$D$3:F$106,3,FALSE)</f>
        <v>Security</v>
      </c>
      <c r="C3446" s="751" t="s">
        <v>246</v>
      </c>
      <c r="D3446" s="751" t="s">
        <v>942</v>
      </c>
      <c r="E3446" s="751" t="s">
        <v>977</v>
      </c>
      <c r="F3446" s="751" t="s">
        <v>248</v>
      </c>
      <c r="G3446" s="752">
        <v>1</v>
      </c>
      <c r="H3446" s="753">
        <v>51000</v>
      </c>
      <c r="I3446" s="754">
        <v>45789.84</v>
      </c>
      <c r="J3446" s="754">
        <v>0</v>
      </c>
      <c r="K3446" s="754">
        <v>0</v>
      </c>
      <c r="L3446" s="754">
        <v>14035.2</v>
      </c>
      <c r="M3446" s="754">
        <f t="shared" si="131"/>
        <v>14035.2</v>
      </c>
      <c r="N3446" s="756">
        <v>45789.84</v>
      </c>
      <c r="O3446" s="720">
        <f t="shared" si="132"/>
        <v>0</v>
      </c>
    </row>
    <row r="3447" spans="1:15" x14ac:dyDescent="0.25">
      <c r="A3447" s="207" t="str">
        <f>VLOOKUP(RIGHT(E3447,3)+0,SchLocTable!$A$2:$B$47,2,FALSE)</f>
        <v>Skane</v>
      </c>
      <c r="B3447" s="207" t="str">
        <f>VLOOKUP(VALUE(D3447),$D$3:F$106,3,FALSE)</f>
        <v>Security</v>
      </c>
      <c r="C3447" s="751" t="s">
        <v>246</v>
      </c>
      <c r="D3447" s="751" t="s">
        <v>942</v>
      </c>
      <c r="E3447" s="751" t="s">
        <v>977</v>
      </c>
      <c r="F3447" s="751" t="s">
        <v>257</v>
      </c>
      <c r="G3447" s="752" t="s">
        <v>1681</v>
      </c>
      <c r="H3447" s="753">
        <v>51140</v>
      </c>
      <c r="I3447" s="754">
        <v>1200</v>
      </c>
      <c r="J3447" s="754">
        <v>0</v>
      </c>
      <c r="K3447" s="754">
        <v>0</v>
      </c>
      <c r="L3447" s="754">
        <v>1200</v>
      </c>
      <c r="M3447" s="754">
        <f t="shared" si="131"/>
        <v>1200</v>
      </c>
      <c r="N3447" s="756">
        <v>1200</v>
      </c>
      <c r="O3447" s="720">
        <f t="shared" si="132"/>
        <v>0</v>
      </c>
    </row>
    <row r="3448" spans="1:15" x14ac:dyDescent="0.25">
      <c r="A3448" s="207" t="str">
        <f>VLOOKUP(RIGHT(E3448,3)+0,SchLocTable!$A$2:$B$47,2,FALSE)</f>
        <v>Skane</v>
      </c>
      <c r="B3448" s="207" t="str">
        <f>VLOOKUP(VALUE(D3448),$D$3:F$106,3,FALSE)</f>
        <v>Security</v>
      </c>
      <c r="C3448" s="751" t="s">
        <v>246</v>
      </c>
      <c r="D3448" s="751" t="s">
        <v>942</v>
      </c>
      <c r="E3448" s="751" t="s">
        <v>977</v>
      </c>
      <c r="F3448" s="751" t="s">
        <v>254</v>
      </c>
      <c r="G3448" s="752" t="s">
        <v>1681</v>
      </c>
      <c r="H3448" s="753">
        <v>52360</v>
      </c>
      <c r="I3448" s="754">
        <v>628.09</v>
      </c>
      <c r="J3448" s="754">
        <v>0</v>
      </c>
      <c r="K3448" s="754">
        <v>0</v>
      </c>
      <c r="L3448" s="754">
        <v>167.65</v>
      </c>
      <c r="M3448" s="754">
        <f t="shared" si="131"/>
        <v>167.65</v>
      </c>
      <c r="N3448" s="756">
        <v>628.09</v>
      </c>
      <c r="O3448" s="720">
        <f t="shared" si="132"/>
        <v>0</v>
      </c>
    </row>
    <row r="3449" spans="1:15" x14ac:dyDescent="0.25">
      <c r="A3449" s="207" t="str">
        <f>VLOOKUP(RIGHT(E3449,3)+0,SchLocTable!$A$2:$B$47,2,FALSE)</f>
        <v>Skane</v>
      </c>
      <c r="B3449" s="207" t="str">
        <f>VLOOKUP(VALUE(D3449),$D$3:F$106,3,FALSE)</f>
        <v>Security</v>
      </c>
      <c r="C3449" s="751" t="s">
        <v>246</v>
      </c>
      <c r="D3449" s="751" t="s">
        <v>942</v>
      </c>
      <c r="E3449" s="751" t="s">
        <v>977</v>
      </c>
      <c r="F3449" s="751" t="s">
        <v>331</v>
      </c>
      <c r="G3449" s="752" t="s">
        <v>1681</v>
      </c>
      <c r="H3449" s="753">
        <v>52504</v>
      </c>
      <c r="I3449" s="754">
        <v>9675.27</v>
      </c>
      <c r="J3449" s="754">
        <v>0</v>
      </c>
      <c r="K3449" s="754">
        <v>0</v>
      </c>
      <c r="L3449" s="754">
        <v>3136.99</v>
      </c>
      <c r="M3449" s="754">
        <f t="shared" si="131"/>
        <v>3136.99</v>
      </c>
      <c r="N3449" s="756">
        <v>9675.27</v>
      </c>
      <c r="O3449" s="720">
        <f t="shared" si="132"/>
        <v>0</v>
      </c>
    </row>
    <row r="3450" spans="1:15" x14ac:dyDescent="0.25">
      <c r="A3450" s="207" t="str">
        <f>VLOOKUP(RIGHT(E3450,3)+0,SchLocTable!$A$2:$B$47,2,FALSE)</f>
        <v>Skane</v>
      </c>
      <c r="B3450" s="207" t="str">
        <f>VLOOKUP(VALUE(D3450),$D$3:F$106,3,FALSE)</f>
        <v>Security</v>
      </c>
      <c r="C3450" s="751" t="s">
        <v>246</v>
      </c>
      <c r="D3450" s="751" t="s">
        <v>942</v>
      </c>
      <c r="E3450" s="751" t="s">
        <v>977</v>
      </c>
      <c r="F3450" s="751" t="s">
        <v>259</v>
      </c>
      <c r="G3450" s="752" t="s">
        <v>1681</v>
      </c>
      <c r="H3450" s="753">
        <v>52917</v>
      </c>
      <c r="I3450" s="754">
        <v>34357</v>
      </c>
      <c r="J3450" s="754">
        <v>0</v>
      </c>
      <c r="K3450" s="754">
        <v>0</v>
      </c>
      <c r="L3450" s="754">
        <v>10530.88</v>
      </c>
      <c r="M3450" s="754">
        <f t="shared" si="131"/>
        <v>10530.88</v>
      </c>
      <c r="N3450" s="756">
        <v>34357</v>
      </c>
      <c r="O3450" s="720">
        <f t="shared" si="132"/>
        <v>0</v>
      </c>
    </row>
    <row r="3451" spans="1:15" x14ac:dyDescent="0.25">
      <c r="A3451" s="207" t="str">
        <f>VLOOKUP(RIGHT(E3451,3)+0,SchLocTable!$A$2:$B$47,2,FALSE)</f>
        <v>High Horizons Magnet</v>
      </c>
      <c r="B3451" s="207" t="str">
        <f>VLOOKUP(VALUE(D3451),$D$3:F$106,3,FALSE)</f>
        <v>Security</v>
      </c>
      <c r="C3451" s="755" t="s">
        <v>246</v>
      </c>
      <c r="D3451" s="751" t="s">
        <v>942</v>
      </c>
      <c r="E3451" s="751" t="s">
        <v>978</v>
      </c>
      <c r="F3451" s="751" t="s">
        <v>248</v>
      </c>
      <c r="G3451" s="752">
        <v>1</v>
      </c>
      <c r="H3451" s="753">
        <v>51000</v>
      </c>
      <c r="I3451" s="754">
        <v>45769.36</v>
      </c>
      <c r="J3451" s="754">
        <v>0</v>
      </c>
      <c r="K3451" s="754">
        <v>0</v>
      </c>
      <c r="L3451" s="754">
        <v>14014.72</v>
      </c>
      <c r="M3451" s="754">
        <f t="shared" si="131"/>
        <v>14014.72</v>
      </c>
      <c r="N3451" s="756">
        <v>45769.36</v>
      </c>
      <c r="O3451" s="720">
        <f t="shared" si="132"/>
        <v>0</v>
      </c>
    </row>
    <row r="3452" spans="1:15" x14ac:dyDescent="0.25">
      <c r="A3452" s="207" t="str">
        <f>VLOOKUP(RIGHT(E3452,3)+0,SchLocTable!$A$2:$B$47,2,FALSE)</f>
        <v>High Horizons Magnet</v>
      </c>
      <c r="B3452" s="207" t="str">
        <f>VLOOKUP(VALUE(D3452),$D$3:F$106,3,FALSE)</f>
        <v>Security</v>
      </c>
      <c r="C3452" s="751" t="s">
        <v>246</v>
      </c>
      <c r="D3452" s="751" t="s">
        <v>942</v>
      </c>
      <c r="E3452" s="751" t="s">
        <v>978</v>
      </c>
      <c r="F3452" s="751" t="s">
        <v>380</v>
      </c>
      <c r="G3452" s="752" t="s">
        <v>1681</v>
      </c>
      <c r="H3452" s="753">
        <v>51122</v>
      </c>
      <c r="I3452" s="754">
        <v>0</v>
      </c>
      <c r="J3452" s="754">
        <v>0</v>
      </c>
      <c r="K3452" s="754">
        <v>0</v>
      </c>
      <c r="L3452" s="754">
        <v>0</v>
      </c>
      <c r="M3452" s="754">
        <f t="shared" si="131"/>
        <v>0</v>
      </c>
      <c r="N3452" s="756">
        <v>0</v>
      </c>
      <c r="O3452" s="720">
        <f t="shared" si="132"/>
        <v>0</v>
      </c>
    </row>
    <row r="3453" spans="1:15" x14ac:dyDescent="0.25">
      <c r="A3453" s="207" t="str">
        <f>VLOOKUP(RIGHT(E3453,3)+0,SchLocTable!$A$2:$B$47,2,FALSE)</f>
        <v>High Horizons Magnet</v>
      </c>
      <c r="B3453" s="207" t="str">
        <f>VLOOKUP(VALUE(D3453),$D$3:F$106,3,FALSE)</f>
        <v>Security</v>
      </c>
      <c r="C3453" s="751" t="s">
        <v>246</v>
      </c>
      <c r="D3453" s="751" t="s">
        <v>942</v>
      </c>
      <c r="E3453" s="751" t="s">
        <v>978</v>
      </c>
      <c r="F3453" s="751" t="s">
        <v>257</v>
      </c>
      <c r="G3453" s="752" t="s">
        <v>1681</v>
      </c>
      <c r="H3453" s="753">
        <v>51140</v>
      </c>
      <c r="I3453" s="754">
        <v>975</v>
      </c>
      <c r="J3453" s="754">
        <v>0</v>
      </c>
      <c r="K3453" s="754">
        <v>0</v>
      </c>
      <c r="L3453" s="754">
        <v>975</v>
      </c>
      <c r="M3453" s="754">
        <f t="shared" si="131"/>
        <v>975</v>
      </c>
      <c r="N3453" s="756">
        <v>975</v>
      </c>
      <c r="O3453" s="720">
        <f t="shared" si="132"/>
        <v>0</v>
      </c>
    </row>
    <row r="3454" spans="1:15" x14ac:dyDescent="0.25">
      <c r="A3454" s="207" t="str">
        <f>VLOOKUP(RIGHT(E3454,3)+0,SchLocTable!$A$2:$B$47,2,FALSE)</f>
        <v>High Horizons Magnet</v>
      </c>
      <c r="B3454" s="207" t="str">
        <f>VLOOKUP(VALUE(D3454),$D$3:F$106,3,FALSE)</f>
        <v>Security</v>
      </c>
      <c r="C3454" s="751" t="s">
        <v>246</v>
      </c>
      <c r="D3454" s="751" t="s">
        <v>942</v>
      </c>
      <c r="E3454" s="751" t="s">
        <v>978</v>
      </c>
      <c r="F3454" s="751" t="s">
        <v>254</v>
      </c>
      <c r="G3454" s="752" t="s">
        <v>1681</v>
      </c>
      <c r="H3454" s="753">
        <v>52360</v>
      </c>
      <c r="I3454" s="754">
        <v>655.6</v>
      </c>
      <c r="J3454" s="754">
        <v>0</v>
      </c>
      <c r="K3454" s="754">
        <v>0</v>
      </c>
      <c r="L3454" s="754">
        <v>195.16</v>
      </c>
      <c r="M3454" s="754">
        <f t="shared" si="131"/>
        <v>195.16</v>
      </c>
      <c r="N3454" s="756">
        <v>655.6</v>
      </c>
      <c r="O3454" s="720">
        <f t="shared" si="132"/>
        <v>0</v>
      </c>
    </row>
    <row r="3455" spans="1:15" x14ac:dyDescent="0.25">
      <c r="A3455" s="207" t="str">
        <f>VLOOKUP(RIGHT(E3455,3)+0,SchLocTable!$A$2:$B$47,2,FALSE)</f>
        <v>High Horizons Magnet</v>
      </c>
      <c r="B3455" s="207" t="str">
        <f>VLOOKUP(VALUE(D3455),$D$3:F$106,3,FALSE)</f>
        <v>Security</v>
      </c>
      <c r="C3455" s="755" t="s">
        <v>246</v>
      </c>
      <c r="D3455" s="751" t="s">
        <v>942</v>
      </c>
      <c r="E3455" s="751" t="s">
        <v>978</v>
      </c>
      <c r="F3455" s="751" t="s">
        <v>331</v>
      </c>
      <c r="G3455" s="752" t="s">
        <v>1681</v>
      </c>
      <c r="H3455" s="753">
        <v>52504</v>
      </c>
      <c r="I3455" s="754">
        <v>9624.73</v>
      </c>
      <c r="J3455" s="754">
        <v>0</v>
      </c>
      <c r="K3455" s="754">
        <v>0</v>
      </c>
      <c r="L3455" s="754">
        <v>3086.45</v>
      </c>
      <c r="M3455" s="754">
        <f t="shared" ref="M3455:M3518" si="133">SUM(J3455:L3455)</f>
        <v>3086.45</v>
      </c>
      <c r="N3455" s="756">
        <v>9624.73</v>
      </c>
      <c r="O3455" s="720">
        <f t="shared" ref="O3455:O3518" si="134">I3455-N3455</f>
        <v>0</v>
      </c>
    </row>
    <row r="3456" spans="1:15" x14ac:dyDescent="0.25">
      <c r="A3456" s="207" t="str">
        <f>VLOOKUP(RIGHT(E3456,3)+0,SchLocTable!$A$2:$B$47,2,FALSE)</f>
        <v>High Horizons Magnet</v>
      </c>
      <c r="B3456" s="207" t="str">
        <f>VLOOKUP(VALUE(D3456),$D$3:F$106,3,FALSE)</f>
        <v>Security</v>
      </c>
      <c r="C3456" s="751" t="s">
        <v>246</v>
      </c>
      <c r="D3456" s="751" t="s">
        <v>942</v>
      </c>
      <c r="E3456" s="751" t="s">
        <v>978</v>
      </c>
      <c r="F3456" s="751" t="s">
        <v>259</v>
      </c>
      <c r="G3456" s="752" t="s">
        <v>1681</v>
      </c>
      <c r="H3456" s="753">
        <v>52917</v>
      </c>
      <c r="I3456" s="754">
        <v>12203.32</v>
      </c>
      <c r="J3456" s="754">
        <v>0</v>
      </c>
      <c r="K3456" s="754">
        <v>0</v>
      </c>
      <c r="L3456" s="754">
        <v>3740.48</v>
      </c>
      <c r="M3456" s="754">
        <f t="shared" si="133"/>
        <v>3740.48</v>
      </c>
      <c r="N3456" s="756">
        <v>12203.32</v>
      </c>
      <c r="O3456" s="720">
        <f t="shared" si="134"/>
        <v>0</v>
      </c>
    </row>
    <row r="3457" spans="1:15" x14ac:dyDescent="0.25">
      <c r="A3457" s="207" t="str">
        <f>VLOOKUP(RIGHT(E3457,3)+0,SchLocTable!$A$2:$B$47,2,FALSE)</f>
        <v>Multicultural Magnet</v>
      </c>
      <c r="B3457" s="207" t="str">
        <f>VLOOKUP(VALUE(D3457),$D$3:F$106,3,FALSE)</f>
        <v>Security</v>
      </c>
      <c r="C3457" s="751" t="s">
        <v>246</v>
      </c>
      <c r="D3457" s="751" t="s">
        <v>942</v>
      </c>
      <c r="E3457" s="751" t="s">
        <v>979</v>
      </c>
      <c r="F3457" s="751" t="s">
        <v>248</v>
      </c>
      <c r="G3457" s="752">
        <v>1</v>
      </c>
      <c r="H3457" s="753">
        <v>51000</v>
      </c>
      <c r="I3457" s="754">
        <v>45789.84</v>
      </c>
      <c r="J3457" s="754">
        <v>0</v>
      </c>
      <c r="K3457" s="754">
        <v>0</v>
      </c>
      <c r="L3457" s="754">
        <v>14035.2</v>
      </c>
      <c r="M3457" s="754">
        <f t="shared" si="133"/>
        <v>14035.2</v>
      </c>
      <c r="N3457" s="756">
        <v>45789.84</v>
      </c>
      <c r="O3457" s="720">
        <f t="shared" si="134"/>
        <v>0</v>
      </c>
    </row>
    <row r="3458" spans="1:15" x14ac:dyDescent="0.25">
      <c r="A3458" s="207" t="str">
        <f>VLOOKUP(RIGHT(E3458,3)+0,SchLocTable!$A$2:$B$47,2,FALSE)</f>
        <v>Multicultural Magnet</v>
      </c>
      <c r="B3458" s="207" t="str">
        <f>VLOOKUP(VALUE(D3458),$D$3:F$106,3,FALSE)</f>
        <v>Security</v>
      </c>
      <c r="C3458" s="751" t="s">
        <v>246</v>
      </c>
      <c r="D3458" s="751" t="s">
        <v>942</v>
      </c>
      <c r="E3458" s="751" t="s">
        <v>979</v>
      </c>
      <c r="F3458" s="751" t="s">
        <v>378</v>
      </c>
      <c r="G3458" s="752" t="s">
        <v>1681</v>
      </c>
      <c r="H3458" s="753">
        <v>51108</v>
      </c>
      <c r="I3458" s="754">
        <v>0</v>
      </c>
      <c r="J3458" s="754">
        <v>0</v>
      </c>
      <c r="K3458" s="754">
        <v>0</v>
      </c>
      <c r="L3458" s="754">
        <v>0</v>
      </c>
      <c r="M3458" s="754">
        <f t="shared" si="133"/>
        <v>0</v>
      </c>
      <c r="N3458" s="756">
        <v>0</v>
      </c>
      <c r="O3458" s="720">
        <f t="shared" si="134"/>
        <v>0</v>
      </c>
    </row>
    <row r="3459" spans="1:15" x14ac:dyDescent="0.25">
      <c r="A3459" s="207" t="str">
        <f>VLOOKUP(RIGHT(E3459,3)+0,SchLocTable!$A$2:$B$47,2,FALSE)</f>
        <v>Multicultural Magnet</v>
      </c>
      <c r="B3459" s="207" t="str">
        <f>VLOOKUP(VALUE(D3459),$D$3:F$106,3,FALSE)</f>
        <v>Security</v>
      </c>
      <c r="C3459" s="751" t="s">
        <v>246</v>
      </c>
      <c r="D3459" s="751" t="s">
        <v>942</v>
      </c>
      <c r="E3459" s="751" t="s">
        <v>979</v>
      </c>
      <c r="F3459" s="751" t="s">
        <v>380</v>
      </c>
      <c r="G3459" s="752" t="s">
        <v>1681</v>
      </c>
      <c r="H3459" s="753">
        <v>51122</v>
      </c>
      <c r="I3459" s="754">
        <v>0</v>
      </c>
      <c r="J3459" s="754">
        <v>0</v>
      </c>
      <c r="K3459" s="754">
        <v>0</v>
      </c>
      <c r="L3459" s="754">
        <v>0</v>
      </c>
      <c r="M3459" s="754">
        <f t="shared" si="133"/>
        <v>0</v>
      </c>
      <c r="N3459" s="756">
        <v>0</v>
      </c>
      <c r="O3459" s="720">
        <f t="shared" si="134"/>
        <v>0</v>
      </c>
    </row>
    <row r="3460" spans="1:15" x14ac:dyDescent="0.25">
      <c r="A3460" s="207" t="str">
        <f>VLOOKUP(RIGHT(E3460,3)+0,SchLocTable!$A$2:$B$47,2,FALSE)</f>
        <v>Multicultural Magnet</v>
      </c>
      <c r="B3460" s="207" t="str">
        <f>VLOOKUP(VALUE(D3460),$D$3:F$106,3,FALSE)</f>
        <v>Security</v>
      </c>
      <c r="C3460" s="751" t="s">
        <v>246</v>
      </c>
      <c r="D3460" s="751" t="s">
        <v>942</v>
      </c>
      <c r="E3460" s="751" t="s">
        <v>979</v>
      </c>
      <c r="F3460" s="751" t="s">
        <v>257</v>
      </c>
      <c r="G3460" s="752" t="s">
        <v>1681</v>
      </c>
      <c r="H3460" s="753">
        <v>51140</v>
      </c>
      <c r="I3460" s="754">
        <v>1800</v>
      </c>
      <c r="J3460" s="754">
        <v>0</v>
      </c>
      <c r="K3460" s="754">
        <v>0</v>
      </c>
      <c r="L3460" s="754">
        <v>1800</v>
      </c>
      <c r="M3460" s="754">
        <f t="shared" si="133"/>
        <v>1800</v>
      </c>
      <c r="N3460" s="756">
        <v>1800</v>
      </c>
      <c r="O3460" s="720">
        <f t="shared" si="134"/>
        <v>0</v>
      </c>
    </row>
    <row r="3461" spans="1:15" x14ac:dyDescent="0.25">
      <c r="A3461" s="207" t="str">
        <f>VLOOKUP(RIGHT(E3461,3)+0,SchLocTable!$A$2:$B$47,2,FALSE)</f>
        <v>Multicultural Magnet</v>
      </c>
      <c r="B3461" s="207" t="str">
        <f>VLOOKUP(VALUE(D3461),$D$3:F$106,3,FALSE)</f>
        <v>Security</v>
      </c>
      <c r="C3461" s="751" t="s">
        <v>246</v>
      </c>
      <c r="D3461" s="751" t="s">
        <v>942</v>
      </c>
      <c r="E3461" s="751" t="s">
        <v>979</v>
      </c>
      <c r="F3461" s="751" t="s">
        <v>254</v>
      </c>
      <c r="G3461" s="752" t="s">
        <v>1681</v>
      </c>
      <c r="H3461" s="753">
        <v>52360</v>
      </c>
      <c r="I3461" s="754">
        <v>641.14</v>
      </c>
      <c r="J3461" s="754">
        <v>0</v>
      </c>
      <c r="K3461" s="754">
        <v>0</v>
      </c>
      <c r="L3461" s="754">
        <v>180.7</v>
      </c>
      <c r="M3461" s="754">
        <f t="shared" si="133"/>
        <v>180.7</v>
      </c>
      <c r="N3461" s="756">
        <v>641.14</v>
      </c>
      <c r="O3461" s="720">
        <f t="shared" si="134"/>
        <v>0</v>
      </c>
    </row>
    <row r="3462" spans="1:15" x14ac:dyDescent="0.25">
      <c r="A3462" s="207" t="str">
        <f>VLOOKUP(RIGHT(E3462,3)+0,SchLocTable!$A$2:$B$47,2,FALSE)</f>
        <v>Multicultural Magnet</v>
      </c>
      <c r="B3462" s="207" t="str">
        <f>VLOOKUP(VALUE(D3462),$D$3:F$106,3,FALSE)</f>
        <v>Security</v>
      </c>
      <c r="C3462" s="751" t="s">
        <v>246</v>
      </c>
      <c r="D3462" s="751" t="s">
        <v>942</v>
      </c>
      <c r="E3462" s="751" t="s">
        <v>979</v>
      </c>
      <c r="F3462" s="751" t="s">
        <v>331</v>
      </c>
      <c r="G3462" s="752" t="s">
        <v>1681</v>
      </c>
      <c r="H3462" s="753">
        <v>52504</v>
      </c>
      <c r="I3462" s="754">
        <v>9798.82</v>
      </c>
      <c r="J3462" s="754">
        <v>0</v>
      </c>
      <c r="K3462" s="754">
        <v>0</v>
      </c>
      <c r="L3462" s="754">
        <v>3260.54</v>
      </c>
      <c r="M3462" s="754">
        <f t="shared" si="133"/>
        <v>3260.54</v>
      </c>
      <c r="N3462" s="756">
        <v>9798.82</v>
      </c>
      <c r="O3462" s="720">
        <f t="shared" si="134"/>
        <v>0</v>
      </c>
    </row>
    <row r="3463" spans="1:15" x14ac:dyDescent="0.25">
      <c r="A3463" s="207" t="str">
        <f>VLOOKUP(RIGHT(E3463,3)+0,SchLocTable!$A$2:$B$47,2,FALSE)</f>
        <v>Multicultural Magnet</v>
      </c>
      <c r="B3463" s="207" t="str">
        <f>VLOOKUP(VALUE(D3463),$D$3:F$106,3,FALSE)</f>
        <v>Security</v>
      </c>
      <c r="C3463" s="755" t="s">
        <v>246</v>
      </c>
      <c r="D3463" s="751" t="s">
        <v>942</v>
      </c>
      <c r="E3463" s="751" t="s">
        <v>979</v>
      </c>
      <c r="F3463" s="751" t="s">
        <v>259</v>
      </c>
      <c r="G3463" s="752" t="s">
        <v>1681</v>
      </c>
      <c r="H3463" s="753">
        <v>52917</v>
      </c>
      <c r="I3463" s="754">
        <v>34357</v>
      </c>
      <c r="J3463" s="754">
        <v>0</v>
      </c>
      <c r="K3463" s="754">
        <v>0</v>
      </c>
      <c r="L3463" s="754">
        <v>10530.88</v>
      </c>
      <c r="M3463" s="754">
        <f t="shared" si="133"/>
        <v>10530.88</v>
      </c>
      <c r="N3463" s="756">
        <v>34357</v>
      </c>
      <c r="O3463" s="720">
        <f t="shared" si="134"/>
        <v>0</v>
      </c>
    </row>
    <row r="3464" spans="1:15" x14ac:dyDescent="0.25">
      <c r="A3464" s="207" t="str">
        <f>VLOOKUP(RIGHT(E3464,3)+0,SchLocTable!$A$2:$B$47,2,FALSE)</f>
        <v>Bassick HS</v>
      </c>
      <c r="B3464" s="207" t="str">
        <f>VLOOKUP(VALUE(D3464),$D$3:F$106,3,FALSE)</f>
        <v>Security</v>
      </c>
      <c r="C3464" s="751" t="s">
        <v>246</v>
      </c>
      <c r="D3464" s="751" t="s">
        <v>942</v>
      </c>
      <c r="E3464" s="751" t="s">
        <v>980</v>
      </c>
      <c r="F3464" s="751" t="s">
        <v>248</v>
      </c>
      <c r="G3464" s="752">
        <v>6</v>
      </c>
      <c r="H3464" s="753">
        <v>51000</v>
      </c>
      <c r="I3464" s="754">
        <v>227758.01</v>
      </c>
      <c r="J3464" s="754">
        <v>0</v>
      </c>
      <c r="K3464" s="754">
        <v>0</v>
      </c>
      <c r="L3464" s="754">
        <v>68984.45</v>
      </c>
      <c r="M3464" s="754">
        <f t="shared" si="133"/>
        <v>68984.45</v>
      </c>
      <c r="N3464" s="756">
        <v>227758.01</v>
      </c>
      <c r="O3464" s="720">
        <f t="shared" si="134"/>
        <v>0</v>
      </c>
    </row>
    <row r="3465" spans="1:15" x14ac:dyDescent="0.25">
      <c r="A3465" s="207" t="str">
        <f>VLOOKUP(RIGHT(E3465,3)+0,SchLocTable!$A$2:$B$47,2,FALSE)</f>
        <v>Bassick HS</v>
      </c>
      <c r="B3465" s="207" t="str">
        <f>VLOOKUP(VALUE(D3465),$D$3:F$106,3,FALSE)</f>
        <v>Security</v>
      </c>
      <c r="C3465" s="751" t="s">
        <v>246</v>
      </c>
      <c r="D3465" s="751" t="s">
        <v>942</v>
      </c>
      <c r="E3465" s="751" t="s">
        <v>980</v>
      </c>
      <c r="F3465" s="751" t="s">
        <v>378</v>
      </c>
      <c r="G3465" s="752" t="s">
        <v>1681</v>
      </c>
      <c r="H3465" s="753">
        <v>51108</v>
      </c>
      <c r="I3465" s="754">
        <v>419.42</v>
      </c>
      <c r="J3465" s="754">
        <v>0</v>
      </c>
      <c r="K3465" s="754">
        <v>0</v>
      </c>
      <c r="L3465" s="754">
        <v>419.42</v>
      </c>
      <c r="M3465" s="754">
        <f t="shared" si="133"/>
        <v>419.42</v>
      </c>
      <c r="N3465" s="756">
        <v>419.42</v>
      </c>
      <c r="O3465" s="720">
        <f t="shared" si="134"/>
        <v>0</v>
      </c>
    </row>
    <row r="3466" spans="1:15" x14ac:dyDescent="0.25">
      <c r="A3466" s="207" t="str">
        <f>VLOOKUP(RIGHT(E3466,3)+0,SchLocTable!$A$2:$B$47,2,FALSE)</f>
        <v>Bassick HS</v>
      </c>
      <c r="B3466" s="207" t="str">
        <f>VLOOKUP(VALUE(D3466),$D$3:F$106,3,FALSE)</f>
        <v>Security</v>
      </c>
      <c r="C3466" s="751" t="s">
        <v>246</v>
      </c>
      <c r="D3466" s="751" t="s">
        <v>942</v>
      </c>
      <c r="E3466" s="751" t="s">
        <v>980</v>
      </c>
      <c r="F3466" s="751" t="s">
        <v>380</v>
      </c>
      <c r="G3466" s="752" t="s">
        <v>1681</v>
      </c>
      <c r="H3466" s="753">
        <v>51122</v>
      </c>
      <c r="I3466" s="754">
        <v>874.16</v>
      </c>
      <c r="J3466" s="754">
        <v>0</v>
      </c>
      <c r="K3466" s="754">
        <v>0</v>
      </c>
      <c r="L3466" s="754">
        <v>874.16</v>
      </c>
      <c r="M3466" s="754">
        <f t="shared" si="133"/>
        <v>874.16</v>
      </c>
      <c r="N3466" s="756">
        <v>874.16</v>
      </c>
      <c r="O3466" s="720">
        <f t="shared" si="134"/>
        <v>0</v>
      </c>
    </row>
    <row r="3467" spans="1:15" x14ac:dyDescent="0.25">
      <c r="A3467" s="207" t="str">
        <f>VLOOKUP(RIGHT(E3467,3)+0,SchLocTable!$A$2:$B$47,2,FALSE)</f>
        <v>Bassick HS</v>
      </c>
      <c r="B3467" s="207" t="str">
        <f>VLOOKUP(VALUE(D3467),$D$3:F$106,3,FALSE)</f>
        <v>Security</v>
      </c>
      <c r="C3467" s="751" t="s">
        <v>246</v>
      </c>
      <c r="D3467" s="751" t="s">
        <v>942</v>
      </c>
      <c r="E3467" s="751" t="s">
        <v>980</v>
      </c>
      <c r="F3467" s="751" t="s">
        <v>257</v>
      </c>
      <c r="G3467" s="752" t="s">
        <v>1681</v>
      </c>
      <c r="H3467" s="753">
        <v>51140</v>
      </c>
      <c r="I3467" s="754">
        <v>3825</v>
      </c>
      <c r="J3467" s="754">
        <v>0</v>
      </c>
      <c r="K3467" s="754">
        <v>0</v>
      </c>
      <c r="L3467" s="754">
        <v>3825</v>
      </c>
      <c r="M3467" s="754">
        <f t="shared" si="133"/>
        <v>3825</v>
      </c>
      <c r="N3467" s="756">
        <v>3825</v>
      </c>
      <c r="O3467" s="720">
        <f t="shared" si="134"/>
        <v>0</v>
      </c>
    </row>
    <row r="3468" spans="1:15" x14ac:dyDescent="0.25">
      <c r="A3468" s="207" t="str">
        <f>VLOOKUP(RIGHT(E3468,3)+0,SchLocTable!$A$2:$B$47,2,FALSE)</f>
        <v>Bassick HS</v>
      </c>
      <c r="B3468" s="207" t="str">
        <f>VLOOKUP(VALUE(D3468),$D$3:F$106,3,FALSE)</f>
        <v>Security</v>
      </c>
      <c r="C3468" s="751" t="s">
        <v>246</v>
      </c>
      <c r="D3468" s="751" t="s">
        <v>942</v>
      </c>
      <c r="E3468" s="751" t="s">
        <v>980</v>
      </c>
      <c r="F3468" s="751" t="s">
        <v>797</v>
      </c>
      <c r="G3468" s="752" t="s">
        <v>1681</v>
      </c>
      <c r="H3468" s="753">
        <v>51156</v>
      </c>
      <c r="I3468" s="754">
        <v>0</v>
      </c>
      <c r="J3468" s="754">
        <v>0</v>
      </c>
      <c r="K3468" s="754">
        <v>0</v>
      </c>
      <c r="L3468" s="754">
        <v>0</v>
      </c>
      <c r="M3468" s="754">
        <f t="shared" si="133"/>
        <v>0</v>
      </c>
      <c r="N3468" s="756">
        <v>0</v>
      </c>
      <c r="O3468" s="720">
        <f t="shared" si="134"/>
        <v>0</v>
      </c>
    </row>
    <row r="3469" spans="1:15" x14ac:dyDescent="0.25">
      <c r="A3469" s="207" t="str">
        <f>VLOOKUP(RIGHT(E3469,3)+0,SchLocTable!$A$2:$B$47,2,FALSE)</f>
        <v>Bassick HS</v>
      </c>
      <c r="B3469" s="207" t="str">
        <f>VLOOKUP(VALUE(D3469),$D$3:F$106,3,FALSE)</f>
        <v>Security</v>
      </c>
      <c r="C3469" s="751" t="s">
        <v>246</v>
      </c>
      <c r="D3469" s="751" t="s">
        <v>942</v>
      </c>
      <c r="E3469" s="751" t="s">
        <v>980</v>
      </c>
      <c r="F3469" s="751" t="s">
        <v>254</v>
      </c>
      <c r="G3469" s="752" t="s">
        <v>1681</v>
      </c>
      <c r="H3469" s="753">
        <v>52360</v>
      </c>
      <c r="I3469" s="754">
        <v>3179.04</v>
      </c>
      <c r="J3469" s="754">
        <v>0</v>
      </c>
      <c r="K3469" s="754">
        <v>0</v>
      </c>
      <c r="L3469" s="754">
        <v>876.82</v>
      </c>
      <c r="M3469" s="754">
        <f t="shared" si="133"/>
        <v>876.82</v>
      </c>
      <c r="N3469" s="756">
        <v>3179.04</v>
      </c>
      <c r="O3469" s="720">
        <f t="shared" si="134"/>
        <v>0</v>
      </c>
    </row>
    <row r="3470" spans="1:15" x14ac:dyDescent="0.25">
      <c r="A3470" s="207" t="str">
        <f>VLOOKUP(RIGHT(E3470,3)+0,SchLocTable!$A$2:$B$47,2,FALSE)</f>
        <v>Bassick HS</v>
      </c>
      <c r="B3470" s="207" t="str">
        <f>VLOOKUP(VALUE(D3470),$D$3:F$106,3,FALSE)</f>
        <v>Security</v>
      </c>
      <c r="C3470" s="751" t="s">
        <v>246</v>
      </c>
      <c r="D3470" s="751" t="s">
        <v>942</v>
      </c>
      <c r="E3470" s="751" t="s">
        <v>980</v>
      </c>
      <c r="F3470" s="751" t="s">
        <v>292</v>
      </c>
      <c r="G3470" s="752" t="s">
        <v>1681</v>
      </c>
      <c r="H3470" s="753">
        <v>52385</v>
      </c>
      <c r="I3470" s="754">
        <v>0</v>
      </c>
      <c r="J3470" s="754">
        <v>0</v>
      </c>
      <c r="K3470" s="754">
        <v>0</v>
      </c>
      <c r="L3470" s="754">
        <v>0</v>
      </c>
      <c r="M3470" s="754">
        <f t="shared" si="133"/>
        <v>0</v>
      </c>
      <c r="N3470" s="756">
        <v>0</v>
      </c>
      <c r="O3470" s="720">
        <f t="shared" si="134"/>
        <v>0</v>
      </c>
    </row>
    <row r="3471" spans="1:15" x14ac:dyDescent="0.25">
      <c r="A3471" s="207" t="str">
        <f>VLOOKUP(RIGHT(E3471,3)+0,SchLocTable!$A$2:$B$47,2,FALSE)</f>
        <v>Bassick HS</v>
      </c>
      <c r="B3471" s="207" t="str">
        <f>VLOOKUP(VALUE(D3471),$D$3:F$106,3,FALSE)</f>
        <v>Security</v>
      </c>
      <c r="C3471" s="751" t="s">
        <v>246</v>
      </c>
      <c r="D3471" s="751" t="s">
        <v>942</v>
      </c>
      <c r="E3471" s="751" t="s">
        <v>980</v>
      </c>
      <c r="F3471" s="751" t="s">
        <v>331</v>
      </c>
      <c r="G3471" s="752" t="s">
        <v>1681</v>
      </c>
      <c r="H3471" s="753">
        <v>52504</v>
      </c>
      <c r="I3471" s="754">
        <v>47949.49</v>
      </c>
      <c r="J3471" s="754">
        <v>0</v>
      </c>
      <c r="K3471" s="754">
        <v>0</v>
      </c>
      <c r="L3471" s="754">
        <v>15258.01</v>
      </c>
      <c r="M3471" s="754">
        <f t="shared" si="133"/>
        <v>15258.01</v>
      </c>
      <c r="N3471" s="756">
        <v>47949.49</v>
      </c>
      <c r="O3471" s="720">
        <f t="shared" si="134"/>
        <v>0</v>
      </c>
    </row>
    <row r="3472" spans="1:15" x14ac:dyDescent="0.25">
      <c r="A3472" s="207" t="str">
        <f>VLOOKUP(RIGHT(E3472,3)+0,SchLocTable!$A$2:$B$47,2,FALSE)</f>
        <v>Bassick HS</v>
      </c>
      <c r="B3472" s="207" t="str">
        <f>VLOOKUP(VALUE(D3472),$D$3:F$106,3,FALSE)</f>
        <v>Security</v>
      </c>
      <c r="C3472" s="751" t="s">
        <v>246</v>
      </c>
      <c r="D3472" s="751" t="s">
        <v>942</v>
      </c>
      <c r="E3472" s="751" t="s">
        <v>980</v>
      </c>
      <c r="F3472" s="751" t="s">
        <v>259</v>
      </c>
      <c r="G3472" s="752" t="s">
        <v>1681</v>
      </c>
      <c r="H3472" s="753">
        <v>52917</v>
      </c>
      <c r="I3472" s="754">
        <v>128473.07</v>
      </c>
      <c r="J3472" s="754">
        <v>0</v>
      </c>
      <c r="K3472" s="754">
        <v>0</v>
      </c>
      <c r="L3472" s="754">
        <v>39378.720000000001</v>
      </c>
      <c r="M3472" s="754">
        <f t="shared" si="133"/>
        <v>39378.720000000001</v>
      </c>
      <c r="N3472" s="756">
        <v>128473.07</v>
      </c>
      <c r="O3472" s="720">
        <f t="shared" si="134"/>
        <v>0</v>
      </c>
    </row>
    <row r="3473" spans="1:15" x14ac:dyDescent="0.25">
      <c r="A3473" s="207" t="str">
        <f>VLOOKUP(RIGHT(E3473,3)+0,SchLocTable!$A$2:$B$47,2,FALSE)</f>
        <v>Bassick HS</v>
      </c>
      <c r="B3473" s="207" t="str">
        <f>VLOOKUP(VALUE(D3473),$D$3:F$106,3,FALSE)</f>
        <v>Security</v>
      </c>
      <c r="C3473" s="751" t="s">
        <v>246</v>
      </c>
      <c r="D3473" s="751" t="s">
        <v>942</v>
      </c>
      <c r="E3473" s="751" t="s">
        <v>980</v>
      </c>
      <c r="F3473" s="751" t="s">
        <v>333</v>
      </c>
      <c r="G3473" s="752" t="s">
        <v>1681</v>
      </c>
      <c r="H3473" s="753">
        <v>52920</v>
      </c>
      <c r="I3473" s="754">
        <v>2666.67</v>
      </c>
      <c r="J3473" s="754">
        <v>0</v>
      </c>
      <c r="K3473" s="754">
        <v>0</v>
      </c>
      <c r="L3473" s="754">
        <v>0</v>
      </c>
      <c r="M3473" s="754">
        <f t="shared" si="133"/>
        <v>0</v>
      </c>
      <c r="N3473" s="756">
        <v>2666.67</v>
      </c>
      <c r="O3473" s="720">
        <f t="shared" si="134"/>
        <v>0</v>
      </c>
    </row>
    <row r="3474" spans="1:15" x14ac:dyDescent="0.25">
      <c r="A3474" s="207" t="str">
        <f>VLOOKUP(RIGHT(E3474,3)+0,SchLocTable!$A$2:$B$47,2,FALSE)</f>
        <v>Central HS</v>
      </c>
      <c r="B3474" s="207" t="str">
        <f>VLOOKUP(VALUE(D3474),$D$3:F$106,3,FALSE)</f>
        <v>Security</v>
      </c>
      <c r="C3474" s="751" t="s">
        <v>246</v>
      </c>
      <c r="D3474" s="755" t="s">
        <v>942</v>
      </c>
      <c r="E3474" s="751" t="s">
        <v>981</v>
      </c>
      <c r="F3474" s="751" t="s">
        <v>248</v>
      </c>
      <c r="G3474" s="752">
        <v>6</v>
      </c>
      <c r="H3474" s="753">
        <v>51000</v>
      </c>
      <c r="I3474" s="754">
        <v>273948.56</v>
      </c>
      <c r="J3474" s="754">
        <v>0</v>
      </c>
      <c r="K3474" s="754">
        <v>0</v>
      </c>
      <c r="L3474" s="754">
        <v>83956.479999999996</v>
      </c>
      <c r="M3474" s="754">
        <f t="shared" si="133"/>
        <v>83956.479999999996</v>
      </c>
      <c r="N3474" s="756">
        <v>273948.56</v>
      </c>
      <c r="O3474" s="720">
        <f t="shared" si="134"/>
        <v>0</v>
      </c>
    </row>
    <row r="3475" spans="1:15" x14ac:dyDescent="0.25">
      <c r="A3475" s="207" t="str">
        <f>VLOOKUP(RIGHT(E3475,3)+0,SchLocTable!$A$2:$B$47,2,FALSE)</f>
        <v>Central HS</v>
      </c>
      <c r="B3475" s="207" t="str">
        <f>VLOOKUP(VALUE(D3475),$D$3:F$106,3,FALSE)</f>
        <v>Security</v>
      </c>
      <c r="C3475" s="751" t="s">
        <v>246</v>
      </c>
      <c r="D3475" s="751" t="s">
        <v>942</v>
      </c>
      <c r="E3475" s="751" t="s">
        <v>981</v>
      </c>
      <c r="F3475" s="751" t="s">
        <v>378</v>
      </c>
      <c r="G3475" s="752" t="s">
        <v>1681</v>
      </c>
      <c r="H3475" s="753">
        <v>51108</v>
      </c>
      <c r="I3475" s="754">
        <v>0</v>
      </c>
      <c r="J3475" s="754">
        <v>0</v>
      </c>
      <c r="K3475" s="754">
        <v>0</v>
      </c>
      <c r="L3475" s="754">
        <v>0</v>
      </c>
      <c r="M3475" s="754">
        <f t="shared" si="133"/>
        <v>0</v>
      </c>
      <c r="N3475" s="756">
        <v>0</v>
      </c>
      <c r="O3475" s="720">
        <f t="shared" si="134"/>
        <v>0</v>
      </c>
    </row>
    <row r="3476" spans="1:15" x14ac:dyDescent="0.25">
      <c r="A3476" s="207" t="str">
        <f>VLOOKUP(RIGHT(E3476,3)+0,SchLocTable!$A$2:$B$47,2,FALSE)</f>
        <v>Central HS</v>
      </c>
      <c r="B3476" s="207" t="str">
        <f>VLOOKUP(VALUE(D3476),$D$3:F$106,3,FALSE)</f>
        <v>Security</v>
      </c>
      <c r="C3476" s="751" t="s">
        <v>246</v>
      </c>
      <c r="D3476" s="751" t="s">
        <v>942</v>
      </c>
      <c r="E3476" s="751" t="s">
        <v>981</v>
      </c>
      <c r="F3476" s="751" t="s">
        <v>915</v>
      </c>
      <c r="G3476" s="752" t="s">
        <v>1681</v>
      </c>
      <c r="H3476" s="753">
        <v>51116</v>
      </c>
      <c r="I3476" s="754">
        <v>0</v>
      </c>
      <c r="J3476" s="754">
        <v>0</v>
      </c>
      <c r="K3476" s="754">
        <v>0</v>
      </c>
      <c r="L3476" s="754">
        <v>0</v>
      </c>
      <c r="M3476" s="754">
        <f t="shared" si="133"/>
        <v>0</v>
      </c>
      <c r="N3476" s="756">
        <v>0</v>
      </c>
      <c r="O3476" s="720">
        <f t="shared" si="134"/>
        <v>0</v>
      </c>
    </row>
    <row r="3477" spans="1:15" x14ac:dyDescent="0.25">
      <c r="A3477" s="207" t="str">
        <f>VLOOKUP(RIGHT(E3477,3)+0,SchLocTable!$A$2:$B$47,2,FALSE)</f>
        <v>Central HS</v>
      </c>
      <c r="B3477" s="207" t="str">
        <f>VLOOKUP(VALUE(D3477),$D$3:F$106,3,FALSE)</f>
        <v>Security</v>
      </c>
      <c r="C3477" s="751" t="s">
        <v>246</v>
      </c>
      <c r="D3477" s="751" t="s">
        <v>942</v>
      </c>
      <c r="E3477" s="751" t="s">
        <v>981</v>
      </c>
      <c r="F3477" s="751" t="s">
        <v>380</v>
      </c>
      <c r="G3477" s="752" t="s">
        <v>1681</v>
      </c>
      <c r="H3477" s="753">
        <v>51122</v>
      </c>
      <c r="I3477" s="754">
        <v>138.47999999999999</v>
      </c>
      <c r="J3477" s="754">
        <v>0</v>
      </c>
      <c r="K3477" s="754">
        <v>0</v>
      </c>
      <c r="L3477" s="754">
        <v>138.47999999999999</v>
      </c>
      <c r="M3477" s="754">
        <f t="shared" si="133"/>
        <v>138.47999999999999</v>
      </c>
      <c r="N3477" s="756">
        <v>138.47999999999999</v>
      </c>
      <c r="O3477" s="720">
        <f t="shared" si="134"/>
        <v>0</v>
      </c>
    </row>
    <row r="3478" spans="1:15" x14ac:dyDescent="0.25">
      <c r="A3478" s="207" t="str">
        <f>VLOOKUP(RIGHT(E3478,3)+0,SchLocTable!$A$2:$B$47,2,FALSE)</f>
        <v>Central HS</v>
      </c>
      <c r="B3478" s="207" t="str">
        <f>VLOOKUP(VALUE(D3478),$D$3:F$106,3,FALSE)</f>
        <v>Security</v>
      </c>
      <c r="C3478" s="751" t="s">
        <v>246</v>
      </c>
      <c r="D3478" s="751" t="s">
        <v>942</v>
      </c>
      <c r="E3478" s="751" t="s">
        <v>981</v>
      </c>
      <c r="F3478" s="751" t="s">
        <v>257</v>
      </c>
      <c r="G3478" s="752" t="s">
        <v>1681</v>
      </c>
      <c r="H3478" s="753">
        <v>51140</v>
      </c>
      <c r="I3478" s="754">
        <v>5850</v>
      </c>
      <c r="J3478" s="754">
        <v>0</v>
      </c>
      <c r="K3478" s="754">
        <v>0</v>
      </c>
      <c r="L3478" s="754">
        <v>5850</v>
      </c>
      <c r="M3478" s="754">
        <f t="shared" si="133"/>
        <v>5850</v>
      </c>
      <c r="N3478" s="756">
        <v>5850</v>
      </c>
      <c r="O3478" s="720">
        <f t="shared" si="134"/>
        <v>0</v>
      </c>
    </row>
    <row r="3479" spans="1:15" x14ac:dyDescent="0.25">
      <c r="A3479" s="207" t="str">
        <f>VLOOKUP(RIGHT(E3479,3)+0,SchLocTable!$A$2:$B$47,2,FALSE)</f>
        <v>Central HS</v>
      </c>
      <c r="B3479" s="207" t="str">
        <f>VLOOKUP(VALUE(D3479),$D$3:F$106,3,FALSE)</f>
        <v>Security</v>
      </c>
      <c r="C3479" s="751" t="s">
        <v>246</v>
      </c>
      <c r="D3479" s="751" t="s">
        <v>942</v>
      </c>
      <c r="E3479" s="751" t="s">
        <v>981</v>
      </c>
      <c r="F3479" s="751" t="s">
        <v>254</v>
      </c>
      <c r="G3479" s="752" t="s">
        <v>1681</v>
      </c>
      <c r="H3479" s="753">
        <v>52360</v>
      </c>
      <c r="I3479" s="754">
        <v>3901.58</v>
      </c>
      <c r="J3479" s="754">
        <v>0</v>
      </c>
      <c r="K3479" s="754">
        <v>0</v>
      </c>
      <c r="L3479" s="754">
        <v>1146.69</v>
      </c>
      <c r="M3479" s="754">
        <f t="shared" si="133"/>
        <v>1146.69</v>
      </c>
      <c r="N3479" s="756">
        <v>3901.58</v>
      </c>
      <c r="O3479" s="720">
        <f t="shared" si="134"/>
        <v>0</v>
      </c>
    </row>
    <row r="3480" spans="1:15" x14ac:dyDescent="0.25">
      <c r="A3480" s="207" t="str">
        <f>VLOOKUP(RIGHT(E3480,3)+0,SchLocTable!$A$2:$B$47,2,FALSE)</f>
        <v>Central HS</v>
      </c>
      <c r="B3480" s="207" t="str">
        <f>VLOOKUP(VALUE(D3480),$D$3:F$106,3,FALSE)</f>
        <v>Security</v>
      </c>
      <c r="C3480" s="751" t="s">
        <v>246</v>
      </c>
      <c r="D3480" s="751" t="s">
        <v>942</v>
      </c>
      <c r="E3480" s="751" t="s">
        <v>981</v>
      </c>
      <c r="F3480" s="751" t="s">
        <v>292</v>
      </c>
      <c r="G3480" s="752" t="s">
        <v>1681</v>
      </c>
      <c r="H3480" s="753">
        <v>52385</v>
      </c>
      <c r="I3480" s="754">
        <v>0</v>
      </c>
      <c r="J3480" s="754">
        <v>0</v>
      </c>
      <c r="K3480" s="754">
        <v>0</v>
      </c>
      <c r="L3480" s="754">
        <v>0</v>
      </c>
      <c r="M3480" s="754">
        <f t="shared" si="133"/>
        <v>0</v>
      </c>
      <c r="N3480" s="756">
        <v>0</v>
      </c>
      <c r="O3480" s="720">
        <f t="shared" si="134"/>
        <v>0</v>
      </c>
    </row>
    <row r="3481" spans="1:15" x14ac:dyDescent="0.25">
      <c r="A3481" s="207" t="str">
        <f>VLOOKUP(RIGHT(E3481,3)+0,SchLocTable!$A$2:$B$47,2,FALSE)</f>
        <v>Central HS</v>
      </c>
      <c r="B3481" s="207" t="str">
        <f>VLOOKUP(VALUE(D3481),$D$3:F$106,3,FALSE)</f>
        <v>Security</v>
      </c>
      <c r="C3481" s="751" t="s">
        <v>246</v>
      </c>
      <c r="D3481" s="751" t="s">
        <v>942</v>
      </c>
      <c r="E3481" s="751" t="s">
        <v>981</v>
      </c>
      <c r="F3481" s="751" t="s">
        <v>331</v>
      </c>
      <c r="G3481" s="752" t="s">
        <v>1681</v>
      </c>
      <c r="H3481" s="753">
        <v>52504</v>
      </c>
      <c r="I3481" s="754">
        <v>57639.27</v>
      </c>
      <c r="J3481" s="754">
        <v>0</v>
      </c>
      <c r="K3481" s="754">
        <v>0</v>
      </c>
      <c r="L3481" s="754">
        <v>18519.900000000001</v>
      </c>
      <c r="M3481" s="754">
        <f t="shared" si="133"/>
        <v>18519.900000000001</v>
      </c>
      <c r="N3481" s="756">
        <v>57639.27</v>
      </c>
      <c r="O3481" s="720">
        <f t="shared" si="134"/>
        <v>0</v>
      </c>
    </row>
    <row r="3482" spans="1:15" x14ac:dyDescent="0.25">
      <c r="A3482" s="207" t="str">
        <f>VLOOKUP(RIGHT(E3482,3)+0,SchLocTable!$A$2:$B$47,2,FALSE)</f>
        <v>Central HS</v>
      </c>
      <c r="B3482" s="207" t="str">
        <f>VLOOKUP(VALUE(D3482),$D$3:F$106,3,FALSE)</f>
        <v>Security</v>
      </c>
      <c r="C3482" s="751" t="s">
        <v>246</v>
      </c>
      <c r="D3482" s="751" t="s">
        <v>942</v>
      </c>
      <c r="E3482" s="751" t="s">
        <v>981</v>
      </c>
      <c r="F3482" s="751" t="s">
        <v>259</v>
      </c>
      <c r="G3482" s="752" t="s">
        <v>1681</v>
      </c>
      <c r="H3482" s="753">
        <v>52917</v>
      </c>
      <c r="I3482" s="754">
        <v>140637.24</v>
      </c>
      <c r="J3482" s="754">
        <v>0</v>
      </c>
      <c r="K3482" s="754">
        <v>0</v>
      </c>
      <c r="L3482" s="754">
        <v>43107.199999999997</v>
      </c>
      <c r="M3482" s="754">
        <f t="shared" si="133"/>
        <v>43107.199999999997</v>
      </c>
      <c r="N3482" s="756">
        <v>140637.24</v>
      </c>
      <c r="O3482" s="720">
        <f t="shared" si="134"/>
        <v>0</v>
      </c>
    </row>
    <row r="3483" spans="1:15" x14ac:dyDescent="0.25">
      <c r="A3483" s="207" t="str">
        <f>VLOOKUP(RIGHT(E3483,3)+0,SchLocTable!$A$2:$B$47,2,FALSE)</f>
        <v>Harding HS</v>
      </c>
      <c r="B3483" s="207" t="str">
        <f>VLOOKUP(VALUE(D3483),$D$3:F$106,3,FALSE)</f>
        <v>Security</v>
      </c>
      <c r="C3483" s="751" t="s">
        <v>246</v>
      </c>
      <c r="D3483" s="751" t="s">
        <v>942</v>
      </c>
      <c r="E3483" s="751" t="s">
        <v>982</v>
      </c>
      <c r="F3483" s="751" t="s">
        <v>248</v>
      </c>
      <c r="G3483" s="752">
        <v>6</v>
      </c>
      <c r="H3483" s="753">
        <v>51000</v>
      </c>
      <c r="I3483" s="754">
        <v>294520.09999999998</v>
      </c>
      <c r="J3483" s="754">
        <v>0</v>
      </c>
      <c r="K3483" s="754">
        <v>0</v>
      </c>
      <c r="L3483" s="754">
        <v>86109.46</v>
      </c>
      <c r="M3483" s="754">
        <f t="shared" si="133"/>
        <v>86109.46</v>
      </c>
      <c r="N3483" s="756">
        <v>294520.09999999998</v>
      </c>
      <c r="O3483" s="720">
        <f t="shared" si="134"/>
        <v>0</v>
      </c>
    </row>
    <row r="3484" spans="1:15" x14ac:dyDescent="0.25">
      <c r="A3484" s="207" t="str">
        <f>VLOOKUP(RIGHT(E3484,3)+0,SchLocTable!$A$2:$B$47,2,FALSE)</f>
        <v>Harding HS</v>
      </c>
      <c r="B3484" s="207" t="str">
        <f>VLOOKUP(VALUE(D3484),$D$3:F$106,3,FALSE)</f>
        <v>Security</v>
      </c>
      <c r="C3484" s="751" t="s">
        <v>246</v>
      </c>
      <c r="D3484" s="751" t="s">
        <v>942</v>
      </c>
      <c r="E3484" s="751" t="s">
        <v>982</v>
      </c>
      <c r="F3484" s="751" t="s">
        <v>340</v>
      </c>
      <c r="G3484" s="752" t="s">
        <v>1681</v>
      </c>
      <c r="H3484" s="753">
        <v>51106</v>
      </c>
      <c r="I3484" s="754">
        <v>0</v>
      </c>
      <c r="J3484" s="754">
        <v>0</v>
      </c>
      <c r="K3484" s="754">
        <v>0</v>
      </c>
      <c r="L3484" s="754">
        <v>0</v>
      </c>
      <c r="M3484" s="754">
        <f t="shared" si="133"/>
        <v>0</v>
      </c>
      <c r="N3484" s="756">
        <v>0</v>
      </c>
      <c r="O3484" s="720">
        <f t="shared" si="134"/>
        <v>0</v>
      </c>
    </row>
    <row r="3485" spans="1:15" x14ac:dyDescent="0.25">
      <c r="A3485" s="207" t="str">
        <f>VLOOKUP(RIGHT(E3485,3)+0,SchLocTable!$A$2:$B$47,2,FALSE)</f>
        <v>Harding HS</v>
      </c>
      <c r="B3485" s="207" t="str">
        <f>VLOOKUP(VALUE(D3485),$D$3:F$106,3,FALSE)</f>
        <v>Security</v>
      </c>
      <c r="C3485" s="751" t="s">
        <v>246</v>
      </c>
      <c r="D3485" s="751" t="s">
        <v>942</v>
      </c>
      <c r="E3485" s="751" t="s">
        <v>982</v>
      </c>
      <c r="F3485" s="751" t="s">
        <v>378</v>
      </c>
      <c r="G3485" s="752" t="s">
        <v>1681</v>
      </c>
      <c r="H3485" s="753">
        <v>51108</v>
      </c>
      <c r="I3485" s="754">
        <v>0</v>
      </c>
      <c r="J3485" s="754">
        <v>0</v>
      </c>
      <c r="K3485" s="754">
        <v>0</v>
      </c>
      <c r="L3485" s="754">
        <v>0</v>
      </c>
      <c r="M3485" s="754">
        <f t="shared" si="133"/>
        <v>0</v>
      </c>
      <c r="N3485" s="756">
        <v>0</v>
      </c>
      <c r="O3485" s="720">
        <f t="shared" si="134"/>
        <v>0</v>
      </c>
    </row>
    <row r="3486" spans="1:15" x14ac:dyDescent="0.25">
      <c r="A3486" s="207" t="str">
        <f>VLOOKUP(RIGHT(E3486,3)+0,SchLocTable!$A$2:$B$47,2,FALSE)</f>
        <v>Harding HS</v>
      </c>
      <c r="B3486" s="207" t="str">
        <f>VLOOKUP(VALUE(D3486),$D$3:F$106,3,FALSE)</f>
        <v>Security</v>
      </c>
      <c r="C3486" s="751" t="s">
        <v>246</v>
      </c>
      <c r="D3486" s="751" t="s">
        <v>942</v>
      </c>
      <c r="E3486" s="751" t="s">
        <v>982</v>
      </c>
      <c r="F3486" s="751" t="s">
        <v>915</v>
      </c>
      <c r="G3486" s="752" t="s">
        <v>1681</v>
      </c>
      <c r="H3486" s="753">
        <v>51116</v>
      </c>
      <c r="I3486" s="754">
        <v>0</v>
      </c>
      <c r="J3486" s="754">
        <v>0</v>
      </c>
      <c r="K3486" s="754">
        <v>0</v>
      </c>
      <c r="L3486" s="754">
        <v>0</v>
      </c>
      <c r="M3486" s="754">
        <f t="shared" si="133"/>
        <v>0</v>
      </c>
      <c r="N3486" s="756">
        <v>0</v>
      </c>
      <c r="O3486" s="720">
        <f t="shared" si="134"/>
        <v>0</v>
      </c>
    </row>
    <row r="3487" spans="1:15" x14ac:dyDescent="0.25">
      <c r="A3487" s="207" t="str">
        <f>VLOOKUP(RIGHT(E3487,3)+0,SchLocTable!$A$2:$B$47,2,FALSE)</f>
        <v>Harding HS</v>
      </c>
      <c r="B3487" s="207" t="str">
        <f>VLOOKUP(VALUE(D3487),$D$3:F$106,3,FALSE)</f>
        <v>Security</v>
      </c>
      <c r="C3487" s="755" t="s">
        <v>246</v>
      </c>
      <c r="D3487" s="751" t="s">
        <v>942</v>
      </c>
      <c r="E3487" s="751" t="s">
        <v>982</v>
      </c>
      <c r="F3487" s="751" t="s">
        <v>380</v>
      </c>
      <c r="G3487" s="752" t="s">
        <v>1681</v>
      </c>
      <c r="H3487" s="753">
        <v>51122</v>
      </c>
      <c r="I3487" s="754">
        <v>415.44</v>
      </c>
      <c r="J3487" s="754">
        <v>0</v>
      </c>
      <c r="K3487" s="754">
        <v>0</v>
      </c>
      <c r="L3487" s="754">
        <v>415.44</v>
      </c>
      <c r="M3487" s="754">
        <f t="shared" si="133"/>
        <v>415.44</v>
      </c>
      <c r="N3487" s="756">
        <v>415.44</v>
      </c>
      <c r="O3487" s="720">
        <f t="shared" si="134"/>
        <v>0</v>
      </c>
    </row>
    <row r="3488" spans="1:15" x14ac:dyDescent="0.25">
      <c r="A3488" s="207" t="str">
        <f>VLOOKUP(RIGHT(E3488,3)+0,SchLocTable!$A$2:$B$47,2,FALSE)</f>
        <v>Harding HS</v>
      </c>
      <c r="B3488" s="207" t="str">
        <f>VLOOKUP(VALUE(D3488),$D$3:F$106,3,FALSE)</f>
        <v>Security</v>
      </c>
      <c r="C3488" s="755" t="s">
        <v>246</v>
      </c>
      <c r="D3488" s="751" t="s">
        <v>942</v>
      </c>
      <c r="E3488" s="751" t="s">
        <v>982</v>
      </c>
      <c r="F3488" s="751" t="s">
        <v>257</v>
      </c>
      <c r="G3488" s="752" t="s">
        <v>1681</v>
      </c>
      <c r="H3488" s="753">
        <v>51140</v>
      </c>
      <c r="I3488" s="754">
        <v>1800</v>
      </c>
      <c r="J3488" s="754">
        <v>0</v>
      </c>
      <c r="K3488" s="754">
        <v>0</v>
      </c>
      <c r="L3488" s="754">
        <v>1800</v>
      </c>
      <c r="M3488" s="754">
        <f t="shared" si="133"/>
        <v>1800</v>
      </c>
      <c r="N3488" s="756">
        <v>1800</v>
      </c>
      <c r="O3488" s="720">
        <f t="shared" si="134"/>
        <v>0</v>
      </c>
    </row>
    <row r="3489" spans="1:15" x14ac:dyDescent="0.25">
      <c r="A3489" s="207" t="str">
        <f>VLOOKUP(RIGHT(E3489,3)+0,SchLocTable!$A$2:$B$47,2,FALSE)</f>
        <v>Harding HS</v>
      </c>
      <c r="B3489" s="207" t="str">
        <f>VLOOKUP(VALUE(D3489),$D$3:F$106,3,FALSE)</f>
        <v>Security</v>
      </c>
      <c r="C3489" s="755" t="s">
        <v>246</v>
      </c>
      <c r="D3489" s="751" t="s">
        <v>942</v>
      </c>
      <c r="E3489" s="751" t="s">
        <v>982</v>
      </c>
      <c r="F3489" s="751" t="s">
        <v>797</v>
      </c>
      <c r="G3489" s="752" t="s">
        <v>1681</v>
      </c>
      <c r="H3489" s="753">
        <v>51156</v>
      </c>
      <c r="I3489" s="754">
        <v>0</v>
      </c>
      <c r="J3489" s="754">
        <v>0</v>
      </c>
      <c r="K3489" s="754">
        <v>0</v>
      </c>
      <c r="L3489" s="754">
        <v>0</v>
      </c>
      <c r="M3489" s="754">
        <f t="shared" si="133"/>
        <v>0</v>
      </c>
      <c r="N3489" s="756">
        <v>0</v>
      </c>
      <c r="O3489" s="720">
        <f t="shared" si="134"/>
        <v>0</v>
      </c>
    </row>
    <row r="3490" spans="1:15" x14ac:dyDescent="0.25">
      <c r="A3490" s="207" t="str">
        <f>VLOOKUP(RIGHT(E3490,3)+0,SchLocTable!$A$2:$B$47,2,FALSE)</f>
        <v>Harding HS</v>
      </c>
      <c r="B3490" s="207" t="str">
        <f>VLOOKUP(VALUE(D3490),$D$3:F$106,3,FALSE)</f>
        <v>Security</v>
      </c>
      <c r="C3490" s="751" t="s">
        <v>246</v>
      </c>
      <c r="D3490" s="751" t="s">
        <v>942</v>
      </c>
      <c r="E3490" s="751" t="s">
        <v>982</v>
      </c>
      <c r="F3490" s="751" t="s">
        <v>326</v>
      </c>
      <c r="G3490" s="752" t="s">
        <v>1681</v>
      </c>
      <c r="H3490" s="753">
        <v>51314</v>
      </c>
      <c r="I3490" s="754">
        <v>0</v>
      </c>
      <c r="J3490" s="754">
        <v>0</v>
      </c>
      <c r="K3490" s="754">
        <v>0</v>
      </c>
      <c r="L3490" s="754">
        <v>0</v>
      </c>
      <c r="M3490" s="754">
        <f t="shared" si="133"/>
        <v>0</v>
      </c>
      <c r="N3490" s="756">
        <v>0</v>
      </c>
      <c r="O3490" s="720">
        <f t="shared" si="134"/>
        <v>0</v>
      </c>
    </row>
    <row r="3491" spans="1:15" x14ac:dyDescent="0.25">
      <c r="A3491" s="207" t="str">
        <f>VLOOKUP(RIGHT(E3491,3)+0,SchLocTable!$A$2:$B$47,2,FALSE)</f>
        <v>Harding HS</v>
      </c>
      <c r="B3491" s="207" t="str">
        <f>VLOOKUP(VALUE(D3491),$D$3:F$106,3,FALSE)</f>
        <v>Security</v>
      </c>
      <c r="C3491" s="755" t="s">
        <v>246</v>
      </c>
      <c r="D3491" s="751" t="s">
        <v>942</v>
      </c>
      <c r="E3491" s="751" t="s">
        <v>982</v>
      </c>
      <c r="F3491" s="751" t="s">
        <v>254</v>
      </c>
      <c r="G3491" s="752" t="s">
        <v>1681</v>
      </c>
      <c r="H3491" s="753">
        <v>52360</v>
      </c>
      <c r="I3491" s="754">
        <v>4263.25</v>
      </c>
      <c r="J3491" s="754">
        <v>0</v>
      </c>
      <c r="K3491" s="754">
        <v>0</v>
      </c>
      <c r="L3491" s="754">
        <v>1241.3</v>
      </c>
      <c r="M3491" s="754">
        <f t="shared" si="133"/>
        <v>1241.3</v>
      </c>
      <c r="N3491" s="756">
        <v>4263.25</v>
      </c>
      <c r="O3491" s="720">
        <f t="shared" si="134"/>
        <v>0</v>
      </c>
    </row>
    <row r="3492" spans="1:15" x14ac:dyDescent="0.25">
      <c r="A3492" s="207" t="str">
        <f>VLOOKUP(RIGHT(E3492,3)+0,SchLocTable!$A$2:$B$47,2,FALSE)</f>
        <v>Harding HS</v>
      </c>
      <c r="B3492" s="207" t="str">
        <f>VLOOKUP(VALUE(D3492),$D$3:F$106,3,FALSE)</f>
        <v>Security</v>
      </c>
      <c r="C3492" s="751" t="s">
        <v>246</v>
      </c>
      <c r="D3492" s="751" t="s">
        <v>942</v>
      </c>
      <c r="E3492" s="751" t="s">
        <v>982</v>
      </c>
      <c r="F3492" s="751" t="s">
        <v>292</v>
      </c>
      <c r="G3492" s="752" t="s">
        <v>1681</v>
      </c>
      <c r="H3492" s="753">
        <v>52385</v>
      </c>
      <c r="I3492" s="754">
        <v>1085.95</v>
      </c>
      <c r="J3492" s="754">
        <v>0</v>
      </c>
      <c r="K3492" s="754">
        <v>0</v>
      </c>
      <c r="L3492" s="754">
        <v>324.66000000000003</v>
      </c>
      <c r="M3492" s="754">
        <f t="shared" si="133"/>
        <v>324.66000000000003</v>
      </c>
      <c r="N3492" s="756">
        <v>1085.95</v>
      </c>
      <c r="O3492" s="720">
        <f t="shared" si="134"/>
        <v>0</v>
      </c>
    </row>
    <row r="3493" spans="1:15" x14ac:dyDescent="0.25">
      <c r="A3493" s="207" t="str">
        <f>VLOOKUP(RIGHT(E3493,3)+0,SchLocTable!$A$2:$B$47,2,FALSE)</f>
        <v>Harding HS</v>
      </c>
      <c r="B3493" s="207" t="str">
        <f>VLOOKUP(VALUE(D3493),$D$3:F$106,3,FALSE)</f>
        <v>Security</v>
      </c>
      <c r="C3493" s="751" t="s">
        <v>246</v>
      </c>
      <c r="D3493" s="751" t="s">
        <v>942</v>
      </c>
      <c r="E3493" s="751" t="s">
        <v>982</v>
      </c>
      <c r="F3493" s="751" t="s">
        <v>331</v>
      </c>
      <c r="G3493" s="752" t="s">
        <v>1681</v>
      </c>
      <c r="H3493" s="753">
        <v>52504</v>
      </c>
      <c r="I3493" s="754">
        <v>60019.87</v>
      </c>
      <c r="J3493" s="754">
        <v>0</v>
      </c>
      <c r="K3493" s="754">
        <v>0</v>
      </c>
      <c r="L3493" s="754">
        <v>17108.12</v>
      </c>
      <c r="M3493" s="754">
        <f t="shared" si="133"/>
        <v>17108.12</v>
      </c>
      <c r="N3493" s="756">
        <v>60019.87</v>
      </c>
      <c r="O3493" s="720">
        <f t="shared" si="134"/>
        <v>0</v>
      </c>
    </row>
    <row r="3494" spans="1:15" x14ac:dyDescent="0.25">
      <c r="A3494" s="207" t="str">
        <f>VLOOKUP(RIGHT(E3494,3)+0,SchLocTable!$A$2:$B$47,2,FALSE)</f>
        <v>Harding HS</v>
      </c>
      <c r="B3494" s="207" t="str">
        <f>VLOOKUP(VALUE(D3494),$D$3:F$106,3,FALSE)</f>
        <v>Security</v>
      </c>
      <c r="C3494" s="751" t="s">
        <v>246</v>
      </c>
      <c r="D3494" s="751" t="s">
        <v>942</v>
      </c>
      <c r="E3494" s="751" t="s">
        <v>982</v>
      </c>
      <c r="F3494" s="751" t="s">
        <v>259</v>
      </c>
      <c r="G3494" s="752" t="s">
        <v>1681</v>
      </c>
      <c r="H3494" s="753">
        <v>52917</v>
      </c>
      <c r="I3494" s="754">
        <v>71230.009999999995</v>
      </c>
      <c r="J3494" s="754">
        <v>0</v>
      </c>
      <c r="K3494" s="754">
        <v>0</v>
      </c>
      <c r="L3494" s="754">
        <v>17217.8</v>
      </c>
      <c r="M3494" s="754">
        <f t="shared" si="133"/>
        <v>17217.8</v>
      </c>
      <c r="N3494" s="756">
        <v>71230.009999999995</v>
      </c>
      <c r="O3494" s="720">
        <f t="shared" si="134"/>
        <v>0</v>
      </c>
    </row>
    <row r="3495" spans="1:15" x14ac:dyDescent="0.25">
      <c r="A3495" s="207" t="str">
        <f>VLOOKUP(RIGHT(E3495,3)+0,SchLocTable!$A$2:$B$47,2,FALSE)</f>
        <v>Harding HS</v>
      </c>
      <c r="B3495" s="207" t="str">
        <f>VLOOKUP(VALUE(D3495),$D$3:F$106,3,FALSE)</f>
        <v>Security</v>
      </c>
      <c r="C3495" s="755" t="s">
        <v>246</v>
      </c>
      <c r="D3495" s="751" t="s">
        <v>942</v>
      </c>
      <c r="E3495" s="751" t="s">
        <v>982</v>
      </c>
      <c r="F3495" s="751" t="s">
        <v>333</v>
      </c>
      <c r="G3495" s="752" t="s">
        <v>1681</v>
      </c>
      <c r="H3495" s="753">
        <v>52920</v>
      </c>
      <c r="I3495" s="754">
        <v>5666.68</v>
      </c>
      <c r="J3495" s="754">
        <v>0</v>
      </c>
      <c r="K3495" s="754">
        <v>0</v>
      </c>
      <c r="L3495" s="754">
        <v>0</v>
      </c>
      <c r="M3495" s="754">
        <f t="shared" si="133"/>
        <v>0</v>
      </c>
      <c r="N3495" s="756">
        <v>5666.68</v>
      </c>
      <c r="O3495" s="720">
        <f t="shared" si="134"/>
        <v>0</v>
      </c>
    </row>
    <row r="3496" spans="1:15" x14ac:dyDescent="0.25">
      <c r="A3496" s="207" t="str">
        <f>VLOOKUP(RIGHT(E3496,3)+0,SchLocTable!$A$2:$B$47,2,FALSE)</f>
        <v>Aquaculture</v>
      </c>
      <c r="B3496" s="207" t="str">
        <f>VLOOKUP(VALUE(D3496),$D$3:F$106,3,FALSE)</f>
        <v>Security</v>
      </c>
      <c r="C3496" s="751" t="s">
        <v>246</v>
      </c>
      <c r="D3496" s="751" t="s">
        <v>942</v>
      </c>
      <c r="E3496" s="751" t="s">
        <v>983</v>
      </c>
      <c r="F3496" s="751" t="s">
        <v>248</v>
      </c>
      <c r="G3496" s="752">
        <v>1</v>
      </c>
      <c r="H3496" s="753">
        <v>51000</v>
      </c>
      <c r="I3496" s="754">
        <v>45784.72</v>
      </c>
      <c r="J3496" s="754">
        <v>0</v>
      </c>
      <c r="K3496" s="754">
        <v>0</v>
      </c>
      <c r="L3496" s="754">
        <v>14030.08</v>
      </c>
      <c r="M3496" s="754">
        <f t="shared" si="133"/>
        <v>14030.08</v>
      </c>
      <c r="N3496" s="756">
        <v>45784.72</v>
      </c>
      <c r="O3496" s="720">
        <f t="shared" si="134"/>
        <v>0</v>
      </c>
    </row>
    <row r="3497" spans="1:15" x14ac:dyDescent="0.25">
      <c r="A3497" s="207" t="str">
        <f>VLOOKUP(RIGHT(E3497,3)+0,SchLocTable!$A$2:$B$47,2,FALSE)</f>
        <v>Aquaculture</v>
      </c>
      <c r="B3497" s="207" t="str">
        <f>VLOOKUP(VALUE(D3497),$D$3:F$106,3,FALSE)</f>
        <v>Security</v>
      </c>
      <c r="C3497" s="751" t="s">
        <v>246</v>
      </c>
      <c r="D3497" s="751" t="s">
        <v>942</v>
      </c>
      <c r="E3497" s="751" t="s">
        <v>983</v>
      </c>
      <c r="F3497" s="751" t="s">
        <v>378</v>
      </c>
      <c r="G3497" s="752" t="s">
        <v>1681</v>
      </c>
      <c r="H3497" s="753">
        <v>51108</v>
      </c>
      <c r="I3497" s="754">
        <v>611.94000000000005</v>
      </c>
      <c r="J3497" s="754">
        <v>0</v>
      </c>
      <c r="K3497" s="754">
        <v>0</v>
      </c>
      <c r="L3497" s="754">
        <v>16.45</v>
      </c>
      <c r="M3497" s="754">
        <f t="shared" si="133"/>
        <v>16.45</v>
      </c>
      <c r="N3497" s="756">
        <v>611.94000000000005</v>
      </c>
      <c r="O3497" s="720">
        <f t="shared" si="134"/>
        <v>0</v>
      </c>
    </row>
    <row r="3498" spans="1:15" x14ac:dyDescent="0.25">
      <c r="A3498" s="207" t="str">
        <f>VLOOKUP(RIGHT(E3498,3)+0,SchLocTable!$A$2:$B$47,2,FALSE)</f>
        <v>Aquaculture</v>
      </c>
      <c r="B3498" s="207" t="str">
        <f>VLOOKUP(VALUE(D3498),$D$3:F$106,3,FALSE)</f>
        <v>Security</v>
      </c>
      <c r="C3498" s="751" t="s">
        <v>246</v>
      </c>
      <c r="D3498" s="751" t="s">
        <v>942</v>
      </c>
      <c r="E3498" s="751" t="s">
        <v>983</v>
      </c>
      <c r="F3498" s="751" t="s">
        <v>380</v>
      </c>
      <c r="G3498" s="752" t="s">
        <v>1681</v>
      </c>
      <c r="H3498" s="753">
        <v>51122</v>
      </c>
      <c r="I3498" s="754">
        <v>2714.21</v>
      </c>
      <c r="J3498" s="754">
        <v>0</v>
      </c>
      <c r="K3498" s="754">
        <v>0</v>
      </c>
      <c r="L3498" s="754">
        <v>207.72</v>
      </c>
      <c r="M3498" s="754">
        <f t="shared" si="133"/>
        <v>207.72</v>
      </c>
      <c r="N3498" s="756">
        <v>2714.21</v>
      </c>
      <c r="O3498" s="720">
        <f t="shared" si="134"/>
        <v>0</v>
      </c>
    </row>
    <row r="3499" spans="1:15" x14ac:dyDescent="0.25">
      <c r="A3499" s="207" t="str">
        <f>VLOOKUP(RIGHT(E3499,3)+0,SchLocTable!$A$2:$B$47,2,FALSE)</f>
        <v>Aquaculture</v>
      </c>
      <c r="B3499" s="207" t="str">
        <f>VLOOKUP(VALUE(D3499),$D$3:F$106,3,FALSE)</f>
        <v>Security</v>
      </c>
      <c r="C3499" s="751" t="s">
        <v>246</v>
      </c>
      <c r="D3499" s="751" t="s">
        <v>942</v>
      </c>
      <c r="E3499" s="751" t="s">
        <v>983</v>
      </c>
      <c r="F3499" s="751" t="s">
        <v>257</v>
      </c>
      <c r="G3499" s="752" t="s">
        <v>1681</v>
      </c>
      <c r="H3499" s="753">
        <v>51140</v>
      </c>
      <c r="I3499" s="754">
        <v>0</v>
      </c>
      <c r="J3499" s="754">
        <v>0</v>
      </c>
      <c r="K3499" s="754">
        <v>0</v>
      </c>
      <c r="L3499" s="754">
        <v>0</v>
      </c>
      <c r="M3499" s="754">
        <f t="shared" si="133"/>
        <v>0</v>
      </c>
      <c r="N3499" s="756">
        <v>0</v>
      </c>
      <c r="O3499" s="720">
        <f t="shared" si="134"/>
        <v>0</v>
      </c>
    </row>
    <row r="3500" spans="1:15" x14ac:dyDescent="0.25">
      <c r="A3500" s="207" t="str">
        <f>VLOOKUP(RIGHT(E3500,3)+0,SchLocTable!$A$2:$B$47,2,FALSE)</f>
        <v>Aquaculture</v>
      </c>
      <c r="B3500" s="207" t="str">
        <f>VLOOKUP(VALUE(D3500),$D$3:F$106,3,FALSE)</f>
        <v>Security</v>
      </c>
      <c r="C3500" s="751" t="s">
        <v>246</v>
      </c>
      <c r="D3500" s="751" t="s">
        <v>942</v>
      </c>
      <c r="E3500" s="751" t="s">
        <v>983</v>
      </c>
      <c r="F3500" s="751" t="s">
        <v>254</v>
      </c>
      <c r="G3500" s="752" t="s">
        <v>1681</v>
      </c>
      <c r="H3500" s="753">
        <v>52360</v>
      </c>
      <c r="I3500" s="754">
        <v>693.21</v>
      </c>
      <c r="J3500" s="754">
        <v>0</v>
      </c>
      <c r="K3500" s="754">
        <v>0</v>
      </c>
      <c r="L3500" s="754">
        <v>187.79</v>
      </c>
      <c r="M3500" s="754">
        <f t="shared" si="133"/>
        <v>187.79</v>
      </c>
      <c r="N3500" s="756">
        <v>693.21</v>
      </c>
      <c r="O3500" s="720">
        <f t="shared" si="134"/>
        <v>0</v>
      </c>
    </row>
    <row r="3501" spans="1:15" x14ac:dyDescent="0.25">
      <c r="A3501" s="207" t="str">
        <f>VLOOKUP(RIGHT(E3501,3)+0,SchLocTable!$A$2:$B$47,2,FALSE)</f>
        <v>Aquaculture</v>
      </c>
      <c r="B3501" s="207" t="str">
        <f>VLOOKUP(VALUE(D3501),$D$3:F$106,3,FALSE)</f>
        <v>Security</v>
      </c>
      <c r="C3501" s="751" t="s">
        <v>246</v>
      </c>
      <c r="D3501" s="751" t="s">
        <v>942</v>
      </c>
      <c r="E3501" s="751" t="s">
        <v>983</v>
      </c>
      <c r="F3501" s="751" t="s">
        <v>331</v>
      </c>
      <c r="G3501" s="752" t="s">
        <v>1681</v>
      </c>
      <c r="H3501" s="753">
        <v>52504</v>
      </c>
      <c r="I3501" s="754">
        <v>10111.98</v>
      </c>
      <c r="J3501" s="754">
        <v>0</v>
      </c>
      <c r="K3501" s="754">
        <v>0</v>
      </c>
      <c r="L3501" s="754">
        <v>2935</v>
      </c>
      <c r="M3501" s="754">
        <f t="shared" si="133"/>
        <v>2935</v>
      </c>
      <c r="N3501" s="756">
        <v>10111.98</v>
      </c>
      <c r="O3501" s="720">
        <f t="shared" si="134"/>
        <v>0</v>
      </c>
    </row>
    <row r="3502" spans="1:15" x14ac:dyDescent="0.25">
      <c r="A3502" s="207" t="str">
        <f>VLOOKUP(RIGHT(E3502,3)+0,SchLocTable!$A$2:$B$47,2,FALSE)</f>
        <v>Aquaculture</v>
      </c>
      <c r="B3502" s="207" t="str">
        <f>VLOOKUP(VALUE(D3502),$D$3:F$106,3,FALSE)</f>
        <v>Security</v>
      </c>
      <c r="C3502" s="755" t="s">
        <v>246</v>
      </c>
      <c r="D3502" s="751" t="s">
        <v>942</v>
      </c>
      <c r="E3502" s="751" t="s">
        <v>983</v>
      </c>
      <c r="F3502" s="751" t="s">
        <v>259</v>
      </c>
      <c r="G3502" s="752" t="s">
        <v>1681</v>
      </c>
      <c r="H3502" s="753">
        <v>52917</v>
      </c>
      <c r="I3502" s="754">
        <v>4418.08</v>
      </c>
      <c r="J3502" s="754">
        <v>0</v>
      </c>
      <c r="K3502" s="754">
        <v>0</v>
      </c>
      <c r="L3502" s="754">
        <v>3796.89</v>
      </c>
      <c r="M3502" s="754">
        <f t="shared" si="133"/>
        <v>3796.89</v>
      </c>
      <c r="N3502" s="756">
        <v>4418.08</v>
      </c>
      <c r="O3502" s="720">
        <f t="shared" si="134"/>
        <v>0</v>
      </c>
    </row>
    <row r="3503" spans="1:15" x14ac:dyDescent="0.25">
      <c r="A3503" s="207" t="str">
        <f>VLOOKUP(RIGHT(E3503,3)+0,SchLocTable!$A$2:$B$47,2,FALSE)</f>
        <v>FCW campus</v>
      </c>
      <c r="B3503" s="207" t="str">
        <f>VLOOKUP(VALUE(D3503),$D$3:F$106,3,FALSE)</f>
        <v>Security</v>
      </c>
      <c r="C3503" s="751" t="s">
        <v>246</v>
      </c>
      <c r="D3503" s="751" t="s">
        <v>942</v>
      </c>
      <c r="E3503" s="751" t="s">
        <v>984</v>
      </c>
      <c r="F3503" s="751" t="s">
        <v>248</v>
      </c>
      <c r="G3503" s="752">
        <v>6</v>
      </c>
      <c r="H3503" s="753">
        <v>51000</v>
      </c>
      <c r="I3503" s="754">
        <v>270930.40000000002</v>
      </c>
      <c r="J3503" s="754">
        <v>0</v>
      </c>
      <c r="K3503" s="754">
        <v>0</v>
      </c>
      <c r="L3503" s="754">
        <v>81459.600000000006</v>
      </c>
      <c r="M3503" s="754">
        <f t="shared" si="133"/>
        <v>81459.600000000006</v>
      </c>
      <c r="N3503" s="756">
        <v>270930.40000000002</v>
      </c>
      <c r="O3503" s="720">
        <f t="shared" si="134"/>
        <v>0</v>
      </c>
    </row>
    <row r="3504" spans="1:15" x14ac:dyDescent="0.25">
      <c r="A3504" s="207" t="str">
        <f>VLOOKUP(RIGHT(E3504,3)+0,SchLocTable!$A$2:$B$47,2,FALSE)</f>
        <v>FCW campus</v>
      </c>
      <c r="B3504" s="207" t="str">
        <f>VLOOKUP(VALUE(D3504),$D$3:F$106,3,FALSE)</f>
        <v>Security</v>
      </c>
      <c r="C3504" s="751" t="s">
        <v>246</v>
      </c>
      <c r="D3504" s="751" t="s">
        <v>942</v>
      </c>
      <c r="E3504" s="751" t="s">
        <v>984</v>
      </c>
      <c r="F3504" s="751" t="s">
        <v>378</v>
      </c>
      <c r="G3504" s="752" t="s">
        <v>1681</v>
      </c>
      <c r="H3504" s="753">
        <v>51108</v>
      </c>
      <c r="I3504" s="754">
        <v>0</v>
      </c>
      <c r="J3504" s="754">
        <v>0</v>
      </c>
      <c r="K3504" s="754">
        <v>0</v>
      </c>
      <c r="L3504" s="754">
        <v>0</v>
      </c>
      <c r="M3504" s="754">
        <f t="shared" si="133"/>
        <v>0</v>
      </c>
      <c r="N3504" s="756">
        <v>0</v>
      </c>
      <c r="O3504" s="720">
        <f t="shared" si="134"/>
        <v>0</v>
      </c>
    </row>
    <row r="3505" spans="1:15" x14ac:dyDescent="0.25">
      <c r="A3505" s="207" t="str">
        <f>VLOOKUP(RIGHT(E3505,3)+0,SchLocTable!$A$2:$B$47,2,FALSE)</f>
        <v>FCW campus</v>
      </c>
      <c r="B3505" s="207" t="str">
        <f>VLOOKUP(VALUE(D3505),$D$3:F$106,3,FALSE)</f>
        <v>Security</v>
      </c>
      <c r="C3505" s="751" t="s">
        <v>246</v>
      </c>
      <c r="D3505" s="751" t="s">
        <v>942</v>
      </c>
      <c r="E3505" s="751" t="s">
        <v>984</v>
      </c>
      <c r="F3505" s="751" t="s">
        <v>380</v>
      </c>
      <c r="G3505" s="752" t="s">
        <v>1681</v>
      </c>
      <c r="H3505" s="753">
        <v>51122</v>
      </c>
      <c r="I3505" s="754">
        <v>0</v>
      </c>
      <c r="J3505" s="754">
        <v>0</v>
      </c>
      <c r="K3505" s="754">
        <v>0</v>
      </c>
      <c r="L3505" s="754">
        <v>0</v>
      </c>
      <c r="M3505" s="754">
        <f t="shared" si="133"/>
        <v>0</v>
      </c>
      <c r="N3505" s="756">
        <v>0</v>
      </c>
      <c r="O3505" s="720">
        <f t="shared" si="134"/>
        <v>0</v>
      </c>
    </row>
    <row r="3506" spans="1:15" x14ac:dyDescent="0.25">
      <c r="A3506" s="207" t="str">
        <f>VLOOKUP(RIGHT(E3506,3)+0,SchLocTable!$A$2:$B$47,2,FALSE)</f>
        <v>FCW campus</v>
      </c>
      <c r="B3506" s="207" t="str">
        <f>VLOOKUP(VALUE(D3506),$D$3:F$106,3,FALSE)</f>
        <v>Security</v>
      </c>
      <c r="C3506" s="751" t="s">
        <v>246</v>
      </c>
      <c r="D3506" s="755" t="s">
        <v>942</v>
      </c>
      <c r="E3506" s="751" t="s">
        <v>984</v>
      </c>
      <c r="F3506" s="751" t="s">
        <v>257</v>
      </c>
      <c r="G3506" s="752" t="s">
        <v>1681</v>
      </c>
      <c r="H3506" s="753">
        <v>51140</v>
      </c>
      <c r="I3506" s="754">
        <v>5775</v>
      </c>
      <c r="J3506" s="754">
        <v>0</v>
      </c>
      <c r="K3506" s="754">
        <v>0</v>
      </c>
      <c r="L3506" s="754">
        <v>5775</v>
      </c>
      <c r="M3506" s="754">
        <f t="shared" si="133"/>
        <v>5775</v>
      </c>
      <c r="N3506" s="756">
        <v>5775</v>
      </c>
      <c r="O3506" s="720">
        <f t="shared" si="134"/>
        <v>0</v>
      </c>
    </row>
    <row r="3507" spans="1:15" x14ac:dyDescent="0.25">
      <c r="A3507" s="207" t="str">
        <f>VLOOKUP(RIGHT(E3507,3)+0,SchLocTable!$A$2:$B$47,2,FALSE)</f>
        <v>FCW campus</v>
      </c>
      <c r="B3507" s="207" t="str">
        <f>VLOOKUP(VALUE(D3507),$D$3:F$106,3,FALSE)</f>
        <v>Security</v>
      </c>
      <c r="C3507" s="751" t="s">
        <v>246</v>
      </c>
      <c r="D3507" s="751" t="s">
        <v>942</v>
      </c>
      <c r="E3507" s="751" t="s">
        <v>984</v>
      </c>
      <c r="F3507" s="751" t="s">
        <v>797</v>
      </c>
      <c r="G3507" s="752" t="s">
        <v>1681</v>
      </c>
      <c r="H3507" s="753">
        <v>51156</v>
      </c>
      <c r="I3507" s="754">
        <v>0</v>
      </c>
      <c r="J3507" s="754">
        <v>0</v>
      </c>
      <c r="K3507" s="754">
        <v>0</v>
      </c>
      <c r="L3507" s="754">
        <v>0</v>
      </c>
      <c r="M3507" s="754">
        <f t="shared" si="133"/>
        <v>0</v>
      </c>
      <c r="N3507" s="756">
        <v>0</v>
      </c>
      <c r="O3507" s="720">
        <f t="shared" si="134"/>
        <v>0</v>
      </c>
    </row>
    <row r="3508" spans="1:15" x14ac:dyDescent="0.25">
      <c r="A3508" s="207" t="str">
        <f>VLOOKUP(RIGHT(E3508,3)+0,SchLocTable!$A$2:$B$47,2,FALSE)</f>
        <v>FCW campus</v>
      </c>
      <c r="B3508" s="207" t="str">
        <f>VLOOKUP(VALUE(D3508),$D$3:F$106,3,FALSE)</f>
        <v>Security</v>
      </c>
      <c r="C3508" s="755" t="s">
        <v>246</v>
      </c>
      <c r="D3508" s="751" t="s">
        <v>942</v>
      </c>
      <c r="E3508" s="751" t="s">
        <v>984</v>
      </c>
      <c r="F3508" s="751" t="s">
        <v>254</v>
      </c>
      <c r="G3508" s="752" t="s">
        <v>1681</v>
      </c>
      <c r="H3508" s="753">
        <v>52360</v>
      </c>
      <c r="I3508" s="754">
        <v>3909.36</v>
      </c>
      <c r="J3508" s="754">
        <v>0</v>
      </c>
      <c r="K3508" s="754">
        <v>0</v>
      </c>
      <c r="L3508" s="754">
        <v>1162.03</v>
      </c>
      <c r="M3508" s="754">
        <f t="shared" si="133"/>
        <v>1162.03</v>
      </c>
      <c r="N3508" s="756">
        <v>3909.36</v>
      </c>
      <c r="O3508" s="720">
        <f t="shared" si="134"/>
        <v>0</v>
      </c>
    </row>
    <row r="3509" spans="1:15" x14ac:dyDescent="0.25">
      <c r="A3509" s="207" t="str">
        <f>VLOOKUP(RIGHT(E3509,3)+0,SchLocTable!$A$2:$B$47,2,FALSE)</f>
        <v>FCW campus</v>
      </c>
      <c r="B3509" s="207" t="str">
        <f>VLOOKUP(VALUE(D3509),$D$3:F$106,3,FALSE)</f>
        <v>Security</v>
      </c>
      <c r="C3509" s="755" t="s">
        <v>246</v>
      </c>
      <c r="D3509" s="751" t="s">
        <v>942</v>
      </c>
      <c r="E3509" s="751" t="s">
        <v>984</v>
      </c>
      <c r="F3509" s="751" t="s">
        <v>292</v>
      </c>
      <c r="G3509" s="752" t="s">
        <v>1681</v>
      </c>
      <c r="H3509" s="753">
        <v>52385</v>
      </c>
      <c r="I3509" s="754">
        <v>0</v>
      </c>
      <c r="J3509" s="754">
        <v>0</v>
      </c>
      <c r="K3509" s="754">
        <v>0</v>
      </c>
      <c r="L3509" s="754">
        <v>0</v>
      </c>
      <c r="M3509" s="754">
        <f t="shared" si="133"/>
        <v>0</v>
      </c>
      <c r="N3509" s="756">
        <v>0</v>
      </c>
      <c r="O3509" s="720">
        <f t="shared" si="134"/>
        <v>0</v>
      </c>
    </row>
    <row r="3510" spans="1:15" x14ac:dyDescent="0.25">
      <c r="A3510" s="207" t="str">
        <f>VLOOKUP(RIGHT(E3510,3)+0,SchLocTable!$A$2:$B$47,2,FALSE)</f>
        <v>FCW campus</v>
      </c>
      <c r="B3510" s="207" t="str">
        <f>VLOOKUP(VALUE(D3510),$D$3:F$106,3,FALSE)</f>
        <v>Security</v>
      </c>
      <c r="C3510" s="755" t="s">
        <v>246</v>
      </c>
      <c r="D3510" s="751" t="s">
        <v>942</v>
      </c>
      <c r="E3510" s="751" t="s">
        <v>984</v>
      </c>
      <c r="F3510" s="751" t="s">
        <v>331</v>
      </c>
      <c r="G3510" s="752" t="s">
        <v>1681</v>
      </c>
      <c r="H3510" s="753">
        <v>52504</v>
      </c>
      <c r="I3510" s="754">
        <v>56973.91</v>
      </c>
      <c r="J3510" s="754">
        <v>0</v>
      </c>
      <c r="K3510" s="754">
        <v>0</v>
      </c>
      <c r="L3510" s="754">
        <v>17961.87</v>
      </c>
      <c r="M3510" s="754">
        <f t="shared" si="133"/>
        <v>17961.87</v>
      </c>
      <c r="N3510" s="756">
        <v>56973.91</v>
      </c>
      <c r="O3510" s="720">
        <f t="shared" si="134"/>
        <v>0</v>
      </c>
    </row>
    <row r="3511" spans="1:15" x14ac:dyDescent="0.25">
      <c r="A3511" s="207" t="str">
        <f>VLOOKUP(RIGHT(E3511,3)+0,SchLocTable!$A$2:$B$47,2,FALSE)</f>
        <v>FCW campus</v>
      </c>
      <c r="B3511" s="207" t="str">
        <f>VLOOKUP(VALUE(D3511),$D$3:F$106,3,FALSE)</f>
        <v>Security</v>
      </c>
      <c r="C3511" s="751" t="s">
        <v>246</v>
      </c>
      <c r="D3511" s="751" t="s">
        <v>942</v>
      </c>
      <c r="E3511" s="751" t="s">
        <v>984</v>
      </c>
      <c r="F3511" s="751" t="s">
        <v>259</v>
      </c>
      <c r="G3511" s="752" t="s">
        <v>1681</v>
      </c>
      <c r="H3511" s="753">
        <v>52917</v>
      </c>
      <c r="I3511" s="754">
        <v>68722.429999999993</v>
      </c>
      <c r="J3511" s="754">
        <v>0</v>
      </c>
      <c r="K3511" s="754">
        <v>0</v>
      </c>
      <c r="L3511" s="754">
        <v>20466.02</v>
      </c>
      <c r="M3511" s="754">
        <f t="shared" si="133"/>
        <v>20466.02</v>
      </c>
      <c r="N3511" s="756">
        <v>68722.429999999993</v>
      </c>
      <c r="O3511" s="720">
        <f t="shared" si="134"/>
        <v>0</v>
      </c>
    </row>
    <row r="3512" spans="1:15" x14ac:dyDescent="0.25">
      <c r="A3512" s="207" t="str">
        <f>VLOOKUP(RIGHT(E3512,3)+0,SchLocTable!$A$2:$B$47,2,FALSE)</f>
        <v>FCW campus</v>
      </c>
      <c r="B3512" s="207" t="str">
        <f>VLOOKUP(VALUE(D3512),$D$3:F$106,3,FALSE)</f>
        <v>Security</v>
      </c>
      <c r="C3512" s="751" t="s">
        <v>246</v>
      </c>
      <c r="D3512" s="751" t="s">
        <v>942</v>
      </c>
      <c r="E3512" s="751" t="s">
        <v>984</v>
      </c>
      <c r="F3512" s="751" t="s">
        <v>333</v>
      </c>
      <c r="G3512" s="752" t="s">
        <v>1681</v>
      </c>
      <c r="H3512" s="753">
        <v>52920</v>
      </c>
      <c r="I3512" s="754">
        <v>2000</v>
      </c>
      <c r="J3512" s="754">
        <v>0</v>
      </c>
      <c r="K3512" s="754">
        <v>0</v>
      </c>
      <c r="L3512" s="754">
        <v>0</v>
      </c>
      <c r="M3512" s="754">
        <f t="shared" si="133"/>
        <v>0</v>
      </c>
      <c r="N3512" s="756">
        <v>2000</v>
      </c>
      <c r="O3512" s="720">
        <f t="shared" si="134"/>
        <v>0</v>
      </c>
    </row>
    <row r="3513" spans="1:15" x14ac:dyDescent="0.25">
      <c r="A3513" s="207" t="e">
        <f>VLOOKUP(RIGHT(E3513,3)+0,SchLocTable!$A$2:$B$47,2,FALSE)</f>
        <v>#N/A</v>
      </c>
      <c r="B3513" s="207" t="str">
        <f>VLOOKUP(VALUE(D3513),$D$3:F$106,3,FALSE)</f>
        <v>Facilities Administration</v>
      </c>
      <c r="C3513" s="751" t="s">
        <v>246</v>
      </c>
      <c r="D3513" s="751" t="s">
        <v>985</v>
      </c>
      <c r="E3513" s="751" t="s">
        <v>986</v>
      </c>
      <c r="F3513" s="751" t="s">
        <v>248</v>
      </c>
      <c r="G3513" s="752">
        <v>3</v>
      </c>
      <c r="H3513" s="753">
        <v>51000</v>
      </c>
      <c r="I3513" s="754">
        <v>412971.77</v>
      </c>
      <c r="J3513" s="754">
        <v>0</v>
      </c>
      <c r="K3513" s="754">
        <v>0</v>
      </c>
      <c r="L3513" s="754">
        <v>133648.95000000001</v>
      </c>
      <c r="M3513" s="754">
        <f t="shared" si="133"/>
        <v>133648.95000000001</v>
      </c>
      <c r="N3513" s="756">
        <v>412971.77</v>
      </c>
      <c r="O3513" s="720">
        <f t="shared" si="134"/>
        <v>0</v>
      </c>
    </row>
    <row r="3514" spans="1:15" x14ac:dyDescent="0.25">
      <c r="A3514" s="207" t="e">
        <f>VLOOKUP(RIGHT(E3514,3)+0,SchLocTable!$A$2:$B$47,2,FALSE)</f>
        <v>#N/A</v>
      </c>
      <c r="B3514" s="207" t="str">
        <f>VLOOKUP(VALUE(D3514),$D$3:F$106,3,FALSE)</f>
        <v>Facilities Administration</v>
      </c>
      <c r="C3514" s="755" t="s">
        <v>246</v>
      </c>
      <c r="D3514" s="751" t="s">
        <v>985</v>
      </c>
      <c r="E3514" s="751" t="s">
        <v>986</v>
      </c>
      <c r="F3514" s="751" t="s">
        <v>378</v>
      </c>
      <c r="G3514" s="752" t="s">
        <v>1681</v>
      </c>
      <c r="H3514" s="753">
        <v>51108</v>
      </c>
      <c r="I3514" s="754">
        <v>2168.92</v>
      </c>
      <c r="J3514" s="754">
        <v>0</v>
      </c>
      <c r="K3514" s="754">
        <v>0</v>
      </c>
      <c r="L3514" s="754">
        <v>2168.92</v>
      </c>
      <c r="M3514" s="754">
        <f t="shared" si="133"/>
        <v>2168.92</v>
      </c>
      <c r="N3514" s="756">
        <v>2168.92</v>
      </c>
      <c r="O3514" s="720">
        <f t="shared" si="134"/>
        <v>0</v>
      </c>
    </row>
    <row r="3515" spans="1:15" x14ac:dyDescent="0.25">
      <c r="A3515" s="207" t="e">
        <f>VLOOKUP(RIGHT(E3515,3)+0,SchLocTable!$A$2:$B$47,2,FALSE)</f>
        <v>#N/A</v>
      </c>
      <c r="B3515" s="207" t="str">
        <f>VLOOKUP(VALUE(D3515),$D$3:F$106,3,FALSE)</f>
        <v>Facilities Administration</v>
      </c>
      <c r="C3515" s="755" t="s">
        <v>246</v>
      </c>
      <c r="D3515" s="751" t="s">
        <v>985</v>
      </c>
      <c r="E3515" s="751" t="s">
        <v>986</v>
      </c>
      <c r="F3515" s="751" t="s">
        <v>380</v>
      </c>
      <c r="G3515" s="752" t="s">
        <v>1681</v>
      </c>
      <c r="H3515" s="753">
        <v>51122</v>
      </c>
      <c r="I3515" s="754">
        <v>0</v>
      </c>
      <c r="J3515" s="754">
        <v>0</v>
      </c>
      <c r="K3515" s="754">
        <v>0</v>
      </c>
      <c r="L3515" s="754">
        <v>0</v>
      </c>
      <c r="M3515" s="754">
        <f t="shared" si="133"/>
        <v>0</v>
      </c>
      <c r="N3515" s="756">
        <v>0</v>
      </c>
      <c r="O3515" s="720">
        <f t="shared" si="134"/>
        <v>0</v>
      </c>
    </row>
    <row r="3516" spans="1:15" x14ac:dyDescent="0.25">
      <c r="A3516" s="207" t="e">
        <f>VLOOKUP(RIGHT(E3516,3)+0,SchLocTable!$A$2:$B$47,2,FALSE)</f>
        <v>#N/A</v>
      </c>
      <c r="B3516" s="207" t="str">
        <f>VLOOKUP(VALUE(D3516),$D$3:F$106,3,FALSE)</f>
        <v>Facilities Administration</v>
      </c>
      <c r="C3516" s="751" t="s">
        <v>246</v>
      </c>
      <c r="D3516" s="751" t="s">
        <v>985</v>
      </c>
      <c r="E3516" s="751" t="s">
        <v>986</v>
      </c>
      <c r="F3516" s="751" t="s">
        <v>257</v>
      </c>
      <c r="G3516" s="752" t="s">
        <v>1681</v>
      </c>
      <c r="H3516" s="753">
        <v>51140</v>
      </c>
      <c r="I3516" s="754">
        <v>3225</v>
      </c>
      <c r="J3516" s="754">
        <v>0</v>
      </c>
      <c r="K3516" s="754">
        <v>0</v>
      </c>
      <c r="L3516" s="754">
        <v>0</v>
      </c>
      <c r="M3516" s="754">
        <f t="shared" si="133"/>
        <v>0</v>
      </c>
      <c r="N3516" s="756">
        <v>3225</v>
      </c>
      <c r="O3516" s="720">
        <f t="shared" si="134"/>
        <v>0</v>
      </c>
    </row>
    <row r="3517" spans="1:15" x14ac:dyDescent="0.25">
      <c r="A3517" s="207" t="e">
        <f>VLOOKUP(RIGHT(E3517,3)+0,SchLocTable!$A$2:$B$47,2,FALSE)</f>
        <v>#N/A</v>
      </c>
      <c r="B3517" s="207" t="str">
        <f>VLOOKUP(VALUE(D3517),$D$3:F$106,3,FALSE)</f>
        <v>Facilities Administration</v>
      </c>
      <c r="C3517" s="751" t="s">
        <v>246</v>
      </c>
      <c r="D3517" s="751" t="s">
        <v>985</v>
      </c>
      <c r="E3517" s="751" t="s">
        <v>986</v>
      </c>
      <c r="F3517" s="751" t="s">
        <v>797</v>
      </c>
      <c r="G3517" s="752" t="s">
        <v>1681</v>
      </c>
      <c r="H3517" s="753">
        <v>51156</v>
      </c>
      <c r="I3517" s="754">
        <v>0</v>
      </c>
      <c r="J3517" s="754">
        <v>0</v>
      </c>
      <c r="K3517" s="754">
        <v>0</v>
      </c>
      <c r="L3517" s="754">
        <v>0</v>
      </c>
      <c r="M3517" s="754">
        <f t="shared" si="133"/>
        <v>0</v>
      </c>
      <c r="N3517" s="756">
        <v>0</v>
      </c>
      <c r="O3517" s="720">
        <f t="shared" si="134"/>
        <v>0</v>
      </c>
    </row>
    <row r="3518" spans="1:15" x14ac:dyDescent="0.25">
      <c r="A3518" s="207" t="e">
        <f>VLOOKUP(RIGHT(E3518,3)+0,SchLocTable!$A$2:$B$47,2,FALSE)</f>
        <v>#N/A</v>
      </c>
      <c r="B3518" s="207" t="str">
        <f>VLOOKUP(VALUE(D3518),$D$3:F$106,3,FALSE)</f>
        <v>Facilities Administration</v>
      </c>
      <c r="C3518" s="755" t="s">
        <v>246</v>
      </c>
      <c r="D3518" s="751" t="s">
        <v>985</v>
      </c>
      <c r="E3518" s="751" t="s">
        <v>986</v>
      </c>
      <c r="F3518" s="751" t="s">
        <v>254</v>
      </c>
      <c r="G3518" s="752" t="s">
        <v>1681</v>
      </c>
      <c r="H3518" s="753">
        <v>52360</v>
      </c>
      <c r="I3518" s="754">
        <v>5890.69</v>
      </c>
      <c r="J3518" s="754">
        <v>0</v>
      </c>
      <c r="K3518" s="754">
        <v>0</v>
      </c>
      <c r="L3518" s="754">
        <v>1840.51</v>
      </c>
      <c r="M3518" s="754">
        <f t="shared" si="133"/>
        <v>1840.51</v>
      </c>
      <c r="N3518" s="756">
        <v>5890.69</v>
      </c>
      <c r="O3518" s="720">
        <f t="shared" si="134"/>
        <v>0</v>
      </c>
    </row>
    <row r="3519" spans="1:15" x14ac:dyDescent="0.25">
      <c r="A3519" s="207" t="e">
        <f>VLOOKUP(RIGHT(E3519,3)+0,SchLocTable!$A$2:$B$47,2,FALSE)</f>
        <v>#N/A</v>
      </c>
      <c r="B3519" s="207" t="str">
        <f>VLOOKUP(VALUE(D3519),$D$3:F$106,3,FALSE)</f>
        <v>Facilities Administration</v>
      </c>
      <c r="C3519" s="751" t="s">
        <v>246</v>
      </c>
      <c r="D3519" s="751" t="s">
        <v>985</v>
      </c>
      <c r="E3519" s="751" t="s">
        <v>986</v>
      </c>
      <c r="F3519" s="751" t="s">
        <v>292</v>
      </c>
      <c r="G3519" s="752" t="s">
        <v>1681</v>
      </c>
      <c r="H3519" s="753">
        <v>52385</v>
      </c>
      <c r="I3519" s="754">
        <v>0</v>
      </c>
      <c r="J3519" s="754">
        <v>0</v>
      </c>
      <c r="K3519" s="754">
        <v>0</v>
      </c>
      <c r="L3519" s="754">
        <v>0</v>
      </c>
      <c r="M3519" s="754">
        <f t="shared" ref="M3519:M3582" si="135">SUM(J3519:L3519)</f>
        <v>0</v>
      </c>
      <c r="N3519" s="756">
        <v>0</v>
      </c>
      <c r="O3519" s="720">
        <f t="shared" ref="O3519:O3582" si="136">I3519-N3519</f>
        <v>0</v>
      </c>
    </row>
    <row r="3520" spans="1:15" x14ac:dyDescent="0.25">
      <c r="A3520" s="207" t="e">
        <f>VLOOKUP(RIGHT(E3520,3)+0,SchLocTable!$A$2:$B$47,2,FALSE)</f>
        <v>#N/A</v>
      </c>
      <c r="B3520" s="207" t="str">
        <f>VLOOKUP(VALUE(D3520),$D$3:F$106,3,FALSE)</f>
        <v>Facilities Administration</v>
      </c>
      <c r="C3520" s="751" t="s">
        <v>246</v>
      </c>
      <c r="D3520" s="751" t="s">
        <v>985</v>
      </c>
      <c r="E3520" s="751" t="s">
        <v>986</v>
      </c>
      <c r="F3520" s="751" t="s">
        <v>331</v>
      </c>
      <c r="G3520" s="752" t="s">
        <v>1681</v>
      </c>
      <c r="H3520" s="753">
        <v>52504</v>
      </c>
      <c r="I3520" s="754">
        <v>85477.52</v>
      </c>
      <c r="J3520" s="754">
        <v>0</v>
      </c>
      <c r="K3520" s="754">
        <v>0</v>
      </c>
      <c r="L3520" s="754">
        <v>27964.95</v>
      </c>
      <c r="M3520" s="754">
        <f t="shared" si="135"/>
        <v>27964.95</v>
      </c>
      <c r="N3520" s="756">
        <v>85477.52</v>
      </c>
      <c r="O3520" s="720">
        <f t="shared" si="136"/>
        <v>0</v>
      </c>
    </row>
    <row r="3521" spans="1:15" x14ac:dyDescent="0.25">
      <c r="A3521" s="207" t="e">
        <f>VLOOKUP(RIGHT(E3521,3)+0,SchLocTable!$A$2:$B$47,2,FALSE)</f>
        <v>#N/A</v>
      </c>
      <c r="B3521" s="207" t="str">
        <f>VLOOKUP(VALUE(D3521),$D$3:F$106,3,FALSE)</f>
        <v>Facilities Administration</v>
      </c>
      <c r="C3521" s="751" t="s">
        <v>246</v>
      </c>
      <c r="D3521" s="751" t="s">
        <v>985</v>
      </c>
      <c r="E3521" s="751" t="s">
        <v>986</v>
      </c>
      <c r="F3521" s="751" t="s">
        <v>259</v>
      </c>
      <c r="G3521" s="752" t="s">
        <v>1681</v>
      </c>
      <c r="H3521" s="753">
        <v>52917</v>
      </c>
      <c r="I3521" s="754">
        <v>89278.7</v>
      </c>
      <c r="J3521" s="754">
        <v>0</v>
      </c>
      <c r="K3521" s="754">
        <v>0</v>
      </c>
      <c r="L3521" s="754">
        <v>27365.119999999999</v>
      </c>
      <c r="M3521" s="754">
        <f t="shared" si="135"/>
        <v>27365.119999999999</v>
      </c>
      <c r="N3521" s="756">
        <v>89278.7</v>
      </c>
      <c r="O3521" s="720">
        <f t="shared" si="136"/>
        <v>0</v>
      </c>
    </row>
    <row r="3522" spans="1:15" x14ac:dyDescent="0.25">
      <c r="A3522" s="207" t="e">
        <f>VLOOKUP(RIGHT(E3522,3)+0,SchLocTable!$A$2:$B$47,2,FALSE)</f>
        <v>#N/A</v>
      </c>
      <c r="B3522" s="207" t="str">
        <f>VLOOKUP(VALUE(D3522),$D$3:F$106,3,FALSE)</f>
        <v>Facilities Clericals</v>
      </c>
      <c r="C3522" s="751" t="s">
        <v>246</v>
      </c>
      <c r="D3522" s="751" t="s">
        <v>987</v>
      </c>
      <c r="E3522" s="751" t="s">
        <v>988</v>
      </c>
      <c r="F3522" s="751" t="s">
        <v>248</v>
      </c>
      <c r="G3522" s="752">
        <v>2</v>
      </c>
      <c r="H3522" s="753">
        <v>51000</v>
      </c>
      <c r="I3522" s="754">
        <v>192135.77</v>
      </c>
      <c r="J3522" s="754">
        <v>0</v>
      </c>
      <c r="K3522" s="754">
        <v>0</v>
      </c>
      <c r="L3522" s="754">
        <v>58497.71</v>
      </c>
      <c r="M3522" s="754">
        <f t="shared" si="135"/>
        <v>58497.71</v>
      </c>
      <c r="N3522" s="756">
        <v>192135.77</v>
      </c>
      <c r="O3522" s="720">
        <f t="shared" si="136"/>
        <v>0</v>
      </c>
    </row>
    <row r="3523" spans="1:15" x14ac:dyDescent="0.25">
      <c r="A3523" s="207" t="e">
        <f>VLOOKUP(RIGHT(E3523,3)+0,SchLocTable!$A$2:$B$47,2,FALSE)</f>
        <v>#N/A</v>
      </c>
      <c r="B3523" s="207" t="str">
        <f>VLOOKUP(VALUE(D3523),$D$3:F$106,3,FALSE)</f>
        <v>Facilities Clericals</v>
      </c>
      <c r="C3523" s="751" t="s">
        <v>246</v>
      </c>
      <c r="D3523" s="751" t="s">
        <v>987</v>
      </c>
      <c r="E3523" s="751" t="s">
        <v>988</v>
      </c>
      <c r="F3523" s="751" t="s">
        <v>340</v>
      </c>
      <c r="G3523" s="752" t="s">
        <v>1681</v>
      </c>
      <c r="H3523" s="753">
        <v>51106</v>
      </c>
      <c r="I3523" s="754">
        <v>0</v>
      </c>
      <c r="J3523" s="754">
        <v>0</v>
      </c>
      <c r="K3523" s="754">
        <v>0</v>
      </c>
      <c r="L3523" s="754">
        <v>0</v>
      </c>
      <c r="M3523" s="754">
        <f t="shared" si="135"/>
        <v>0</v>
      </c>
      <c r="N3523" s="756">
        <v>0</v>
      </c>
      <c r="O3523" s="720">
        <f t="shared" si="136"/>
        <v>0</v>
      </c>
    </row>
    <row r="3524" spans="1:15" x14ac:dyDescent="0.25">
      <c r="A3524" s="207" t="e">
        <f>VLOOKUP(RIGHT(E3524,3)+0,SchLocTable!$A$2:$B$47,2,FALSE)</f>
        <v>#N/A</v>
      </c>
      <c r="B3524" s="207" t="str">
        <f>VLOOKUP(VALUE(D3524),$D$3:F$106,3,FALSE)</f>
        <v>Facilities Clericals</v>
      </c>
      <c r="C3524" s="755" t="s">
        <v>246</v>
      </c>
      <c r="D3524" s="751" t="s">
        <v>987</v>
      </c>
      <c r="E3524" s="751" t="s">
        <v>988</v>
      </c>
      <c r="F3524" s="751" t="s">
        <v>378</v>
      </c>
      <c r="G3524" s="752" t="s">
        <v>1681</v>
      </c>
      <c r="H3524" s="753">
        <v>51108</v>
      </c>
      <c r="I3524" s="754">
        <v>2954.66</v>
      </c>
      <c r="J3524" s="754">
        <v>0</v>
      </c>
      <c r="K3524" s="754">
        <v>0</v>
      </c>
      <c r="L3524" s="754">
        <v>2954.66</v>
      </c>
      <c r="M3524" s="754">
        <f t="shared" si="135"/>
        <v>2954.66</v>
      </c>
      <c r="N3524" s="756">
        <v>2954.66</v>
      </c>
      <c r="O3524" s="720">
        <f t="shared" si="136"/>
        <v>0</v>
      </c>
    </row>
    <row r="3525" spans="1:15" x14ac:dyDescent="0.25">
      <c r="A3525" s="207" t="e">
        <f>VLOOKUP(RIGHT(E3525,3)+0,SchLocTable!$A$2:$B$47,2,FALSE)</f>
        <v>#N/A</v>
      </c>
      <c r="B3525" s="207" t="str">
        <f>VLOOKUP(VALUE(D3525),$D$3:F$106,3,FALSE)</f>
        <v>Facilities Clericals</v>
      </c>
      <c r="C3525" s="751" t="s">
        <v>246</v>
      </c>
      <c r="D3525" s="751" t="s">
        <v>987</v>
      </c>
      <c r="E3525" s="751" t="s">
        <v>988</v>
      </c>
      <c r="F3525" s="751" t="s">
        <v>257</v>
      </c>
      <c r="G3525" s="752" t="s">
        <v>1681</v>
      </c>
      <c r="H3525" s="753">
        <v>51140</v>
      </c>
      <c r="I3525" s="754">
        <v>2550</v>
      </c>
      <c r="J3525" s="754">
        <v>0</v>
      </c>
      <c r="K3525" s="754">
        <v>0</v>
      </c>
      <c r="L3525" s="754">
        <v>825</v>
      </c>
      <c r="M3525" s="754">
        <f t="shared" si="135"/>
        <v>825</v>
      </c>
      <c r="N3525" s="756">
        <v>2550</v>
      </c>
      <c r="O3525" s="720">
        <f t="shared" si="136"/>
        <v>0</v>
      </c>
    </row>
    <row r="3526" spans="1:15" x14ac:dyDescent="0.25">
      <c r="A3526" s="207" t="e">
        <f>VLOOKUP(RIGHT(E3526,3)+0,SchLocTable!$A$2:$B$47,2,FALSE)</f>
        <v>#N/A</v>
      </c>
      <c r="B3526" s="207" t="str">
        <f>VLOOKUP(VALUE(D3526),$D$3:F$106,3,FALSE)</f>
        <v>Facilities Clericals</v>
      </c>
      <c r="C3526" s="751" t="s">
        <v>246</v>
      </c>
      <c r="D3526" s="751" t="s">
        <v>987</v>
      </c>
      <c r="E3526" s="751" t="s">
        <v>988</v>
      </c>
      <c r="F3526" s="751" t="s">
        <v>797</v>
      </c>
      <c r="G3526" s="752" t="s">
        <v>1681</v>
      </c>
      <c r="H3526" s="753">
        <v>51156</v>
      </c>
      <c r="I3526" s="754">
        <v>0</v>
      </c>
      <c r="J3526" s="754">
        <v>0</v>
      </c>
      <c r="K3526" s="754">
        <v>0</v>
      </c>
      <c r="L3526" s="754">
        <v>0</v>
      </c>
      <c r="M3526" s="754">
        <f t="shared" si="135"/>
        <v>0</v>
      </c>
      <c r="N3526" s="756">
        <v>0</v>
      </c>
      <c r="O3526" s="720">
        <f t="shared" si="136"/>
        <v>0</v>
      </c>
    </row>
    <row r="3527" spans="1:15" x14ac:dyDescent="0.25">
      <c r="A3527" s="207" t="e">
        <f>VLOOKUP(RIGHT(E3527,3)+0,SchLocTable!$A$2:$B$47,2,FALSE)</f>
        <v>#N/A</v>
      </c>
      <c r="B3527" s="207" t="str">
        <f>VLOOKUP(VALUE(D3527),$D$3:F$106,3,FALSE)</f>
        <v>Facilities Clericals</v>
      </c>
      <c r="C3527" s="751" t="s">
        <v>246</v>
      </c>
      <c r="D3527" s="751" t="s">
        <v>987</v>
      </c>
      <c r="E3527" s="751" t="s">
        <v>988</v>
      </c>
      <c r="F3527" s="751" t="s">
        <v>254</v>
      </c>
      <c r="G3527" s="752" t="s">
        <v>1681</v>
      </c>
      <c r="H3527" s="753">
        <v>52360</v>
      </c>
      <c r="I3527" s="754">
        <v>2787.96</v>
      </c>
      <c r="J3527" s="754">
        <v>0</v>
      </c>
      <c r="K3527" s="754">
        <v>0</v>
      </c>
      <c r="L3527" s="754">
        <v>850.21</v>
      </c>
      <c r="M3527" s="754">
        <f t="shared" si="135"/>
        <v>850.21</v>
      </c>
      <c r="N3527" s="756">
        <v>2787.96</v>
      </c>
      <c r="O3527" s="720">
        <f t="shared" si="136"/>
        <v>0</v>
      </c>
    </row>
    <row r="3528" spans="1:15" x14ac:dyDescent="0.25">
      <c r="A3528" s="207" t="e">
        <f>VLOOKUP(RIGHT(E3528,3)+0,SchLocTable!$A$2:$B$47,2,FALSE)</f>
        <v>#N/A</v>
      </c>
      <c r="B3528" s="207" t="str">
        <f>VLOOKUP(VALUE(D3528),$D$3:F$106,3,FALSE)</f>
        <v>Facilities Clericals</v>
      </c>
      <c r="C3528" s="751" t="s">
        <v>246</v>
      </c>
      <c r="D3528" s="751" t="s">
        <v>987</v>
      </c>
      <c r="E3528" s="751" t="s">
        <v>988</v>
      </c>
      <c r="F3528" s="751" t="s">
        <v>331</v>
      </c>
      <c r="G3528" s="752" t="s">
        <v>1681</v>
      </c>
      <c r="H3528" s="753">
        <v>52504</v>
      </c>
      <c r="I3528" s="754">
        <v>40338.92</v>
      </c>
      <c r="J3528" s="754">
        <v>0</v>
      </c>
      <c r="K3528" s="754">
        <v>0</v>
      </c>
      <c r="L3528" s="754">
        <v>12822.84</v>
      </c>
      <c r="M3528" s="754">
        <f t="shared" si="135"/>
        <v>12822.84</v>
      </c>
      <c r="N3528" s="756">
        <v>40338.92</v>
      </c>
      <c r="O3528" s="720">
        <f t="shared" si="136"/>
        <v>0</v>
      </c>
    </row>
    <row r="3529" spans="1:15" x14ac:dyDescent="0.25">
      <c r="A3529" s="207" t="e">
        <f>VLOOKUP(RIGHT(E3529,3)+0,SchLocTable!$A$2:$B$47,2,FALSE)</f>
        <v>#N/A</v>
      </c>
      <c r="B3529" s="207" t="str">
        <f>VLOOKUP(VALUE(D3529),$D$3:F$106,3,FALSE)</f>
        <v>Facilities Clericals</v>
      </c>
      <c r="C3529" s="751" t="s">
        <v>246</v>
      </c>
      <c r="D3529" s="751" t="s">
        <v>987</v>
      </c>
      <c r="E3529" s="751" t="s">
        <v>988</v>
      </c>
      <c r="F3529" s="751" t="s">
        <v>259</v>
      </c>
      <c r="G3529" s="752" t="s">
        <v>1681</v>
      </c>
      <c r="H3529" s="753">
        <v>52917</v>
      </c>
      <c r="I3529" s="754">
        <v>61358.49</v>
      </c>
      <c r="J3529" s="754">
        <v>0</v>
      </c>
      <c r="K3529" s="754">
        <v>0</v>
      </c>
      <c r="L3529" s="754">
        <v>18807.2</v>
      </c>
      <c r="M3529" s="754">
        <f t="shared" si="135"/>
        <v>18807.2</v>
      </c>
      <c r="N3529" s="756">
        <v>61358.49</v>
      </c>
      <c r="O3529" s="720">
        <f t="shared" si="136"/>
        <v>0</v>
      </c>
    </row>
    <row r="3530" spans="1:15" x14ac:dyDescent="0.25">
      <c r="A3530" s="207" t="e">
        <f>VLOOKUP(RIGHT(E3530,3)+0,SchLocTable!$A$2:$B$47,2,FALSE)</f>
        <v>#N/A</v>
      </c>
      <c r="B3530" s="207" t="str">
        <f>VLOOKUP(VALUE(D3530),$D$3:F$106,3,FALSE)</f>
        <v>Trades</v>
      </c>
      <c r="C3530" s="755" t="s">
        <v>246</v>
      </c>
      <c r="D3530" s="751" t="s">
        <v>989</v>
      </c>
      <c r="E3530" s="751" t="s">
        <v>990</v>
      </c>
      <c r="F3530" s="751" t="s">
        <v>248</v>
      </c>
      <c r="G3530" s="752">
        <v>19</v>
      </c>
      <c r="H3530" s="753">
        <v>51000</v>
      </c>
      <c r="I3530" s="754">
        <v>1746369.06</v>
      </c>
      <c r="J3530" s="754">
        <v>0</v>
      </c>
      <c r="K3530" s="754">
        <v>0</v>
      </c>
      <c r="L3530" s="754">
        <v>534798.5</v>
      </c>
      <c r="M3530" s="754">
        <f t="shared" si="135"/>
        <v>534798.5</v>
      </c>
      <c r="N3530" s="756">
        <v>1746369.06</v>
      </c>
      <c r="O3530" s="720">
        <f t="shared" si="136"/>
        <v>0</v>
      </c>
    </row>
    <row r="3531" spans="1:15" x14ac:dyDescent="0.25">
      <c r="A3531" s="207" t="e">
        <f>VLOOKUP(RIGHT(E3531,3)+0,SchLocTable!$A$2:$B$47,2,FALSE)</f>
        <v>#N/A</v>
      </c>
      <c r="B3531" s="207" t="str">
        <f>VLOOKUP(VALUE(D3531),$D$3:F$106,3,FALSE)</f>
        <v>Trades</v>
      </c>
      <c r="C3531" s="751" t="s">
        <v>246</v>
      </c>
      <c r="D3531" s="751" t="s">
        <v>989</v>
      </c>
      <c r="E3531" s="751" t="s">
        <v>990</v>
      </c>
      <c r="F3531" s="751" t="s">
        <v>250</v>
      </c>
      <c r="G3531" s="752">
        <v>2</v>
      </c>
      <c r="H3531" s="753">
        <v>51100</v>
      </c>
      <c r="I3531" s="754">
        <v>65766</v>
      </c>
      <c r="J3531" s="754">
        <v>0</v>
      </c>
      <c r="K3531" s="754">
        <v>0</v>
      </c>
      <c r="L3531" s="754">
        <v>16678.8</v>
      </c>
      <c r="M3531" s="754">
        <f t="shared" si="135"/>
        <v>16678.8</v>
      </c>
      <c r="N3531" s="756">
        <v>65766</v>
      </c>
      <c r="O3531" s="720">
        <f t="shared" si="136"/>
        <v>0</v>
      </c>
    </row>
    <row r="3532" spans="1:15" x14ac:dyDescent="0.25">
      <c r="A3532" s="207" t="e">
        <f>VLOOKUP(RIGHT(E3532,3)+0,SchLocTable!$A$2:$B$47,2,FALSE)</f>
        <v>#N/A</v>
      </c>
      <c r="B3532" s="207" t="str">
        <f>VLOOKUP(VALUE(D3532),$D$3:F$106,3,FALSE)</f>
        <v>Trades</v>
      </c>
      <c r="C3532" s="751" t="s">
        <v>246</v>
      </c>
      <c r="D3532" s="751" t="s">
        <v>989</v>
      </c>
      <c r="E3532" s="751" t="s">
        <v>990</v>
      </c>
      <c r="F3532" s="751" t="s">
        <v>919</v>
      </c>
      <c r="G3532" s="752" t="s">
        <v>1681</v>
      </c>
      <c r="H3532" s="753">
        <v>51102</v>
      </c>
      <c r="I3532" s="754">
        <v>0</v>
      </c>
      <c r="J3532" s="754">
        <v>0</v>
      </c>
      <c r="K3532" s="754">
        <v>0</v>
      </c>
      <c r="L3532" s="754">
        <v>0</v>
      </c>
      <c r="M3532" s="754">
        <f t="shared" si="135"/>
        <v>0</v>
      </c>
      <c r="N3532" s="756">
        <v>0</v>
      </c>
      <c r="O3532" s="720">
        <f t="shared" si="136"/>
        <v>0</v>
      </c>
    </row>
    <row r="3533" spans="1:15" x14ac:dyDescent="0.25">
      <c r="A3533" s="207" t="e">
        <f>VLOOKUP(RIGHT(E3533,3)+0,SchLocTable!$A$2:$B$47,2,FALSE)</f>
        <v>#N/A</v>
      </c>
      <c r="B3533" s="207" t="str">
        <f>VLOOKUP(VALUE(D3533),$D$3:F$106,3,FALSE)</f>
        <v>Trades</v>
      </c>
      <c r="C3533" s="751" t="s">
        <v>246</v>
      </c>
      <c r="D3533" s="751" t="s">
        <v>989</v>
      </c>
      <c r="E3533" s="751" t="s">
        <v>990</v>
      </c>
      <c r="F3533" s="751" t="s">
        <v>378</v>
      </c>
      <c r="G3533" s="752" t="s">
        <v>1681</v>
      </c>
      <c r="H3533" s="753">
        <v>51108</v>
      </c>
      <c r="I3533" s="754">
        <v>258674.46</v>
      </c>
      <c r="J3533" s="754">
        <v>0</v>
      </c>
      <c r="K3533" s="754">
        <v>0</v>
      </c>
      <c r="L3533" s="754">
        <v>66573.73</v>
      </c>
      <c r="M3533" s="754">
        <f t="shared" si="135"/>
        <v>66573.73</v>
      </c>
      <c r="N3533" s="756">
        <v>258674.46</v>
      </c>
      <c r="O3533" s="720">
        <f t="shared" si="136"/>
        <v>0</v>
      </c>
    </row>
    <row r="3534" spans="1:15" x14ac:dyDescent="0.25">
      <c r="A3534" s="207" t="e">
        <f>VLOOKUP(RIGHT(E3534,3)+0,SchLocTable!$A$2:$B$47,2,FALSE)</f>
        <v>#N/A</v>
      </c>
      <c r="B3534" s="207" t="str">
        <f>VLOOKUP(VALUE(D3534),$D$3:F$106,3,FALSE)</f>
        <v>Trades</v>
      </c>
      <c r="C3534" s="751" t="s">
        <v>246</v>
      </c>
      <c r="D3534" s="751" t="s">
        <v>989</v>
      </c>
      <c r="E3534" s="751" t="s">
        <v>990</v>
      </c>
      <c r="F3534" s="751" t="s">
        <v>915</v>
      </c>
      <c r="G3534" s="752" t="s">
        <v>1681</v>
      </c>
      <c r="H3534" s="753">
        <v>51116</v>
      </c>
      <c r="I3534" s="754">
        <v>0</v>
      </c>
      <c r="J3534" s="754">
        <v>0</v>
      </c>
      <c r="K3534" s="754">
        <v>0</v>
      </c>
      <c r="L3534" s="754">
        <v>0</v>
      </c>
      <c r="M3534" s="754">
        <f t="shared" si="135"/>
        <v>0</v>
      </c>
      <c r="N3534" s="756">
        <v>0</v>
      </c>
      <c r="O3534" s="720">
        <f t="shared" si="136"/>
        <v>0</v>
      </c>
    </row>
    <row r="3535" spans="1:15" x14ac:dyDescent="0.25">
      <c r="A3535" s="207" t="e">
        <f>VLOOKUP(RIGHT(E3535,3)+0,SchLocTable!$A$2:$B$47,2,FALSE)</f>
        <v>#N/A</v>
      </c>
      <c r="B3535" s="207" t="str">
        <f>VLOOKUP(VALUE(D3535),$D$3:F$106,3,FALSE)</f>
        <v>Trades</v>
      </c>
      <c r="C3535" s="751" t="s">
        <v>246</v>
      </c>
      <c r="D3535" s="751" t="s">
        <v>989</v>
      </c>
      <c r="E3535" s="751" t="s">
        <v>990</v>
      </c>
      <c r="F3535" s="751" t="s">
        <v>380</v>
      </c>
      <c r="G3535" s="752" t="s">
        <v>1681</v>
      </c>
      <c r="H3535" s="753">
        <v>51122</v>
      </c>
      <c r="I3535" s="754">
        <v>21002.03</v>
      </c>
      <c r="J3535" s="754">
        <v>0</v>
      </c>
      <c r="K3535" s="754">
        <v>0</v>
      </c>
      <c r="L3535" s="754">
        <v>2453.5100000000002</v>
      </c>
      <c r="M3535" s="754">
        <f t="shared" si="135"/>
        <v>2453.5100000000002</v>
      </c>
      <c r="N3535" s="756">
        <v>21002.03</v>
      </c>
      <c r="O3535" s="720">
        <f t="shared" si="136"/>
        <v>0</v>
      </c>
    </row>
    <row r="3536" spans="1:15" x14ac:dyDescent="0.25">
      <c r="A3536" s="207" t="e">
        <f>VLOOKUP(RIGHT(E3536,3)+0,SchLocTable!$A$2:$B$47,2,FALSE)</f>
        <v>#N/A</v>
      </c>
      <c r="B3536" s="207" t="str">
        <f>VLOOKUP(VALUE(D3536),$D$3:F$106,3,FALSE)</f>
        <v>Trades</v>
      </c>
      <c r="C3536" s="751" t="s">
        <v>246</v>
      </c>
      <c r="D3536" s="751" t="s">
        <v>989</v>
      </c>
      <c r="E3536" s="751" t="s">
        <v>990</v>
      </c>
      <c r="F3536" s="751" t="s">
        <v>944</v>
      </c>
      <c r="G3536" s="752" t="s">
        <v>1681</v>
      </c>
      <c r="H3536" s="753">
        <v>51124</v>
      </c>
      <c r="I3536" s="754">
        <v>0</v>
      </c>
      <c r="J3536" s="754">
        <v>0</v>
      </c>
      <c r="K3536" s="754">
        <v>0</v>
      </c>
      <c r="L3536" s="754">
        <v>0</v>
      </c>
      <c r="M3536" s="754">
        <f t="shared" si="135"/>
        <v>0</v>
      </c>
      <c r="N3536" s="756">
        <v>0</v>
      </c>
      <c r="O3536" s="720">
        <f t="shared" si="136"/>
        <v>0</v>
      </c>
    </row>
    <row r="3537" spans="1:15" x14ac:dyDescent="0.25">
      <c r="A3537" s="207" t="e">
        <f>VLOOKUP(RIGHT(E3537,3)+0,SchLocTable!$A$2:$B$47,2,FALSE)</f>
        <v>#N/A</v>
      </c>
      <c r="B3537" s="207" t="str">
        <f>VLOOKUP(VALUE(D3537),$D$3:F$106,3,FALSE)</f>
        <v>Trades</v>
      </c>
      <c r="C3537" s="751" t="s">
        <v>246</v>
      </c>
      <c r="D3537" s="751" t="s">
        <v>989</v>
      </c>
      <c r="E3537" s="751" t="s">
        <v>990</v>
      </c>
      <c r="F3537" s="751" t="s">
        <v>257</v>
      </c>
      <c r="G3537" s="752" t="s">
        <v>1681</v>
      </c>
      <c r="H3537" s="753">
        <v>51140</v>
      </c>
      <c r="I3537" s="754">
        <v>13560</v>
      </c>
      <c r="J3537" s="754">
        <v>0</v>
      </c>
      <c r="K3537" s="754">
        <v>0</v>
      </c>
      <c r="L3537" s="754">
        <v>0</v>
      </c>
      <c r="M3537" s="754">
        <f t="shared" si="135"/>
        <v>0</v>
      </c>
      <c r="N3537" s="756">
        <v>13560</v>
      </c>
      <c r="O3537" s="720">
        <f t="shared" si="136"/>
        <v>0</v>
      </c>
    </row>
    <row r="3538" spans="1:15" x14ac:dyDescent="0.25">
      <c r="A3538" s="207" t="e">
        <f>VLOOKUP(RIGHT(E3538,3)+0,SchLocTable!$A$2:$B$47,2,FALSE)</f>
        <v>#N/A</v>
      </c>
      <c r="B3538" s="207" t="str">
        <f>VLOOKUP(VALUE(D3538),$D$3:F$106,3,FALSE)</f>
        <v>Trades</v>
      </c>
      <c r="C3538" s="751" t="s">
        <v>246</v>
      </c>
      <c r="D3538" s="751" t="s">
        <v>989</v>
      </c>
      <c r="E3538" s="751" t="s">
        <v>990</v>
      </c>
      <c r="F3538" s="751" t="s">
        <v>254</v>
      </c>
      <c r="G3538" s="752" t="s">
        <v>1681</v>
      </c>
      <c r="H3538" s="753">
        <v>52360</v>
      </c>
      <c r="I3538" s="754">
        <v>29322.06</v>
      </c>
      <c r="J3538" s="754">
        <v>0</v>
      </c>
      <c r="K3538" s="754">
        <v>0</v>
      </c>
      <c r="L3538" s="754">
        <v>7988.11</v>
      </c>
      <c r="M3538" s="754">
        <f t="shared" si="135"/>
        <v>7988.11</v>
      </c>
      <c r="N3538" s="756">
        <v>29322.06</v>
      </c>
      <c r="O3538" s="720">
        <f t="shared" si="136"/>
        <v>0</v>
      </c>
    </row>
    <row r="3539" spans="1:15" x14ac:dyDescent="0.25">
      <c r="A3539" s="207" t="e">
        <f>VLOOKUP(RIGHT(E3539,3)+0,SchLocTable!$A$2:$B$47,2,FALSE)</f>
        <v>#N/A</v>
      </c>
      <c r="B3539" s="207" t="str">
        <f>VLOOKUP(VALUE(D3539),$D$3:F$106,3,FALSE)</f>
        <v>Trades</v>
      </c>
      <c r="C3539" s="751" t="s">
        <v>246</v>
      </c>
      <c r="D3539" s="751" t="s">
        <v>989</v>
      </c>
      <c r="E3539" s="751" t="s">
        <v>990</v>
      </c>
      <c r="F3539" s="751" t="s">
        <v>292</v>
      </c>
      <c r="G3539" s="752" t="s">
        <v>1681</v>
      </c>
      <c r="H3539" s="753">
        <v>52385</v>
      </c>
      <c r="I3539" s="754">
        <v>4077.05</v>
      </c>
      <c r="J3539" s="754">
        <v>0</v>
      </c>
      <c r="K3539" s="754">
        <v>0</v>
      </c>
      <c r="L3539" s="754">
        <v>1034.08</v>
      </c>
      <c r="M3539" s="754">
        <f t="shared" si="135"/>
        <v>1034.08</v>
      </c>
      <c r="N3539" s="756">
        <v>4077.05</v>
      </c>
      <c r="O3539" s="720">
        <f t="shared" si="136"/>
        <v>0</v>
      </c>
    </row>
    <row r="3540" spans="1:15" x14ac:dyDescent="0.25">
      <c r="A3540" s="207" t="e">
        <f>VLOOKUP(RIGHT(E3540,3)+0,SchLocTable!$A$2:$B$47,2,FALSE)</f>
        <v>#N/A</v>
      </c>
      <c r="B3540" s="207" t="str">
        <f>VLOOKUP(VALUE(D3540),$D$3:F$106,3,FALSE)</f>
        <v>Trades</v>
      </c>
      <c r="C3540" s="751" t="s">
        <v>246</v>
      </c>
      <c r="D3540" s="751" t="s">
        <v>989</v>
      </c>
      <c r="E3540" s="751" t="s">
        <v>990</v>
      </c>
      <c r="F3540" s="751" t="s">
        <v>806</v>
      </c>
      <c r="G3540" s="752" t="s">
        <v>1681</v>
      </c>
      <c r="H3540" s="753">
        <v>52397</v>
      </c>
      <c r="I3540" s="754">
        <v>0</v>
      </c>
      <c r="J3540" s="754">
        <v>0</v>
      </c>
      <c r="K3540" s="754">
        <v>0</v>
      </c>
      <c r="L3540" s="754">
        <v>0</v>
      </c>
      <c r="M3540" s="754">
        <f t="shared" si="135"/>
        <v>0</v>
      </c>
      <c r="N3540" s="756">
        <v>0</v>
      </c>
      <c r="O3540" s="720">
        <f t="shared" si="136"/>
        <v>0</v>
      </c>
    </row>
    <row r="3541" spans="1:15" x14ac:dyDescent="0.25">
      <c r="A3541" s="207" t="e">
        <f>VLOOKUP(RIGHT(E3541,3)+0,SchLocTable!$A$2:$B$47,2,FALSE)</f>
        <v>#N/A</v>
      </c>
      <c r="B3541" s="207" t="str">
        <f>VLOOKUP(VALUE(D3541),$D$3:F$106,3,FALSE)</f>
        <v>Trades</v>
      </c>
      <c r="C3541" s="751" t="s">
        <v>246</v>
      </c>
      <c r="D3541" s="751" t="s">
        <v>989</v>
      </c>
      <c r="E3541" s="751" t="s">
        <v>990</v>
      </c>
      <c r="F3541" s="751" t="s">
        <v>331</v>
      </c>
      <c r="G3541" s="752" t="s">
        <v>1681</v>
      </c>
      <c r="H3541" s="753">
        <v>52504</v>
      </c>
      <c r="I3541" s="754">
        <v>418400.87</v>
      </c>
      <c r="J3541" s="754">
        <v>0</v>
      </c>
      <c r="K3541" s="754">
        <v>0</v>
      </c>
      <c r="L3541" s="754">
        <v>125565.81</v>
      </c>
      <c r="M3541" s="754">
        <f t="shared" si="135"/>
        <v>125565.81</v>
      </c>
      <c r="N3541" s="756">
        <v>418400.87</v>
      </c>
      <c r="O3541" s="720">
        <f t="shared" si="136"/>
        <v>0</v>
      </c>
    </row>
    <row r="3542" spans="1:15" x14ac:dyDescent="0.25">
      <c r="A3542" s="207" t="e">
        <f>VLOOKUP(RIGHT(E3542,3)+0,SchLocTable!$A$2:$B$47,2,FALSE)</f>
        <v>#N/A</v>
      </c>
      <c r="B3542" s="207" t="str">
        <f>VLOOKUP(VALUE(D3542),$D$3:F$106,3,FALSE)</f>
        <v>Trades</v>
      </c>
      <c r="C3542" s="751" t="s">
        <v>246</v>
      </c>
      <c r="D3542" s="751" t="s">
        <v>989</v>
      </c>
      <c r="E3542" s="751" t="s">
        <v>990</v>
      </c>
      <c r="F3542" s="751" t="s">
        <v>259</v>
      </c>
      <c r="G3542" s="752" t="s">
        <v>1681</v>
      </c>
      <c r="H3542" s="753">
        <v>52917</v>
      </c>
      <c r="I3542" s="754">
        <v>457555.16</v>
      </c>
      <c r="J3542" s="754">
        <v>0</v>
      </c>
      <c r="K3542" s="754">
        <v>0</v>
      </c>
      <c r="L3542" s="754">
        <v>139752.82999999999</v>
      </c>
      <c r="M3542" s="754">
        <f t="shared" si="135"/>
        <v>139752.82999999999</v>
      </c>
      <c r="N3542" s="756">
        <v>457555.16</v>
      </c>
      <c r="O3542" s="720">
        <f t="shared" si="136"/>
        <v>0</v>
      </c>
    </row>
    <row r="3543" spans="1:15" x14ac:dyDescent="0.25">
      <c r="A3543" s="207" t="e">
        <f>VLOOKUP(RIGHT(E3543,3)+0,SchLocTable!$A$2:$B$47,2,FALSE)</f>
        <v>#N/A</v>
      </c>
      <c r="B3543" s="207" t="str">
        <f>VLOOKUP(VALUE(D3543),$D$3:F$106,3,FALSE)</f>
        <v>Trades</v>
      </c>
      <c r="C3543" s="751" t="s">
        <v>246</v>
      </c>
      <c r="D3543" s="751" t="s">
        <v>989</v>
      </c>
      <c r="E3543" s="751" t="s">
        <v>990</v>
      </c>
      <c r="F3543" s="751" t="s">
        <v>333</v>
      </c>
      <c r="G3543" s="752" t="s">
        <v>1681</v>
      </c>
      <c r="H3543" s="753">
        <v>52920</v>
      </c>
      <c r="I3543" s="754">
        <v>9000</v>
      </c>
      <c r="J3543" s="754">
        <v>0</v>
      </c>
      <c r="K3543" s="754">
        <v>0</v>
      </c>
      <c r="L3543" s="754">
        <v>0</v>
      </c>
      <c r="M3543" s="754">
        <f t="shared" si="135"/>
        <v>0</v>
      </c>
      <c r="N3543" s="756">
        <v>9000</v>
      </c>
      <c r="O3543" s="720">
        <f t="shared" si="136"/>
        <v>0</v>
      </c>
    </row>
    <row r="3544" spans="1:15" x14ac:dyDescent="0.25">
      <c r="A3544" s="207" t="e">
        <f>VLOOKUP(RIGHT(E3544,3)+0,SchLocTable!$A$2:$B$47,2,FALSE)</f>
        <v>#N/A</v>
      </c>
      <c r="B3544" s="207" t="str">
        <f>VLOOKUP(VALUE(D3544),$D$3:F$106,3,FALSE)</f>
        <v>Trades</v>
      </c>
      <c r="C3544" s="751" t="s">
        <v>246</v>
      </c>
      <c r="D3544" s="751" t="s">
        <v>989</v>
      </c>
      <c r="E3544" s="751" t="s">
        <v>1530</v>
      </c>
      <c r="F3544" s="751" t="s">
        <v>378</v>
      </c>
      <c r="G3544" s="752" t="s">
        <v>1681</v>
      </c>
      <c r="H3544" s="753">
        <v>51108</v>
      </c>
      <c r="I3544" s="754">
        <v>0</v>
      </c>
      <c r="J3544" s="754">
        <v>0</v>
      </c>
      <c r="K3544" s="754">
        <v>0</v>
      </c>
      <c r="L3544" s="754">
        <v>0</v>
      </c>
      <c r="M3544" s="754">
        <f t="shared" si="135"/>
        <v>0</v>
      </c>
      <c r="N3544" s="756">
        <v>0</v>
      </c>
      <c r="O3544" s="720">
        <f t="shared" si="136"/>
        <v>0</v>
      </c>
    </row>
    <row r="3545" spans="1:15" x14ac:dyDescent="0.25">
      <c r="A3545" s="207" t="e">
        <f>VLOOKUP(RIGHT(E3545,3)+0,SchLocTable!$A$2:$B$47,2,FALSE)</f>
        <v>#N/A</v>
      </c>
      <c r="B3545" s="207" t="str">
        <f>VLOOKUP(VALUE(D3545),$D$3:F$106,3,FALSE)</f>
        <v>Trades</v>
      </c>
      <c r="C3545" s="751" t="s">
        <v>246</v>
      </c>
      <c r="D3545" s="751" t="s">
        <v>989</v>
      </c>
      <c r="E3545" s="751" t="s">
        <v>1530</v>
      </c>
      <c r="F3545" s="751" t="s">
        <v>254</v>
      </c>
      <c r="G3545" s="752" t="s">
        <v>1681</v>
      </c>
      <c r="H3545" s="753">
        <v>52360</v>
      </c>
      <c r="I3545" s="754">
        <v>0</v>
      </c>
      <c r="J3545" s="754">
        <v>0</v>
      </c>
      <c r="K3545" s="754">
        <v>0</v>
      </c>
      <c r="L3545" s="754">
        <v>0</v>
      </c>
      <c r="M3545" s="754">
        <f t="shared" si="135"/>
        <v>0</v>
      </c>
      <c r="N3545" s="756">
        <v>0</v>
      </c>
      <c r="O3545" s="720">
        <f t="shared" si="136"/>
        <v>0</v>
      </c>
    </row>
    <row r="3546" spans="1:15" x14ac:dyDescent="0.25">
      <c r="A3546" s="207" t="e">
        <f>VLOOKUP(RIGHT(E3546,3)+0,SchLocTable!$A$2:$B$47,2,FALSE)</f>
        <v>#N/A</v>
      </c>
      <c r="B3546" s="207" t="str">
        <f>VLOOKUP(VALUE(D3546),$D$3:F$106,3,FALSE)</f>
        <v>Trades</v>
      </c>
      <c r="C3546" s="751" t="s">
        <v>246</v>
      </c>
      <c r="D3546" s="751" t="s">
        <v>989</v>
      </c>
      <c r="E3546" s="751" t="s">
        <v>1530</v>
      </c>
      <c r="F3546" s="751" t="s">
        <v>331</v>
      </c>
      <c r="G3546" s="752" t="s">
        <v>1681</v>
      </c>
      <c r="H3546" s="753">
        <v>52504</v>
      </c>
      <c r="I3546" s="754">
        <v>0</v>
      </c>
      <c r="J3546" s="754">
        <v>0</v>
      </c>
      <c r="K3546" s="754">
        <v>0</v>
      </c>
      <c r="L3546" s="754">
        <v>0</v>
      </c>
      <c r="M3546" s="754">
        <f t="shared" si="135"/>
        <v>0</v>
      </c>
      <c r="N3546" s="756">
        <v>0</v>
      </c>
      <c r="O3546" s="720">
        <f t="shared" si="136"/>
        <v>0</v>
      </c>
    </row>
    <row r="3547" spans="1:15" x14ac:dyDescent="0.25">
      <c r="A3547" s="207" t="e">
        <f>VLOOKUP(RIGHT(E3547,3)+0,SchLocTable!$A$2:$B$47,2,FALSE)</f>
        <v>#N/A</v>
      </c>
      <c r="B3547" s="207" t="str">
        <f>VLOOKUP(VALUE(D3547),$D$3:F$106,3,FALSE)</f>
        <v>Custodians</v>
      </c>
      <c r="C3547" s="751" t="s">
        <v>246</v>
      </c>
      <c r="D3547" s="751" t="s">
        <v>991</v>
      </c>
      <c r="E3547" s="751" t="s">
        <v>992</v>
      </c>
      <c r="F3547" s="751" t="s">
        <v>248</v>
      </c>
      <c r="G3547" s="752">
        <v>3</v>
      </c>
      <c r="H3547" s="753">
        <v>51000</v>
      </c>
      <c r="I3547" s="754">
        <v>148752.67000000001</v>
      </c>
      <c r="J3547" s="754">
        <v>0</v>
      </c>
      <c r="K3547" s="754">
        <v>0</v>
      </c>
      <c r="L3547" s="754">
        <v>47897.35</v>
      </c>
      <c r="M3547" s="754">
        <f t="shared" si="135"/>
        <v>47897.35</v>
      </c>
      <c r="N3547" s="756">
        <v>148752.67000000001</v>
      </c>
      <c r="O3547" s="720">
        <f t="shared" si="136"/>
        <v>0</v>
      </c>
    </row>
    <row r="3548" spans="1:15" x14ac:dyDescent="0.25">
      <c r="A3548" s="207" t="e">
        <f>VLOOKUP(RIGHT(E3548,3)+0,SchLocTable!$A$2:$B$47,2,FALSE)</f>
        <v>#N/A</v>
      </c>
      <c r="B3548" s="207" t="str">
        <f>VLOOKUP(VALUE(D3548),$D$3:F$106,3,FALSE)</f>
        <v>Custodians</v>
      </c>
      <c r="C3548" s="751" t="s">
        <v>246</v>
      </c>
      <c r="D3548" s="751" t="s">
        <v>991</v>
      </c>
      <c r="E3548" s="751" t="s">
        <v>992</v>
      </c>
      <c r="F3548" s="751" t="s">
        <v>378</v>
      </c>
      <c r="G3548" s="752" t="s">
        <v>1681</v>
      </c>
      <c r="H3548" s="753">
        <v>51108</v>
      </c>
      <c r="I3548" s="754">
        <v>-650.42999999999995</v>
      </c>
      <c r="J3548" s="754">
        <v>0</v>
      </c>
      <c r="K3548" s="754">
        <v>0</v>
      </c>
      <c r="L3548" s="754">
        <v>-650.42999999999995</v>
      </c>
      <c r="M3548" s="754">
        <f t="shared" si="135"/>
        <v>-650.42999999999995</v>
      </c>
      <c r="N3548" s="756">
        <v>-650.42999999999995</v>
      </c>
      <c r="O3548" s="720">
        <f t="shared" si="136"/>
        <v>0</v>
      </c>
    </row>
    <row r="3549" spans="1:15" x14ac:dyDescent="0.25">
      <c r="A3549" s="207" t="e">
        <f>VLOOKUP(RIGHT(E3549,3)+0,SchLocTable!$A$2:$B$47,2,FALSE)</f>
        <v>#N/A</v>
      </c>
      <c r="B3549" s="207" t="str">
        <f>VLOOKUP(VALUE(D3549),$D$3:F$106,3,FALSE)</f>
        <v>Custodians</v>
      </c>
      <c r="C3549" s="751" t="s">
        <v>246</v>
      </c>
      <c r="D3549" s="751" t="s">
        <v>991</v>
      </c>
      <c r="E3549" s="751" t="s">
        <v>992</v>
      </c>
      <c r="F3549" s="751" t="s">
        <v>915</v>
      </c>
      <c r="G3549" s="752" t="s">
        <v>1681</v>
      </c>
      <c r="H3549" s="753">
        <v>51116</v>
      </c>
      <c r="I3549" s="754">
        <v>0</v>
      </c>
      <c r="J3549" s="754">
        <v>0</v>
      </c>
      <c r="K3549" s="754">
        <v>0</v>
      </c>
      <c r="L3549" s="754">
        <v>0</v>
      </c>
      <c r="M3549" s="754">
        <f t="shared" si="135"/>
        <v>0</v>
      </c>
      <c r="N3549" s="756">
        <v>0</v>
      </c>
      <c r="O3549" s="720">
        <f t="shared" si="136"/>
        <v>0</v>
      </c>
    </row>
    <row r="3550" spans="1:15" x14ac:dyDescent="0.25">
      <c r="A3550" s="207" t="e">
        <f>VLOOKUP(RIGHT(E3550,3)+0,SchLocTable!$A$2:$B$47,2,FALSE)</f>
        <v>#N/A</v>
      </c>
      <c r="B3550" s="207" t="str">
        <f>VLOOKUP(VALUE(D3550),$D$3:F$106,3,FALSE)</f>
        <v>Custodians</v>
      </c>
      <c r="C3550" s="755" t="s">
        <v>246</v>
      </c>
      <c r="D3550" s="751" t="s">
        <v>991</v>
      </c>
      <c r="E3550" s="751" t="s">
        <v>992</v>
      </c>
      <c r="F3550" s="751" t="s">
        <v>380</v>
      </c>
      <c r="G3550" s="752" t="s">
        <v>1681</v>
      </c>
      <c r="H3550" s="753">
        <v>51122</v>
      </c>
      <c r="I3550" s="754">
        <v>-13594.18</v>
      </c>
      <c r="J3550" s="754">
        <v>0</v>
      </c>
      <c r="K3550" s="754">
        <v>0</v>
      </c>
      <c r="L3550" s="754">
        <v>-13594.18</v>
      </c>
      <c r="M3550" s="754">
        <f t="shared" si="135"/>
        <v>-13594.18</v>
      </c>
      <c r="N3550" s="756">
        <v>-13594.18</v>
      </c>
      <c r="O3550" s="720">
        <f t="shared" si="136"/>
        <v>0</v>
      </c>
    </row>
    <row r="3551" spans="1:15" x14ac:dyDescent="0.25">
      <c r="A3551" s="207" t="e">
        <f>VLOOKUP(RIGHT(E3551,3)+0,SchLocTable!$A$2:$B$47,2,FALSE)</f>
        <v>#N/A</v>
      </c>
      <c r="B3551" s="207" t="str">
        <f>VLOOKUP(VALUE(D3551),$D$3:F$106,3,FALSE)</f>
        <v>Custodians</v>
      </c>
      <c r="C3551" s="751" t="s">
        <v>246</v>
      </c>
      <c r="D3551" s="751" t="s">
        <v>991</v>
      </c>
      <c r="E3551" s="751" t="s">
        <v>992</v>
      </c>
      <c r="F3551" s="751" t="s">
        <v>993</v>
      </c>
      <c r="G3551" s="752" t="s">
        <v>1681</v>
      </c>
      <c r="H3551" s="753">
        <v>51138</v>
      </c>
      <c r="I3551" s="754">
        <v>932.9</v>
      </c>
      <c r="J3551" s="754">
        <v>0</v>
      </c>
      <c r="K3551" s="754">
        <v>0</v>
      </c>
      <c r="L3551" s="754">
        <v>204.19</v>
      </c>
      <c r="M3551" s="754">
        <f t="shared" si="135"/>
        <v>204.19</v>
      </c>
      <c r="N3551" s="756">
        <v>932.9</v>
      </c>
      <c r="O3551" s="720">
        <f t="shared" si="136"/>
        <v>0</v>
      </c>
    </row>
    <row r="3552" spans="1:15" x14ac:dyDescent="0.25">
      <c r="A3552" s="207" t="e">
        <f>VLOOKUP(RIGHT(E3552,3)+0,SchLocTable!$A$2:$B$47,2,FALSE)</f>
        <v>#N/A</v>
      </c>
      <c r="B3552" s="207" t="str">
        <f>VLOOKUP(VALUE(D3552),$D$3:F$106,3,FALSE)</f>
        <v>Custodians</v>
      </c>
      <c r="C3552" s="755" t="s">
        <v>246</v>
      </c>
      <c r="D3552" s="751" t="s">
        <v>991</v>
      </c>
      <c r="E3552" s="751" t="s">
        <v>992</v>
      </c>
      <c r="F3552" s="751" t="s">
        <v>257</v>
      </c>
      <c r="G3552" s="752" t="s">
        <v>1681</v>
      </c>
      <c r="H3552" s="753">
        <v>51140</v>
      </c>
      <c r="I3552" s="754">
        <v>4425</v>
      </c>
      <c r="J3552" s="754">
        <v>0</v>
      </c>
      <c r="K3552" s="754">
        <v>0</v>
      </c>
      <c r="L3552" s="754">
        <v>0</v>
      </c>
      <c r="M3552" s="754">
        <f t="shared" si="135"/>
        <v>0</v>
      </c>
      <c r="N3552" s="756">
        <v>4425</v>
      </c>
      <c r="O3552" s="720">
        <f t="shared" si="136"/>
        <v>0</v>
      </c>
    </row>
    <row r="3553" spans="1:15" x14ac:dyDescent="0.25">
      <c r="A3553" s="207" t="e">
        <f>VLOOKUP(RIGHT(E3553,3)+0,SchLocTable!$A$2:$B$47,2,FALSE)</f>
        <v>#N/A</v>
      </c>
      <c r="B3553" s="207" t="str">
        <f>VLOOKUP(VALUE(D3553),$D$3:F$106,3,FALSE)</f>
        <v>Custodians</v>
      </c>
      <c r="C3553" s="751" t="s">
        <v>246</v>
      </c>
      <c r="D3553" s="751" t="s">
        <v>991</v>
      </c>
      <c r="E3553" s="751" t="s">
        <v>992</v>
      </c>
      <c r="F3553" s="751" t="s">
        <v>797</v>
      </c>
      <c r="G3553" s="752" t="s">
        <v>1681</v>
      </c>
      <c r="H3553" s="753">
        <v>51156</v>
      </c>
      <c r="I3553" s="754">
        <v>0</v>
      </c>
      <c r="J3553" s="754">
        <v>0</v>
      </c>
      <c r="K3553" s="754">
        <v>0</v>
      </c>
      <c r="L3553" s="754">
        <v>0</v>
      </c>
      <c r="M3553" s="754">
        <f t="shared" si="135"/>
        <v>0</v>
      </c>
      <c r="N3553" s="756">
        <v>0</v>
      </c>
      <c r="O3553" s="720">
        <f t="shared" si="136"/>
        <v>0</v>
      </c>
    </row>
    <row r="3554" spans="1:15" x14ac:dyDescent="0.25">
      <c r="A3554" s="207" t="e">
        <f>VLOOKUP(RIGHT(E3554,3)+0,SchLocTable!$A$2:$B$47,2,FALSE)</f>
        <v>#N/A</v>
      </c>
      <c r="B3554" s="207" t="str">
        <f>VLOOKUP(VALUE(D3554),$D$3:F$106,3,FALSE)</f>
        <v>Custodians</v>
      </c>
      <c r="C3554" s="751" t="s">
        <v>246</v>
      </c>
      <c r="D3554" s="751" t="s">
        <v>991</v>
      </c>
      <c r="E3554" s="751" t="s">
        <v>992</v>
      </c>
      <c r="F3554" s="751" t="s">
        <v>254</v>
      </c>
      <c r="G3554" s="752" t="s">
        <v>1681</v>
      </c>
      <c r="H3554" s="753">
        <v>52360</v>
      </c>
      <c r="I3554" s="754">
        <v>2128.8200000000002</v>
      </c>
      <c r="J3554" s="754">
        <v>0</v>
      </c>
      <c r="K3554" s="754">
        <v>0</v>
      </c>
      <c r="L3554" s="754">
        <v>655.85</v>
      </c>
      <c r="M3554" s="754">
        <f t="shared" si="135"/>
        <v>655.85</v>
      </c>
      <c r="N3554" s="756">
        <v>2128.8200000000002</v>
      </c>
      <c r="O3554" s="720">
        <f t="shared" si="136"/>
        <v>0</v>
      </c>
    </row>
    <row r="3555" spans="1:15" x14ac:dyDescent="0.25">
      <c r="A3555" s="207" t="e">
        <f>VLOOKUP(RIGHT(E3555,3)+0,SchLocTable!$A$2:$B$47,2,FALSE)</f>
        <v>#N/A</v>
      </c>
      <c r="B3555" s="207" t="str">
        <f>VLOOKUP(VALUE(D3555),$D$3:F$106,3,FALSE)</f>
        <v>Custodians</v>
      </c>
      <c r="C3555" s="755" t="s">
        <v>246</v>
      </c>
      <c r="D3555" s="751" t="s">
        <v>991</v>
      </c>
      <c r="E3555" s="751" t="s">
        <v>992</v>
      </c>
      <c r="F3555" s="751" t="s">
        <v>292</v>
      </c>
      <c r="G3555" s="752" t="s">
        <v>1681</v>
      </c>
      <c r="H3555" s="753">
        <v>52385</v>
      </c>
      <c r="I3555" s="754">
        <v>0</v>
      </c>
      <c r="J3555" s="754">
        <v>0</v>
      </c>
      <c r="K3555" s="754">
        <v>0</v>
      </c>
      <c r="L3555" s="754">
        <v>0</v>
      </c>
      <c r="M3555" s="754">
        <f t="shared" si="135"/>
        <v>0</v>
      </c>
      <c r="N3555" s="756">
        <v>0</v>
      </c>
      <c r="O3555" s="720">
        <f t="shared" si="136"/>
        <v>0</v>
      </c>
    </row>
    <row r="3556" spans="1:15" x14ac:dyDescent="0.25">
      <c r="A3556" s="207" t="e">
        <f>VLOOKUP(RIGHT(E3556,3)+0,SchLocTable!$A$2:$B$47,2,FALSE)</f>
        <v>#N/A</v>
      </c>
      <c r="B3556" s="207" t="str">
        <f>VLOOKUP(VALUE(D3556),$D$3:F$106,3,FALSE)</f>
        <v>Custodians</v>
      </c>
      <c r="C3556" s="751" t="s">
        <v>246</v>
      </c>
      <c r="D3556" s="751" t="s">
        <v>991</v>
      </c>
      <c r="E3556" s="751" t="s">
        <v>992</v>
      </c>
      <c r="F3556" s="751" t="s">
        <v>331</v>
      </c>
      <c r="G3556" s="752" t="s">
        <v>1681</v>
      </c>
      <c r="H3556" s="753">
        <v>52504</v>
      </c>
      <c r="I3556" s="754">
        <v>30923.23</v>
      </c>
      <c r="J3556" s="754">
        <v>0</v>
      </c>
      <c r="K3556" s="754">
        <v>0</v>
      </c>
      <c r="L3556" s="754">
        <v>10007.08</v>
      </c>
      <c r="M3556" s="754">
        <f t="shared" si="135"/>
        <v>10007.08</v>
      </c>
      <c r="N3556" s="756">
        <v>30923.23</v>
      </c>
      <c r="O3556" s="720">
        <f t="shared" si="136"/>
        <v>0</v>
      </c>
    </row>
    <row r="3557" spans="1:15" x14ac:dyDescent="0.25">
      <c r="A3557" s="207" t="e">
        <f>VLOOKUP(RIGHT(E3557,3)+0,SchLocTable!$A$2:$B$47,2,FALSE)</f>
        <v>#N/A</v>
      </c>
      <c r="B3557" s="207" t="str">
        <f>VLOOKUP(VALUE(D3557),$D$3:F$106,3,FALSE)</f>
        <v>Custodians</v>
      </c>
      <c r="C3557" s="751" t="s">
        <v>246</v>
      </c>
      <c r="D3557" s="751" t="s">
        <v>991</v>
      </c>
      <c r="E3557" s="751" t="s">
        <v>992</v>
      </c>
      <c r="F3557" s="751" t="s">
        <v>259</v>
      </c>
      <c r="G3557" s="752" t="s">
        <v>1681</v>
      </c>
      <c r="H3557" s="753">
        <v>52917</v>
      </c>
      <c r="I3557" s="754">
        <v>34357</v>
      </c>
      <c r="J3557" s="754">
        <v>0</v>
      </c>
      <c r="K3557" s="754">
        <v>0</v>
      </c>
      <c r="L3557" s="754">
        <v>10530.88</v>
      </c>
      <c r="M3557" s="754">
        <f t="shared" si="135"/>
        <v>10530.88</v>
      </c>
      <c r="N3557" s="756">
        <v>34357</v>
      </c>
      <c r="O3557" s="720">
        <f t="shared" si="136"/>
        <v>0</v>
      </c>
    </row>
    <row r="3558" spans="1:15" x14ac:dyDescent="0.25">
      <c r="A3558" s="207" t="e">
        <f>VLOOKUP(RIGHT(E3558,3)+0,SchLocTable!$A$2:$B$47,2,FALSE)</f>
        <v>#N/A</v>
      </c>
      <c r="B3558" s="207" t="str">
        <f>VLOOKUP(VALUE(D3558),$D$3:F$106,3,FALSE)</f>
        <v>Custodians</v>
      </c>
      <c r="C3558" s="751" t="s">
        <v>246</v>
      </c>
      <c r="D3558" s="751" t="s">
        <v>991</v>
      </c>
      <c r="E3558" s="751" t="s">
        <v>992</v>
      </c>
      <c r="F3558" s="751" t="s">
        <v>333</v>
      </c>
      <c r="G3558" s="752" t="s">
        <v>1681</v>
      </c>
      <c r="H3558" s="753">
        <v>52920</v>
      </c>
      <c r="I3558" s="754">
        <v>3000</v>
      </c>
      <c r="J3558" s="754">
        <v>0</v>
      </c>
      <c r="K3558" s="754">
        <v>0</v>
      </c>
      <c r="L3558" s="754">
        <v>0</v>
      </c>
      <c r="M3558" s="754">
        <f t="shared" si="135"/>
        <v>0</v>
      </c>
      <c r="N3558" s="756">
        <v>3000</v>
      </c>
      <c r="O3558" s="720">
        <f t="shared" si="136"/>
        <v>0</v>
      </c>
    </row>
    <row r="3559" spans="1:15" x14ac:dyDescent="0.25">
      <c r="A3559" s="207" t="e">
        <f>VLOOKUP(RIGHT(E3559,3)+0,SchLocTable!$A$2:$B$47,2,FALSE)</f>
        <v>#N/A</v>
      </c>
      <c r="B3559" s="207" t="str">
        <f>VLOOKUP(VALUE(D3559),$D$3:F$106,3,FALSE)</f>
        <v>Custodians</v>
      </c>
      <c r="C3559" s="751" t="s">
        <v>246</v>
      </c>
      <c r="D3559" s="751" t="s">
        <v>991</v>
      </c>
      <c r="E3559" s="751" t="s">
        <v>1531</v>
      </c>
      <c r="F3559" s="751" t="s">
        <v>378</v>
      </c>
      <c r="G3559" s="752" t="s">
        <v>1681</v>
      </c>
      <c r="H3559" s="753">
        <v>51108</v>
      </c>
      <c r="I3559" s="754">
        <v>240.83</v>
      </c>
      <c r="J3559" s="754">
        <v>0</v>
      </c>
      <c r="K3559" s="754">
        <v>0</v>
      </c>
      <c r="L3559" s="754">
        <v>240.83</v>
      </c>
      <c r="M3559" s="754">
        <f t="shared" si="135"/>
        <v>240.83</v>
      </c>
      <c r="N3559" s="756">
        <v>240.83</v>
      </c>
      <c r="O3559" s="720">
        <f t="shared" si="136"/>
        <v>0</v>
      </c>
    </row>
    <row r="3560" spans="1:15" x14ac:dyDescent="0.25">
      <c r="A3560" s="207" t="e">
        <f>VLOOKUP(RIGHT(E3560,3)+0,SchLocTable!$A$2:$B$47,2,FALSE)</f>
        <v>#N/A</v>
      </c>
      <c r="B3560" s="207" t="str">
        <f>VLOOKUP(VALUE(D3560),$D$3:F$106,3,FALSE)</f>
        <v>Custodians</v>
      </c>
      <c r="C3560" s="751" t="s">
        <v>246</v>
      </c>
      <c r="D3560" s="751" t="s">
        <v>991</v>
      </c>
      <c r="E3560" s="751" t="s">
        <v>1531</v>
      </c>
      <c r="F3560" s="751" t="s">
        <v>380</v>
      </c>
      <c r="G3560" s="752" t="s">
        <v>1681</v>
      </c>
      <c r="H3560" s="753">
        <v>51122</v>
      </c>
      <c r="I3560" s="754">
        <v>18.059999999999999</v>
      </c>
      <c r="J3560" s="754">
        <v>0</v>
      </c>
      <c r="K3560" s="754">
        <v>0</v>
      </c>
      <c r="L3560" s="754">
        <v>18.059999999999999</v>
      </c>
      <c r="M3560" s="754">
        <f t="shared" si="135"/>
        <v>18.059999999999999</v>
      </c>
      <c r="N3560" s="756">
        <v>18.059999999999999</v>
      </c>
      <c r="O3560" s="720">
        <f t="shared" si="136"/>
        <v>0</v>
      </c>
    </row>
    <row r="3561" spans="1:15" x14ac:dyDescent="0.25">
      <c r="A3561" s="207" t="e">
        <f>VLOOKUP(RIGHT(E3561,3)+0,SchLocTable!$A$2:$B$47,2,FALSE)</f>
        <v>#N/A</v>
      </c>
      <c r="B3561" s="207" t="str">
        <f>VLOOKUP(VALUE(D3561),$D$3:F$106,3,FALSE)</f>
        <v>Custodians</v>
      </c>
      <c r="C3561" s="751" t="s">
        <v>246</v>
      </c>
      <c r="D3561" s="751" t="s">
        <v>991</v>
      </c>
      <c r="E3561" s="751" t="s">
        <v>1531</v>
      </c>
      <c r="F3561" s="751" t="s">
        <v>254</v>
      </c>
      <c r="G3561" s="752" t="s">
        <v>1681</v>
      </c>
      <c r="H3561" s="753">
        <v>52360</v>
      </c>
      <c r="I3561" s="754">
        <v>3.75</v>
      </c>
      <c r="J3561" s="754">
        <v>0</v>
      </c>
      <c r="K3561" s="754">
        <v>0</v>
      </c>
      <c r="L3561" s="754">
        <v>3.75</v>
      </c>
      <c r="M3561" s="754">
        <f t="shared" si="135"/>
        <v>3.75</v>
      </c>
      <c r="N3561" s="756">
        <v>3.75</v>
      </c>
      <c r="O3561" s="720">
        <f t="shared" si="136"/>
        <v>0</v>
      </c>
    </row>
    <row r="3562" spans="1:15" x14ac:dyDescent="0.25">
      <c r="A3562" s="207" t="e">
        <f>VLOOKUP(RIGHT(E3562,3)+0,SchLocTable!$A$2:$B$47,2,FALSE)</f>
        <v>#N/A</v>
      </c>
      <c r="B3562" s="207" t="str">
        <f>VLOOKUP(VALUE(D3562),$D$3:F$106,3,FALSE)</f>
        <v>Custodians</v>
      </c>
      <c r="C3562" s="751" t="s">
        <v>246</v>
      </c>
      <c r="D3562" s="751" t="s">
        <v>991</v>
      </c>
      <c r="E3562" s="751" t="s">
        <v>1531</v>
      </c>
      <c r="F3562" s="751" t="s">
        <v>292</v>
      </c>
      <c r="G3562" s="752" t="s">
        <v>1681</v>
      </c>
      <c r="H3562" s="753">
        <v>52385</v>
      </c>
      <c r="I3562" s="754">
        <v>0</v>
      </c>
      <c r="J3562" s="754">
        <v>0</v>
      </c>
      <c r="K3562" s="754">
        <v>0</v>
      </c>
      <c r="L3562" s="754">
        <v>0</v>
      </c>
      <c r="M3562" s="754">
        <f t="shared" si="135"/>
        <v>0</v>
      </c>
      <c r="N3562" s="756">
        <v>0</v>
      </c>
      <c r="O3562" s="720">
        <f t="shared" si="136"/>
        <v>0</v>
      </c>
    </row>
    <row r="3563" spans="1:15" x14ac:dyDescent="0.25">
      <c r="A3563" s="207" t="e">
        <f>VLOOKUP(RIGHT(E3563,3)+0,SchLocTable!$A$2:$B$47,2,FALSE)</f>
        <v>#N/A</v>
      </c>
      <c r="B3563" s="207" t="str">
        <f>VLOOKUP(VALUE(D3563),$D$3:F$106,3,FALSE)</f>
        <v>Custodians</v>
      </c>
      <c r="C3563" s="751" t="s">
        <v>246</v>
      </c>
      <c r="D3563" s="751" t="s">
        <v>991</v>
      </c>
      <c r="E3563" s="751" t="s">
        <v>1531</v>
      </c>
      <c r="F3563" s="751" t="s">
        <v>331</v>
      </c>
      <c r="G3563" s="752" t="s">
        <v>1681</v>
      </c>
      <c r="H3563" s="753">
        <v>52504</v>
      </c>
      <c r="I3563" s="754">
        <v>53.31</v>
      </c>
      <c r="J3563" s="754">
        <v>0</v>
      </c>
      <c r="K3563" s="754">
        <v>0</v>
      </c>
      <c r="L3563" s="754">
        <v>53.31</v>
      </c>
      <c r="M3563" s="754">
        <f t="shared" si="135"/>
        <v>53.31</v>
      </c>
      <c r="N3563" s="756">
        <v>53.31</v>
      </c>
      <c r="O3563" s="720">
        <f t="shared" si="136"/>
        <v>0</v>
      </c>
    </row>
    <row r="3564" spans="1:15" x14ac:dyDescent="0.25">
      <c r="A3564" s="207" t="e">
        <f>VLOOKUP(RIGHT(E3564,3)+0,SchLocTable!$A$2:$B$47,2,FALSE)</f>
        <v>#N/A</v>
      </c>
      <c r="B3564" s="207" t="str">
        <f>VLOOKUP(VALUE(D3564),$D$3:F$106,3,FALSE)</f>
        <v>Custodians</v>
      </c>
      <c r="C3564" s="751" t="s">
        <v>246</v>
      </c>
      <c r="D3564" s="751" t="s">
        <v>991</v>
      </c>
      <c r="E3564" s="751" t="s">
        <v>1407</v>
      </c>
      <c r="F3564" s="751" t="s">
        <v>378</v>
      </c>
      <c r="G3564" s="752" t="s">
        <v>1681</v>
      </c>
      <c r="H3564" s="753">
        <v>51108</v>
      </c>
      <c r="I3564" s="754">
        <v>9347.7800000000007</v>
      </c>
      <c r="J3564" s="754">
        <v>0</v>
      </c>
      <c r="K3564" s="754">
        <v>0</v>
      </c>
      <c r="L3564" s="754">
        <v>3757.05</v>
      </c>
      <c r="M3564" s="754">
        <f t="shared" si="135"/>
        <v>3757.05</v>
      </c>
      <c r="N3564" s="756">
        <v>9347.7800000000007</v>
      </c>
      <c r="O3564" s="720">
        <f t="shared" si="136"/>
        <v>0</v>
      </c>
    </row>
    <row r="3565" spans="1:15" x14ac:dyDescent="0.25">
      <c r="A3565" s="207" t="e">
        <f>VLOOKUP(RIGHT(E3565,3)+0,SchLocTable!$A$2:$B$47,2,FALSE)</f>
        <v>#N/A</v>
      </c>
      <c r="B3565" s="207" t="str">
        <f>VLOOKUP(VALUE(D3565),$D$3:F$106,3,FALSE)</f>
        <v>Custodians</v>
      </c>
      <c r="C3565" s="751" t="s">
        <v>246</v>
      </c>
      <c r="D3565" s="751" t="s">
        <v>991</v>
      </c>
      <c r="E3565" s="751" t="s">
        <v>1407</v>
      </c>
      <c r="F3565" s="751" t="s">
        <v>915</v>
      </c>
      <c r="G3565" s="752" t="s">
        <v>1681</v>
      </c>
      <c r="H3565" s="753">
        <v>51116</v>
      </c>
      <c r="I3565" s="754">
        <v>0</v>
      </c>
      <c r="J3565" s="754">
        <v>0</v>
      </c>
      <c r="K3565" s="754">
        <v>0</v>
      </c>
      <c r="L3565" s="754">
        <v>0</v>
      </c>
      <c r="M3565" s="754">
        <f t="shared" si="135"/>
        <v>0</v>
      </c>
      <c r="N3565" s="756">
        <v>0</v>
      </c>
      <c r="O3565" s="720">
        <f t="shared" si="136"/>
        <v>0</v>
      </c>
    </row>
    <row r="3566" spans="1:15" x14ac:dyDescent="0.25">
      <c r="A3566" s="207" t="e">
        <f>VLOOKUP(RIGHT(E3566,3)+0,SchLocTable!$A$2:$B$47,2,FALSE)</f>
        <v>#N/A</v>
      </c>
      <c r="B3566" s="207" t="str">
        <f>VLOOKUP(VALUE(D3566),$D$3:F$106,3,FALSE)</f>
        <v>Custodians</v>
      </c>
      <c r="C3566" s="751" t="s">
        <v>246</v>
      </c>
      <c r="D3566" s="751" t="s">
        <v>991</v>
      </c>
      <c r="E3566" s="751" t="s">
        <v>1407</v>
      </c>
      <c r="F3566" s="751" t="s">
        <v>380</v>
      </c>
      <c r="G3566" s="752" t="s">
        <v>1681</v>
      </c>
      <c r="H3566" s="753">
        <v>51122</v>
      </c>
      <c r="I3566" s="754">
        <v>20298.89</v>
      </c>
      <c r="J3566" s="754">
        <v>0</v>
      </c>
      <c r="K3566" s="754">
        <v>0</v>
      </c>
      <c r="L3566" s="754">
        <v>9705.68</v>
      </c>
      <c r="M3566" s="754">
        <f t="shared" si="135"/>
        <v>9705.68</v>
      </c>
      <c r="N3566" s="756">
        <v>20298.89</v>
      </c>
      <c r="O3566" s="720">
        <f t="shared" si="136"/>
        <v>0</v>
      </c>
    </row>
    <row r="3567" spans="1:15" x14ac:dyDescent="0.25">
      <c r="A3567" s="207" t="e">
        <f>VLOOKUP(RIGHT(E3567,3)+0,SchLocTable!$A$2:$B$47,2,FALSE)</f>
        <v>#N/A</v>
      </c>
      <c r="B3567" s="207" t="str">
        <f>VLOOKUP(VALUE(D3567),$D$3:F$106,3,FALSE)</f>
        <v>Custodians</v>
      </c>
      <c r="C3567" s="751" t="s">
        <v>246</v>
      </c>
      <c r="D3567" s="751" t="s">
        <v>991</v>
      </c>
      <c r="E3567" s="751" t="s">
        <v>1407</v>
      </c>
      <c r="F3567" s="751" t="s">
        <v>944</v>
      </c>
      <c r="G3567" s="752" t="s">
        <v>1681</v>
      </c>
      <c r="H3567" s="753">
        <v>51124</v>
      </c>
      <c r="I3567" s="754">
        <v>0</v>
      </c>
      <c r="J3567" s="754">
        <v>0</v>
      </c>
      <c r="K3567" s="754">
        <v>0</v>
      </c>
      <c r="L3567" s="754">
        <v>0</v>
      </c>
      <c r="M3567" s="754">
        <f t="shared" si="135"/>
        <v>0</v>
      </c>
      <c r="N3567" s="756">
        <v>0</v>
      </c>
      <c r="O3567" s="720">
        <f t="shared" si="136"/>
        <v>0</v>
      </c>
    </row>
    <row r="3568" spans="1:15" x14ac:dyDescent="0.25">
      <c r="A3568" s="207" t="e">
        <f>VLOOKUP(RIGHT(E3568,3)+0,SchLocTable!$A$2:$B$47,2,FALSE)</f>
        <v>#N/A</v>
      </c>
      <c r="B3568" s="207" t="str">
        <f>VLOOKUP(VALUE(D3568),$D$3:F$106,3,FALSE)</f>
        <v>Custodians</v>
      </c>
      <c r="C3568" s="751" t="s">
        <v>246</v>
      </c>
      <c r="D3568" s="751" t="s">
        <v>991</v>
      </c>
      <c r="E3568" s="751" t="s">
        <v>1407</v>
      </c>
      <c r="F3568" s="751" t="s">
        <v>945</v>
      </c>
      <c r="G3568" s="752" t="s">
        <v>1681</v>
      </c>
      <c r="H3568" s="753">
        <v>51128</v>
      </c>
      <c r="I3568" s="754">
        <v>0</v>
      </c>
      <c r="J3568" s="754">
        <v>0</v>
      </c>
      <c r="K3568" s="754">
        <v>0</v>
      </c>
      <c r="L3568" s="754">
        <v>0</v>
      </c>
      <c r="M3568" s="754">
        <f t="shared" si="135"/>
        <v>0</v>
      </c>
      <c r="N3568" s="756">
        <v>0</v>
      </c>
      <c r="O3568" s="720">
        <f t="shared" si="136"/>
        <v>0</v>
      </c>
    </row>
    <row r="3569" spans="1:15" x14ac:dyDescent="0.25">
      <c r="A3569" s="207" t="e">
        <f>VLOOKUP(RIGHT(E3569,3)+0,SchLocTable!$A$2:$B$47,2,FALSE)</f>
        <v>#N/A</v>
      </c>
      <c r="B3569" s="207" t="str">
        <f>VLOOKUP(VALUE(D3569),$D$3:F$106,3,FALSE)</f>
        <v>Custodians</v>
      </c>
      <c r="C3569" s="751" t="s">
        <v>246</v>
      </c>
      <c r="D3569" s="751" t="s">
        <v>991</v>
      </c>
      <c r="E3569" s="751" t="s">
        <v>1407</v>
      </c>
      <c r="F3569" s="751" t="s">
        <v>1684</v>
      </c>
      <c r="G3569" s="752" t="s">
        <v>1681</v>
      </c>
      <c r="H3569" s="753">
        <v>51130</v>
      </c>
      <c r="I3569" s="754">
        <v>0</v>
      </c>
      <c r="J3569" s="754">
        <v>0</v>
      </c>
      <c r="K3569" s="754">
        <v>0</v>
      </c>
      <c r="L3569" s="754">
        <v>0</v>
      </c>
      <c r="M3569" s="754">
        <f t="shared" si="135"/>
        <v>0</v>
      </c>
      <c r="N3569" s="756">
        <v>0</v>
      </c>
      <c r="O3569" s="720">
        <f t="shared" si="136"/>
        <v>0</v>
      </c>
    </row>
    <row r="3570" spans="1:15" x14ac:dyDescent="0.25">
      <c r="A3570" s="207" t="e">
        <f>VLOOKUP(RIGHT(E3570,3)+0,SchLocTable!$A$2:$B$47,2,FALSE)</f>
        <v>#N/A</v>
      </c>
      <c r="B3570" s="207" t="str">
        <f>VLOOKUP(VALUE(D3570),$D$3:F$106,3,FALSE)</f>
        <v>Custodians</v>
      </c>
      <c r="C3570" s="755" t="s">
        <v>246</v>
      </c>
      <c r="D3570" s="751" t="s">
        <v>991</v>
      </c>
      <c r="E3570" s="751" t="s">
        <v>1407</v>
      </c>
      <c r="F3570" s="751" t="s">
        <v>254</v>
      </c>
      <c r="G3570" s="752" t="s">
        <v>1681</v>
      </c>
      <c r="H3570" s="753">
        <v>52360</v>
      </c>
      <c r="I3570" s="754">
        <v>429.88</v>
      </c>
      <c r="J3570" s="754">
        <v>0</v>
      </c>
      <c r="K3570" s="754">
        <v>0</v>
      </c>
      <c r="L3570" s="754">
        <v>195.21</v>
      </c>
      <c r="M3570" s="754">
        <f t="shared" si="135"/>
        <v>195.21</v>
      </c>
      <c r="N3570" s="756">
        <v>429.88</v>
      </c>
      <c r="O3570" s="720">
        <f t="shared" si="136"/>
        <v>0</v>
      </c>
    </row>
    <row r="3571" spans="1:15" x14ac:dyDescent="0.25">
      <c r="A3571" s="207" t="e">
        <f>VLOOKUP(RIGHT(E3571,3)+0,SchLocTable!$A$2:$B$47,2,FALSE)</f>
        <v>#N/A</v>
      </c>
      <c r="B3571" s="207" t="str">
        <f>VLOOKUP(VALUE(D3571),$D$3:F$106,3,FALSE)</f>
        <v>Custodians</v>
      </c>
      <c r="C3571" s="751" t="s">
        <v>246</v>
      </c>
      <c r="D3571" s="751" t="s">
        <v>991</v>
      </c>
      <c r="E3571" s="751" t="s">
        <v>1407</v>
      </c>
      <c r="F3571" s="751" t="s">
        <v>331</v>
      </c>
      <c r="G3571" s="752" t="s">
        <v>1681</v>
      </c>
      <c r="H3571" s="753">
        <v>52504</v>
      </c>
      <c r="I3571" s="754">
        <v>6104.26</v>
      </c>
      <c r="J3571" s="754">
        <v>0</v>
      </c>
      <c r="K3571" s="754">
        <v>0</v>
      </c>
      <c r="L3571" s="754">
        <v>2771.99</v>
      </c>
      <c r="M3571" s="754">
        <f t="shared" si="135"/>
        <v>2771.99</v>
      </c>
      <c r="N3571" s="756">
        <v>6104.26</v>
      </c>
      <c r="O3571" s="720">
        <f t="shared" si="136"/>
        <v>0</v>
      </c>
    </row>
    <row r="3572" spans="1:15" x14ac:dyDescent="0.25">
      <c r="A3572" s="207" t="e">
        <f>VLOOKUP(RIGHT(E3572,3)+0,SchLocTable!$A$2:$B$47,2,FALSE)</f>
        <v>#N/A</v>
      </c>
      <c r="B3572" s="207" t="str">
        <f>VLOOKUP(VALUE(D3572),$D$3:F$106,3,FALSE)</f>
        <v>Custodians</v>
      </c>
      <c r="C3572" s="755" t="s">
        <v>246</v>
      </c>
      <c r="D3572" s="751" t="s">
        <v>991</v>
      </c>
      <c r="E3572" s="751" t="s">
        <v>1407</v>
      </c>
      <c r="F3572" s="751" t="s">
        <v>259</v>
      </c>
      <c r="G3572" s="752" t="s">
        <v>1681</v>
      </c>
      <c r="H3572" s="753">
        <v>52917</v>
      </c>
      <c r="I3572" s="754">
        <v>0</v>
      </c>
      <c r="J3572" s="754">
        <v>0</v>
      </c>
      <c r="K3572" s="754">
        <v>0</v>
      </c>
      <c r="L3572" s="754">
        <v>0</v>
      </c>
      <c r="M3572" s="754">
        <f t="shared" si="135"/>
        <v>0</v>
      </c>
      <c r="N3572" s="756">
        <v>0</v>
      </c>
      <c r="O3572" s="720">
        <f t="shared" si="136"/>
        <v>0</v>
      </c>
    </row>
    <row r="3573" spans="1:15" x14ac:dyDescent="0.25">
      <c r="A3573" s="207" t="str">
        <f>VLOOKUP(RIGHT(E3573,3)+0,SchLocTable!$A$2:$B$47,2,FALSE)</f>
        <v>Barnum</v>
      </c>
      <c r="B3573" s="207" t="str">
        <f>VLOOKUP(VALUE(D3573),$D$3:F$106,3,FALSE)</f>
        <v>Custodians</v>
      </c>
      <c r="C3573" s="751" t="s">
        <v>246</v>
      </c>
      <c r="D3573" s="751" t="s">
        <v>991</v>
      </c>
      <c r="E3573" s="751" t="s">
        <v>994</v>
      </c>
      <c r="F3573" s="751" t="s">
        <v>248</v>
      </c>
      <c r="G3573" s="752">
        <v>6</v>
      </c>
      <c r="H3573" s="753">
        <v>51000</v>
      </c>
      <c r="I3573" s="754">
        <v>249162.32</v>
      </c>
      <c r="J3573" s="754">
        <v>0</v>
      </c>
      <c r="K3573" s="754">
        <v>0</v>
      </c>
      <c r="L3573" s="754">
        <v>77181.02</v>
      </c>
      <c r="M3573" s="754">
        <f t="shared" si="135"/>
        <v>77181.02</v>
      </c>
      <c r="N3573" s="756">
        <v>249162.32</v>
      </c>
      <c r="O3573" s="720">
        <f t="shared" si="136"/>
        <v>0</v>
      </c>
    </row>
    <row r="3574" spans="1:15" x14ac:dyDescent="0.25">
      <c r="A3574" s="207" t="str">
        <f>VLOOKUP(RIGHT(E3574,3)+0,SchLocTable!$A$2:$B$47,2,FALSE)</f>
        <v>Barnum</v>
      </c>
      <c r="B3574" s="207" t="str">
        <f>VLOOKUP(VALUE(D3574),$D$3:F$106,3,FALSE)</f>
        <v>Custodians</v>
      </c>
      <c r="C3574" s="751" t="s">
        <v>246</v>
      </c>
      <c r="D3574" s="751" t="s">
        <v>991</v>
      </c>
      <c r="E3574" s="751" t="s">
        <v>994</v>
      </c>
      <c r="F3574" s="751" t="s">
        <v>919</v>
      </c>
      <c r="G3574" s="752" t="s">
        <v>1681</v>
      </c>
      <c r="H3574" s="753">
        <v>51102</v>
      </c>
      <c r="I3574" s="754">
        <v>0</v>
      </c>
      <c r="J3574" s="754">
        <v>0</v>
      </c>
      <c r="K3574" s="754">
        <v>0</v>
      </c>
      <c r="L3574" s="754">
        <v>0</v>
      </c>
      <c r="M3574" s="754">
        <f t="shared" si="135"/>
        <v>0</v>
      </c>
      <c r="N3574" s="756">
        <v>0</v>
      </c>
      <c r="O3574" s="720">
        <f t="shared" si="136"/>
        <v>0</v>
      </c>
    </row>
    <row r="3575" spans="1:15" x14ac:dyDescent="0.25">
      <c r="A3575" s="207" t="str">
        <f>VLOOKUP(RIGHT(E3575,3)+0,SchLocTable!$A$2:$B$47,2,FALSE)</f>
        <v>Barnum</v>
      </c>
      <c r="B3575" s="207" t="str">
        <f>VLOOKUP(VALUE(D3575),$D$3:F$106,3,FALSE)</f>
        <v>Custodians</v>
      </c>
      <c r="C3575" s="751" t="s">
        <v>246</v>
      </c>
      <c r="D3575" s="751" t="s">
        <v>991</v>
      </c>
      <c r="E3575" s="751" t="s">
        <v>994</v>
      </c>
      <c r="F3575" s="751" t="s">
        <v>378</v>
      </c>
      <c r="G3575" s="752" t="s">
        <v>1681</v>
      </c>
      <c r="H3575" s="753">
        <v>51108</v>
      </c>
      <c r="I3575" s="754">
        <v>3217.95</v>
      </c>
      <c r="J3575" s="754">
        <v>0</v>
      </c>
      <c r="K3575" s="754">
        <v>0</v>
      </c>
      <c r="L3575" s="754">
        <v>1494.47</v>
      </c>
      <c r="M3575" s="754">
        <f t="shared" si="135"/>
        <v>1494.47</v>
      </c>
      <c r="N3575" s="756">
        <v>3217.95</v>
      </c>
      <c r="O3575" s="720">
        <f t="shared" si="136"/>
        <v>0</v>
      </c>
    </row>
    <row r="3576" spans="1:15" x14ac:dyDescent="0.25">
      <c r="A3576" s="207" t="str">
        <f>VLOOKUP(RIGHT(E3576,3)+0,SchLocTable!$A$2:$B$47,2,FALSE)</f>
        <v>Barnum</v>
      </c>
      <c r="B3576" s="207" t="str">
        <f>VLOOKUP(VALUE(D3576),$D$3:F$106,3,FALSE)</f>
        <v>Custodians</v>
      </c>
      <c r="C3576" s="751" t="s">
        <v>246</v>
      </c>
      <c r="D3576" s="751" t="s">
        <v>991</v>
      </c>
      <c r="E3576" s="751" t="s">
        <v>994</v>
      </c>
      <c r="F3576" s="751" t="s">
        <v>915</v>
      </c>
      <c r="G3576" s="752" t="s">
        <v>1681</v>
      </c>
      <c r="H3576" s="753">
        <v>51116</v>
      </c>
      <c r="I3576" s="754">
        <v>0</v>
      </c>
      <c r="J3576" s="754">
        <v>0</v>
      </c>
      <c r="K3576" s="754">
        <v>0</v>
      </c>
      <c r="L3576" s="754">
        <v>0</v>
      </c>
      <c r="M3576" s="754">
        <f t="shared" si="135"/>
        <v>0</v>
      </c>
      <c r="N3576" s="756">
        <v>0</v>
      </c>
      <c r="O3576" s="720">
        <f t="shared" si="136"/>
        <v>0</v>
      </c>
    </row>
    <row r="3577" spans="1:15" x14ac:dyDescent="0.25">
      <c r="A3577" s="207" t="str">
        <f>VLOOKUP(RIGHT(E3577,3)+0,SchLocTable!$A$2:$B$47,2,FALSE)</f>
        <v>Barnum</v>
      </c>
      <c r="B3577" s="207" t="str">
        <f>VLOOKUP(VALUE(D3577),$D$3:F$106,3,FALSE)</f>
        <v>Custodians</v>
      </c>
      <c r="C3577" s="751" t="s">
        <v>246</v>
      </c>
      <c r="D3577" s="751" t="s">
        <v>991</v>
      </c>
      <c r="E3577" s="751" t="s">
        <v>994</v>
      </c>
      <c r="F3577" s="751" t="s">
        <v>380</v>
      </c>
      <c r="G3577" s="752" t="s">
        <v>1681</v>
      </c>
      <c r="H3577" s="753">
        <v>51122</v>
      </c>
      <c r="I3577" s="754">
        <v>22531.16</v>
      </c>
      <c r="J3577" s="754">
        <v>0</v>
      </c>
      <c r="K3577" s="754">
        <v>0</v>
      </c>
      <c r="L3577" s="754">
        <v>4919.1400000000003</v>
      </c>
      <c r="M3577" s="754">
        <f t="shared" si="135"/>
        <v>4919.1400000000003</v>
      </c>
      <c r="N3577" s="756">
        <v>22531.16</v>
      </c>
      <c r="O3577" s="720">
        <f t="shared" si="136"/>
        <v>0</v>
      </c>
    </row>
    <row r="3578" spans="1:15" x14ac:dyDescent="0.25">
      <c r="A3578" s="207" t="str">
        <f>VLOOKUP(RIGHT(E3578,3)+0,SchLocTable!$A$2:$B$47,2,FALSE)</f>
        <v>Barnum</v>
      </c>
      <c r="B3578" s="207" t="str">
        <f>VLOOKUP(VALUE(D3578),$D$3:F$106,3,FALSE)</f>
        <v>Custodians</v>
      </c>
      <c r="C3578" s="751" t="s">
        <v>246</v>
      </c>
      <c r="D3578" s="751" t="s">
        <v>991</v>
      </c>
      <c r="E3578" s="751" t="s">
        <v>994</v>
      </c>
      <c r="F3578" s="751" t="s">
        <v>944</v>
      </c>
      <c r="G3578" s="752" t="s">
        <v>1681</v>
      </c>
      <c r="H3578" s="753">
        <v>51124</v>
      </c>
      <c r="I3578" s="754">
        <v>0</v>
      </c>
      <c r="J3578" s="754">
        <v>0</v>
      </c>
      <c r="K3578" s="754">
        <v>0</v>
      </c>
      <c r="L3578" s="754">
        <v>0</v>
      </c>
      <c r="M3578" s="754">
        <f t="shared" si="135"/>
        <v>0</v>
      </c>
      <c r="N3578" s="756">
        <v>0</v>
      </c>
      <c r="O3578" s="720">
        <f t="shared" si="136"/>
        <v>0</v>
      </c>
    </row>
    <row r="3579" spans="1:15" x14ac:dyDescent="0.25">
      <c r="A3579" s="207" t="str">
        <f>VLOOKUP(RIGHT(E3579,3)+0,SchLocTable!$A$2:$B$47,2,FALSE)</f>
        <v>Barnum</v>
      </c>
      <c r="B3579" s="207" t="str">
        <f>VLOOKUP(VALUE(D3579),$D$3:F$106,3,FALSE)</f>
        <v>Custodians</v>
      </c>
      <c r="C3579" s="751" t="s">
        <v>246</v>
      </c>
      <c r="D3579" s="751" t="s">
        <v>991</v>
      </c>
      <c r="E3579" s="751" t="s">
        <v>994</v>
      </c>
      <c r="F3579" s="751" t="s">
        <v>993</v>
      </c>
      <c r="G3579" s="752" t="s">
        <v>1681</v>
      </c>
      <c r="H3579" s="753">
        <v>51138</v>
      </c>
      <c r="I3579" s="754">
        <v>4309.18</v>
      </c>
      <c r="J3579" s="754">
        <v>0</v>
      </c>
      <c r="K3579" s="754">
        <v>0</v>
      </c>
      <c r="L3579" s="754">
        <v>874.16</v>
      </c>
      <c r="M3579" s="754">
        <f t="shared" si="135"/>
        <v>874.16</v>
      </c>
      <c r="N3579" s="756">
        <v>4309.18</v>
      </c>
      <c r="O3579" s="720">
        <f t="shared" si="136"/>
        <v>0</v>
      </c>
    </row>
    <row r="3580" spans="1:15" x14ac:dyDescent="0.25">
      <c r="A3580" s="207" t="str">
        <f>VLOOKUP(RIGHT(E3580,3)+0,SchLocTable!$A$2:$B$47,2,FALSE)</f>
        <v>Barnum</v>
      </c>
      <c r="B3580" s="207" t="str">
        <f>VLOOKUP(VALUE(D3580),$D$3:F$106,3,FALSE)</f>
        <v>Custodians</v>
      </c>
      <c r="C3580" s="751" t="s">
        <v>246</v>
      </c>
      <c r="D3580" s="751" t="s">
        <v>991</v>
      </c>
      <c r="E3580" s="751" t="s">
        <v>994</v>
      </c>
      <c r="F3580" s="751" t="s">
        <v>257</v>
      </c>
      <c r="G3580" s="752" t="s">
        <v>1681</v>
      </c>
      <c r="H3580" s="753">
        <v>51140</v>
      </c>
      <c r="I3580" s="754">
        <v>2925</v>
      </c>
      <c r="J3580" s="754">
        <v>0</v>
      </c>
      <c r="K3580" s="754">
        <v>0</v>
      </c>
      <c r="L3580" s="754">
        <v>1650</v>
      </c>
      <c r="M3580" s="754">
        <f t="shared" si="135"/>
        <v>1650</v>
      </c>
      <c r="N3580" s="756">
        <v>2925</v>
      </c>
      <c r="O3580" s="720">
        <f t="shared" si="136"/>
        <v>0</v>
      </c>
    </row>
    <row r="3581" spans="1:15" x14ac:dyDescent="0.25">
      <c r="A3581" s="207" t="str">
        <f>VLOOKUP(RIGHT(E3581,3)+0,SchLocTable!$A$2:$B$47,2,FALSE)</f>
        <v>Barnum</v>
      </c>
      <c r="B3581" s="207" t="str">
        <f>VLOOKUP(VALUE(D3581),$D$3:F$106,3,FALSE)</f>
        <v>Custodians</v>
      </c>
      <c r="C3581" s="751" t="s">
        <v>246</v>
      </c>
      <c r="D3581" s="751" t="s">
        <v>991</v>
      </c>
      <c r="E3581" s="751" t="s">
        <v>994</v>
      </c>
      <c r="F3581" s="751" t="s">
        <v>797</v>
      </c>
      <c r="G3581" s="752" t="s">
        <v>1681</v>
      </c>
      <c r="H3581" s="753">
        <v>51156</v>
      </c>
      <c r="I3581" s="754">
        <v>0</v>
      </c>
      <c r="J3581" s="754">
        <v>0</v>
      </c>
      <c r="K3581" s="754">
        <v>0</v>
      </c>
      <c r="L3581" s="754">
        <v>0</v>
      </c>
      <c r="M3581" s="754">
        <f t="shared" si="135"/>
        <v>0</v>
      </c>
      <c r="N3581" s="756">
        <v>0</v>
      </c>
      <c r="O3581" s="720">
        <f t="shared" si="136"/>
        <v>0</v>
      </c>
    </row>
    <row r="3582" spans="1:15" x14ac:dyDescent="0.25">
      <c r="A3582" s="207" t="str">
        <f>VLOOKUP(RIGHT(E3582,3)+0,SchLocTable!$A$2:$B$47,2,FALSE)</f>
        <v>Barnum</v>
      </c>
      <c r="B3582" s="207" t="str">
        <f>VLOOKUP(VALUE(D3582),$D$3:F$106,3,FALSE)</f>
        <v>Custodians</v>
      </c>
      <c r="C3582" s="751" t="s">
        <v>246</v>
      </c>
      <c r="D3582" s="751" t="s">
        <v>991</v>
      </c>
      <c r="E3582" s="751" t="s">
        <v>994</v>
      </c>
      <c r="F3582" s="751" t="s">
        <v>254</v>
      </c>
      <c r="G3582" s="752" t="s">
        <v>1681</v>
      </c>
      <c r="H3582" s="753">
        <v>52360</v>
      </c>
      <c r="I3582" s="754">
        <v>3995.4</v>
      </c>
      <c r="J3582" s="754">
        <v>0</v>
      </c>
      <c r="K3582" s="754">
        <v>0</v>
      </c>
      <c r="L3582" s="754">
        <v>1171.5</v>
      </c>
      <c r="M3582" s="754">
        <f t="shared" si="135"/>
        <v>1171.5</v>
      </c>
      <c r="N3582" s="756">
        <v>3995.4</v>
      </c>
      <c r="O3582" s="720">
        <f t="shared" si="136"/>
        <v>0</v>
      </c>
    </row>
    <row r="3583" spans="1:15" x14ac:dyDescent="0.25">
      <c r="A3583" s="207" t="str">
        <f>VLOOKUP(RIGHT(E3583,3)+0,SchLocTable!$A$2:$B$47,2,FALSE)</f>
        <v>Barnum</v>
      </c>
      <c r="B3583" s="207" t="str">
        <f>VLOOKUP(VALUE(D3583),$D$3:F$106,3,FALSE)</f>
        <v>Custodians</v>
      </c>
      <c r="C3583" s="751" t="s">
        <v>246</v>
      </c>
      <c r="D3583" s="751" t="s">
        <v>991</v>
      </c>
      <c r="E3583" s="751" t="s">
        <v>994</v>
      </c>
      <c r="F3583" s="751" t="s">
        <v>292</v>
      </c>
      <c r="G3583" s="752" t="s">
        <v>1681</v>
      </c>
      <c r="H3583" s="753">
        <v>52385</v>
      </c>
      <c r="I3583" s="754">
        <v>0</v>
      </c>
      <c r="J3583" s="754">
        <v>0</v>
      </c>
      <c r="K3583" s="754">
        <v>0</v>
      </c>
      <c r="L3583" s="754">
        <v>0</v>
      </c>
      <c r="M3583" s="754">
        <f t="shared" ref="M3583:M3646" si="137">SUM(J3583:L3583)</f>
        <v>0</v>
      </c>
      <c r="N3583" s="756">
        <v>0</v>
      </c>
      <c r="O3583" s="720">
        <f t="shared" ref="O3583:O3646" si="138">I3583-N3583</f>
        <v>0</v>
      </c>
    </row>
    <row r="3584" spans="1:15" x14ac:dyDescent="0.25">
      <c r="A3584" s="207" t="str">
        <f>VLOOKUP(RIGHT(E3584,3)+0,SchLocTable!$A$2:$B$47,2,FALSE)</f>
        <v>Barnum</v>
      </c>
      <c r="B3584" s="207" t="str">
        <f>VLOOKUP(VALUE(D3584),$D$3:F$106,3,FALSE)</f>
        <v>Custodians</v>
      </c>
      <c r="C3584" s="755" t="s">
        <v>246</v>
      </c>
      <c r="D3584" s="751" t="s">
        <v>991</v>
      </c>
      <c r="E3584" s="751" t="s">
        <v>994</v>
      </c>
      <c r="F3584" s="751" t="s">
        <v>331</v>
      </c>
      <c r="G3584" s="752" t="s">
        <v>1681</v>
      </c>
      <c r="H3584" s="753">
        <v>52504</v>
      </c>
      <c r="I3584" s="754">
        <v>57831.24</v>
      </c>
      <c r="J3584" s="754">
        <v>0</v>
      </c>
      <c r="K3584" s="754">
        <v>0</v>
      </c>
      <c r="L3584" s="754">
        <v>17731.84</v>
      </c>
      <c r="M3584" s="754">
        <f t="shared" si="137"/>
        <v>17731.84</v>
      </c>
      <c r="N3584" s="756">
        <v>57831.24</v>
      </c>
      <c r="O3584" s="720">
        <f t="shared" si="138"/>
        <v>0</v>
      </c>
    </row>
    <row r="3585" spans="1:15" x14ac:dyDescent="0.25">
      <c r="A3585" s="207" t="str">
        <f>VLOOKUP(RIGHT(E3585,3)+0,SchLocTable!$A$2:$B$47,2,FALSE)</f>
        <v>Barnum</v>
      </c>
      <c r="B3585" s="207" t="str">
        <f>VLOOKUP(VALUE(D3585),$D$3:F$106,3,FALSE)</f>
        <v>Custodians</v>
      </c>
      <c r="C3585" s="751" t="s">
        <v>246</v>
      </c>
      <c r="D3585" s="751" t="s">
        <v>991</v>
      </c>
      <c r="E3585" s="751" t="s">
        <v>994</v>
      </c>
      <c r="F3585" s="751" t="s">
        <v>259</v>
      </c>
      <c r="G3585" s="752" t="s">
        <v>1681</v>
      </c>
      <c r="H3585" s="753">
        <v>52917</v>
      </c>
      <c r="I3585" s="754">
        <v>50782.77</v>
      </c>
      <c r="J3585" s="754">
        <v>0</v>
      </c>
      <c r="K3585" s="754">
        <v>0</v>
      </c>
      <c r="L3585" s="754">
        <v>15565.6</v>
      </c>
      <c r="M3585" s="754">
        <f t="shared" si="137"/>
        <v>15565.6</v>
      </c>
      <c r="N3585" s="756">
        <v>50782.77</v>
      </c>
      <c r="O3585" s="720">
        <f t="shared" si="138"/>
        <v>0</v>
      </c>
    </row>
    <row r="3586" spans="1:15" x14ac:dyDescent="0.25">
      <c r="A3586" s="207" t="str">
        <f>VLOOKUP(RIGHT(E3586,3)+0,SchLocTable!$A$2:$B$47,2,FALSE)</f>
        <v>Barnum</v>
      </c>
      <c r="B3586" s="207" t="str">
        <f>VLOOKUP(VALUE(D3586),$D$3:F$106,3,FALSE)</f>
        <v>Custodians</v>
      </c>
      <c r="C3586" s="751" t="s">
        <v>246</v>
      </c>
      <c r="D3586" s="751" t="s">
        <v>991</v>
      </c>
      <c r="E3586" s="751" t="s">
        <v>994</v>
      </c>
      <c r="F3586" s="751" t="s">
        <v>333</v>
      </c>
      <c r="G3586" s="752" t="s">
        <v>1681</v>
      </c>
      <c r="H3586" s="753">
        <v>52920</v>
      </c>
      <c r="I3586" s="754">
        <v>500</v>
      </c>
      <c r="J3586" s="754">
        <v>0</v>
      </c>
      <c r="K3586" s="754">
        <v>0</v>
      </c>
      <c r="L3586" s="754">
        <v>0</v>
      </c>
      <c r="M3586" s="754">
        <f t="shared" si="137"/>
        <v>0</v>
      </c>
      <c r="N3586" s="756">
        <v>500</v>
      </c>
      <c r="O3586" s="720">
        <f t="shared" si="138"/>
        <v>0</v>
      </c>
    </row>
    <row r="3587" spans="1:15" x14ac:dyDescent="0.25">
      <c r="A3587" s="207" t="str">
        <f>VLOOKUP(RIGHT(E3587,3)+0,SchLocTable!$A$2:$B$47,2,FALSE)</f>
        <v>Beardsley</v>
      </c>
      <c r="B3587" s="207" t="str">
        <f>VLOOKUP(VALUE(D3587),$D$3:F$106,3,FALSE)</f>
        <v>Custodians</v>
      </c>
      <c r="C3587" s="751" t="s">
        <v>246</v>
      </c>
      <c r="D3587" s="751" t="s">
        <v>991</v>
      </c>
      <c r="E3587" s="751" t="s">
        <v>995</v>
      </c>
      <c r="F3587" s="751" t="s">
        <v>248</v>
      </c>
      <c r="G3587" s="752">
        <v>3</v>
      </c>
      <c r="H3587" s="753">
        <v>51000</v>
      </c>
      <c r="I3587" s="754">
        <v>163549.23000000001</v>
      </c>
      <c r="J3587" s="754">
        <v>0</v>
      </c>
      <c r="K3587" s="754">
        <v>0</v>
      </c>
      <c r="L3587" s="754">
        <v>45775.06</v>
      </c>
      <c r="M3587" s="754">
        <f t="shared" si="137"/>
        <v>45775.06</v>
      </c>
      <c r="N3587" s="756">
        <v>163549.23000000001</v>
      </c>
      <c r="O3587" s="720">
        <f t="shared" si="138"/>
        <v>0</v>
      </c>
    </row>
    <row r="3588" spans="1:15" x14ac:dyDescent="0.25">
      <c r="A3588" s="207" t="str">
        <f>VLOOKUP(RIGHT(E3588,3)+0,SchLocTable!$A$2:$B$47,2,FALSE)</f>
        <v>Beardsley</v>
      </c>
      <c r="B3588" s="207" t="str">
        <f>VLOOKUP(VALUE(D3588),$D$3:F$106,3,FALSE)</f>
        <v>Custodians</v>
      </c>
      <c r="C3588" s="751" t="s">
        <v>246</v>
      </c>
      <c r="D3588" s="751" t="s">
        <v>991</v>
      </c>
      <c r="E3588" s="751" t="s">
        <v>995</v>
      </c>
      <c r="F3588" s="751" t="s">
        <v>919</v>
      </c>
      <c r="G3588" s="752" t="s">
        <v>1681</v>
      </c>
      <c r="H3588" s="753">
        <v>51102</v>
      </c>
      <c r="I3588" s="754">
        <v>0</v>
      </c>
      <c r="J3588" s="754">
        <v>0</v>
      </c>
      <c r="K3588" s="754">
        <v>0</v>
      </c>
      <c r="L3588" s="754">
        <v>0</v>
      </c>
      <c r="M3588" s="754">
        <f t="shared" si="137"/>
        <v>0</v>
      </c>
      <c r="N3588" s="756">
        <v>0</v>
      </c>
      <c r="O3588" s="720">
        <f t="shared" si="138"/>
        <v>0</v>
      </c>
    </row>
    <row r="3589" spans="1:15" x14ac:dyDescent="0.25">
      <c r="A3589" s="207" t="str">
        <f>VLOOKUP(RIGHT(E3589,3)+0,SchLocTable!$A$2:$B$47,2,FALSE)</f>
        <v>Beardsley</v>
      </c>
      <c r="B3589" s="207" t="str">
        <f>VLOOKUP(VALUE(D3589),$D$3:F$106,3,FALSE)</f>
        <v>Custodians</v>
      </c>
      <c r="C3589" s="751" t="s">
        <v>246</v>
      </c>
      <c r="D3589" s="751" t="s">
        <v>991</v>
      </c>
      <c r="E3589" s="751" t="s">
        <v>995</v>
      </c>
      <c r="F3589" s="751" t="s">
        <v>378</v>
      </c>
      <c r="G3589" s="752" t="s">
        <v>1681</v>
      </c>
      <c r="H3589" s="753">
        <v>51108</v>
      </c>
      <c r="I3589" s="754">
        <v>1482.95</v>
      </c>
      <c r="J3589" s="754">
        <v>0</v>
      </c>
      <c r="K3589" s="754">
        <v>0</v>
      </c>
      <c r="L3589" s="754">
        <v>1482.95</v>
      </c>
      <c r="M3589" s="754">
        <f t="shared" si="137"/>
        <v>1482.95</v>
      </c>
      <c r="N3589" s="756">
        <v>1482.95</v>
      </c>
      <c r="O3589" s="720">
        <f t="shared" si="138"/>
        <v>0</v>
      </c>
    </row>
    <row r="3590" spans="1:15" x14ac:dyDescent="0.25">
      <c r="A3590" s="207" t="str">
        <f>VLOOKUP(RIGHT(E3590,3)+0,SchLocTable!$A$2:$B$47,2,FALSE)</f>
        <v>Beardsley</v>
      </c>
      <c r="B3590" s="207" t="str">
        <f>VLOOKUP(VALUE(D3590),$D$3:F$106,3,FALSE)</f>
        <v>Custodians</v>
      </c>
      <c r="C3590" s="751" t="s">
        <v>246</v>
      </c>
      <c r="D3590" s="751" t="s">
        <v>991</v>
      </c>
      <c r="E3590" s="751" t="s">
        <v>995</v>
      </c>
      <c r="F3590" s="751" t="s">
        <v>380</v>
      </c>
      <c r="G3590" s="752" t="s">
        <v>1681</v>
      </c>
      <c r="H3590" s="753">
        <v>51122</v>
      </c>
      <c r="I3590" s="754">
        <v>20421.5</v>
      </c>
      <c r="J3590" s="754">
        <v>0</v>
      </c>
      <c r="K3590" s="754">
        <v>0</v>
      </c>
      <c r="L3590" s="754">
        <v>4726.99</v>
      </c>
      <c r="M3590" s="754">
        <f t="shared" si="137"/>
        <v>4726.99</v>
      </c>
      <c r="N3590" s="756">
        <v>20421.5</v>
      </c>
      <c r="O3590" s="720">
        <f t="shared" si="138"/>
        <v>0</v>
      </c>
    </row>
    <row r="3591" spans="1:15" x14ac:dyDescent="0.25">
      <c r="A3591" s="207" t="str">
        <f>VLOOKUP(RIGHT(E3591,3)+0,SchLocTable!$A$2:$B$47,2,FALSE)</f>
        <v>Beardsley</v>
      </c>
      <c r="B3591" s="207" t="str">
        <f>VLOOKUP(VALUE(D3591),$D$3:F$106,3,FALSE)</f>
        <v>Custodians</v>
      </c>
      <c r="C3591" s="751" t="s">
        <v>246</v>
      </c>
      <c r="D3591" s="751" t="s">
        <v>991</v>
      </c>
      <c r="E3591" s="751" t="s">
        <v>995</v>
      </c>
      <c r="F3591" s="751" t="s">
        <v>993</v>
      </c>
      <c r="G3591" s="752" t="s">
        <v>1681</v>
      </c>
      <c r="H3591" s="753">
        <v>51138</v>
      </c>
      <c r="I3591" s="754">
        <v>4320.09</v>
      </c>
      <c r="J3591" s="754">
        <v>0</v>
      </c>
      <c r="K3591" s="754">
        <v>0</v>
      </c>
      <c r="L3591" s="754">
        <v>885.07</v>
      </c>
      <c r="M3591" s="754">
        <f t="shared" si="137"/>
        <v>885.07</v>
      </c>
      <c r="N3591" s="756">
        <v>4320.09</v>
      </c>
      <c r="O3591" s="720">
        <f t="shared" si="138"/>
        <v>0</v>
      </c>
    </row>
    <row r="3592" spans="1:15" x14ac:dyDescent="0.25">
      <c r="A3592" s="207" t="str">
        <f>VLOOKUP(RIGHT(E3592,3)+0,SchLocTable!$A$2:$B$47,2,FALSE)</f>
        <v>Beardsley</v>
      </c>
      <c r="B3592" s="207" t="str">
        <f>VLOOKUP(VALUE(D3592),$D$3:F$106,3,FALSE)</f>
        <v>Custodians</v>
      </c>
      <c r="C3592" s="751" t="s">
        <v>246</v>
      </c>
      <c r="D3592" s="751" t="s">
        <v>991</v>
      </c>
      <c r="E3592" s="751" t="s">
        <v>995</v>
      </c>
      <c r="F3592" s="751" t="s">
        <v>257</v>
      </c>
      <c r="G3592" s="752" t="s">
        <v>1681</v>
      </c>
      <c r="H3592" s="753">
        <v>51140</v>
      </c>
      <c r="I3592" s="754">
        <v>1575</v>
      </c>
      <c r="J3592" s="754">
        <v>0</v>
      </c>
      <c r="K3592" s="754">
        <v>0</v>
      </c>
      <c r="L3592" s="754">
        <v>1575</v>
      </c>
      <c r="M3592" s="754">
        <f t="shared" si="137"/>
        <v>1575</v>
      </c>
      <c r="N3592" s="756">
        <v>1575</v>
      </c>
      <c r="O3592" s="720">
        <f t="shared" si="138"/>
        <v>0</v>
      </c>
    </row>
    <row r="3593" spans="1:15" x14ac:dyDescent="0.25">
      <c r="A3593" s="207" t="str">
        <f>VLOOKUP(RIGHT(E3593,3)+0,SchLocTable!$A$2:$B$47,2,FALSE)</f>
        <v>Beardsley</v>
      </c>
      <c r="B3593" s="207" t="str">
        <f>VLOOKUP(VALUE(D3593),$D$3:F$106,3,FALSE)</f>
        <v>Custodians</v>
      </c>
      <c r="C3593" s="751" t="s">
        <v>246</v>
      </c>
      <c r="D3593" s="751" t="s">
        <v>991</v>
      </c>
      <c r="E3593" s="751" t="s">
        <v>995</v>
      </c>
      <c r="F3593" s="751" t="s">
        <v>254</v>
      </c>
      <c r="G3593" s="752" t="s">
        <v>1681</v>
      </c>
      <c r="H3593" s="753">
        <v>52360</v>
      </c>
      <c r="I3593" s="754">
        <v>2730.37</v>
      </c>
      <c r="J3593" s="754">
        <v>0</v>
      </c>
      <c r="K3593" s="754">
        <v>0</v>
      </c>
      <c r="L3593" s="754">
        <v>745.27</v>
      </c>
      <c r="M3593" s="754">
        <f t="shared" si="137"/>
        <v>745.27</v>
      </c>
      <c r="N3593" s="756">
        <v>2730.37</v>
      </c>
      <c r="O3593" s="720">
        <f t="shared" si="138"/>
        <v>0</v>
      </c>
    </row>
    <row r="3594" spans="1:15" x14ac:dyDescent="0.25">
      <c r="A3594" s="207" t="str">
        <f>VLOOKUP(RIGHT(E3594,3)+0,SchLocTable!$A$2:$B$47,2,FALSE)</f>
        <v>Beardsley</v>
      </c>
      <c r="B3594" s="207" t="str">
        <f>VLOOKUP(VALUE(D3594),$D$3:F$106,3,FALSE)</f>
        <v>Custodians</v>
      </c>
      <c r="C3594" s="751" t="s">
        <v>246</v>
      </c>
      <c r="D3594" s="751" t="s">
        <v>991</v>
      </c>
      <c r="E3594" s="751" t="s">
        <v>995</v>
      </c>
      <c r="F3594" s="751" t="s">
        <v>292</v>
      </c>
      <c r="G3594" s="752" t="s">
        <v>1681</v>
      </c>
      <c r="H3594" s="753">
        <v>52385</v>
      </c>
      <c r="I3594" s="754">
        <v>0</v>
      </c>
      <c r="J3594" s="754">
        <v>0</v>
      </c>
      <c r="K3594" s="754">
        <v>0</v>
      </c>
      <c r="L3594" s="754">
        <v>0</v>
      </c>
      <c r="M3594" s="754">
        <f t="shared" si="137"/>
        <v>0</v>
      </c>
      <c r="N3594" s="756">
        <v>0</v>
      </c>
      <c r="O3594" s="720">
        <f t="shared" si="138"/>
        <v>0</v>
      </c>
    </row>
    <row r="3595" spans="1:15" x14ac:dyDescent="0.25">
      <c r="A3595" s="207" t="str">
        <f>VLOOKUP(RIGHT(E3595,3)+0,SchLocTable!$A$2:$B$47,2,FALSE)</f>
        <v>Beardsley</v>
      </c>
      <c r="B3595" s="207" t="str">
        <f>VLOOKUP(VALUE(D3595),$D$3:F$106,3,FALSE)</f>
        <v>Custodians</v>
      </c>
      <c r="C3595" s="751" t="s">
        <v>246</v>
      </c>
      <c r="D3595" s="751" t="s">
        <v>991</v>
      </c>
      <c r="E3595" s="751" t="s">
        <v>995</v>
      </c>
      <c r="F3595" s="751" t="s">
        <v>331</v>
      </c>
      <c r="G3595" s="752" t="s">
        <v>1681</v>
      </c>
      <c r="H3595" s="753">
        <v>52504</v>
      </c>
      <c r="I3595" s="754">
        <v>39398.74</v>
      </c>
      <c r="J3595" s="754">
        <v>0</v>
      </c>
      <c r="K3595" s="754">
        <v>0</v>
      </c>
      <c r="L3595" s="754">
        <v>11210.27</v>
      </c>
      <c r="M3595" s="754">
        <f t="shared" si="137"/>
        <v>11210.27</v>
      </c>
      <c r="N3595" s="756">
        <v>39398.74</v>
      </c>
      <c r="O3595" s="720">
        <f t="shared" si="138"/>
        <v>0</v>
      </c>
    </row>
    <row r="3596" spans="1:15" x14ac:dyDescent="0.25">
      <c r="A3596" s="207" t="str">
        <f>VLOOKUP(RIGHT(E3596,3)+0,SchLocTable!$A$2:$B$47,2,FALSE)</f>
        <v>Beardsley</v>
      </c>
      <c r="B3596" s="207" t="str">
        <f>VLOOKUP(VALUE(D3596),$D$3:F$106,3,FALSE)</f>
        <v>Custodians</v>
      </c>
      <c r="C3596" s="751" t="s">
        <v>246</v>
      </c>
      <c r="D3596" s="751" t="s">
        <v>991</v>
      </c>
      <c r="E3596" s="751" t="s">
        <v>995</v>
      </c>
      <c r="F3596" s="751" t="s">
        <v>259</v>
      </c>
      <c r="G3596" s="752" t="s">
        <v>1681</v>
      </c>
      <c r="H3596" s="753">
        <v>52917</v>
      </c>
      <c r="I3596" s="754">
        <v>33020.410000000003</v>
      </c>
      <c r="J3596" s="754">
        <v>0</v>
      </c>
      <c r="K3596" s="754">
        <v>0</v>
      </c>
      <c r="L3596" s="754">
        <v>8888.4</v>
      </c>
      <c r="M3596" s="754">
        <f t="shared" si="137"/>
        <v>8888.4</v>
      </c>
      <c r="N3596" s="756">
        <v>33020.410000000003</v>
      </c>
      <c r="O3596" s="720">
        <f t="shared" si="138"/>
        <v>0</v>
      </c>
    </row>
    <row r="3597" spans="1:15" x14ac:dyDescent="0.25">
      <c r="A3597" s="207" t="str">
        <f>VLOOKUP(RIGHT(E3597,3)+0,SchLocTable!$A$2:$B$47,2,FALSE)</f>
        <v>Beardsley</v>
      </c>
      <c r="B3597" s="207" t="str">
        <f>VLOOKUP(VALUE(D3597),$D$3:F$106,3,FALSE)</f>
        <v>Custodians</v>
      </c>
      <c r="C3597" s="751" t="s">
        <v>246</v>
      </c>
      <c r="D3597" s="751" t="s">
        <v>991</v>
      </c>
      <c r="E3597" s="751" t="s">
        <v>995</v>
      </c>
      <c r="F3597" s="751" t="s">
        <v>333</v>
      </c>
      <c r="G3597" s="752" t="s">
        <v>1681</v>
      </c>
      <c r="H3597" s="753">
        <v>52920</v>
      </c>
      <c r="I3597" s="754">
        <v>0</v>
      </c>
      <c r="J3597" s="754">
        <v>0</v>
      </c>
      <c r="K3597" s="754">
        <v>0</v>
      </c>
      <c r="L3597" s="754">
        <v>0</v>
      </c>
      <c r="M3597" s="754">
        <f t="shared" si="137"/>
        <v>0</v>
      </c>
      <c r="N3597" s="756">
        <v>0</v>
      </c>
      <c r="O3597" s="720">
        <f t="shared" si="138"/>
        <v>0</v>
      </c>
    </row>
    <row r="3598" spans="1:15" x14ac:dyDescent="0.25">
      <c r="A3598" s="207" t="str">
        <f>VLOOKUP(RIGHT(E3598,3)+0,SchLocTable!$A$2:$B$47,2,FALSE)</f>
        <v>Black Rock</v>
      </c>
      <c r="B3598" s="207" t="str">
        <f>VLOOKUP(VALUE(D3598),$D$3:F$106,3,FALSE)</f>
        <v>Custodians</v>
      </c>
      <c r="C3598" s="755" t="s">
        <v>246</v>
      </c>
      <c r="D3598" s="751" t="s">
        <v>991</v>
      </c>
      <c r="E3598" s="751" t="s">
        <v>996</v>
      </c>
      <c r="F3598" s="751" t="s">
        <v>248</v>
      </c>
      <c r="G3598" s="752">
        <v>3</v>
      </c>
      <c r="H3598" s="753">
        <v>51000</v>
      </c>
      <c r="I3598" s="754">
        <v>158095.32999999999</v>
      </c>
      <c r="J3598" s="754">
        <v>0</v>
      </c>
      <c r="K3598" s="754">
        <v>0</v>
      </c>
      <c r="L3598" s="754">
        <v>51109.11</v>
      </c>
      <c r="M3598" s="754">
        <f t="shared" si="137"/>
        <v>51109.11</v>
      </c>
      <c r="N3598" s="756">
        <v>158095.32999999999</v>
      </c>
      <c r="O3598" s="720">
        <f t="shared" si="138"/>
        <v>0</v>
      </c>
    </row>
    <row r="3599" spans="1:15" x14ac:dyDescent="0.25">
      <c r="A3599" s="207" t="str">
        <f>VLOOKUP(RIGHT(E3599,3)+0,SchLocTable!$A$2:$B$47,2,FALSE)</f>
        <v>Black Rock</v>
      </c>
      <c r="B3599" s="207" t="str">
        <f>VLOOKUP(VALUE(D3599),$D$3:F$106,3,FALSE)</f>
        <v>Custodians</v>
      </c>
      <c r="C3599" s="751" t="s">
        <v>246</v>
      </c>
      <c r="D3599" s="751" t="s">
        <v>991</v>
      </c>
      <c r="E3599" s="751" t="s">
        <v>996</v>
      </c>
      <c r="F3599" s="751" t="s">
        <v>919</v>
      </c>
      <c r="G3599" s="752" t="s">
        <v>1681</v>
      </c>
      <c r="H3599" s="753">
        <v>51102</v>
      </c>
      <c r="I3599" s="754">
        <v>0</v>
      </c>
      <c r="J3599" s="754">
        <v>0</v>
      </c>
      <c r="K3599" s="754">
        <v>0</v>
      </c>
      <c r="L3599" s="754">
        <v>0</v>
      </c>
      <c r="M3599" s="754">
        <f t="shared" si="137"/>
        <v>0</v>
      </c>
      <c r="N3599" s="756">
        <v>0</v>
      </c>
      <c r="O3599" s="720">
        <f t="shared" si="138"/>
        <v>0</v>
      </c>
    </row>
    <row r="3600" spans="1:15" x14ac:dyDescent="0.25">
      <c r="A3600" s="207" t="str">
        <f>VLOOKUP(RIGHT(E3600,3)+0,SchLocTable!$A$2:$B$47,2,FALSE)</f>
        <v>Black Rock</v>
      </c>
      <c r="B3600" s="207" t="str">
        <f>VLOOKUP(VALUE(D3600),$D$3:F$106,3,FALSE)</f>
        <v>Custodians</v>
      </c>
      <c r="C3600" s="751" t="s">
        <v>246</v>
      </c>
      <c r="D3600" s="751" t="s">
        <v>991</v>
      </c>
      <c r="E3600" s="751" t="s">
        <v>996</v>
      </c>
      <c r="F3600" s="751" t="s">
        <v>378</v>
      </c>
      <c r="G3600" s="752" t="s">
        <v>1681</v>
      </c>
      <c r="H3600" s="753">
        <v>51108</v>
      </c>
      <c r="I3600" s="754">
        <v>248.72</v>
      </c>
      <c r="J3600" s="754">
        <v>0</v>
      </c>
      <c r="K3600" s="754">
        <v>0</v>
      </c>
      <c r="L3600" s="754">
        <v>248.72</v>
      </c>
      <c r="M3600" s="754">
        <f t="shared" si="137"/>
        <v>248.72</v>
      </c>
      <c r="N3600" s="756">
        <v>248.72</v>
      </c>
      <c r="O3600" s="720">
        <f t="shared" si="138"/>
        <v>0</v>
      </c>
    </row>
    <row r="3601" spans="1:15" x14ac:dyDescent="0.25">
      <c r="A3601" s="207" t="str">
        <f>VLOOKUP(RIGHT(E3601,3)+0,SchLocTable!$A$2:$B$47,2,FALSE)</f>
        <v>Black Rock</v>
      </c>
      <c r="B3601" s="207" t="str">
        <f>VLOOKUP(VALUE(D3601),$D$3:F$106,3,FALSE)</f>
        <v>Custodians</v>
      </c>
      <c r="C3601" s="751" t="s">
        <v>246</v>
      </c>
      <c r="D3601" s="751" t="s">
        <v>991</v>
      </c>
      <c r="E3601" s="751" t="s">
        <v>996</v>
      </c>
      <c r="F3601" s="751" t="s">
        <v>380</v>
      </c>
      <c r="G3601" s="752" t="s">
        <v>1681</v>
      </c>
      <c r="H3601" s="753">
        <v>51122</v>
      </c>
      <c r="I3601" s="754">
        <v>48756.959999999999</v>
      </c>
      <c r="J3601" s="754">
        <v>0</v>
      </c>
      <c r="K3601" s="754">
        <v>0</v>
      </c>
      <c r="L3601" s="754">
        <v>6158.95</v>
      </c>
      <c r="M3601" s="754">
        <f t="shared" si="137"/>
        <v>6158.95</v>
      </c>
      <c r="N3601" s="756">
        <v>48756.959999999999</v>
      </c>
      <c r="O3601" s="720">
        <f t="shared" si="138"/>
        <v>0</v>
      </c>
    </row>
    <row r="3602" spans="1:15" x14ac:dyDescent="0.25">
      <c r="A3602" s="207" t="str">
        <f>VLOOKUP(RIGHT(E3602,3)+0,SchLocTable!$A$2:$B$47,2,FALSE)</f>
        <v>Black Rock</v>
      </c>
      <c r="B3602" s="207" t="str">
        <f>VLOOKUP(VALUE(D3602),$D$3:F$106,3,FALSE)</f>
        <v>Custodians</v>
      </c>
      <c r="C3602" s="751" t="s">
        <v>246</v>
      </c>
      <c r="D3602" s="751" t="s">
        <v>991</v>
      </c>
      <c r="E3602" s="751" t="s">
        <v>996</v>
      </c>
      <c r="F3602" s="751" t="s">
        <v>993</v>
      </c>
      <c r="G3602" s="752" t="s">
        <v>1681</v>
      </c>
      <c r="H3602" s="753">
        <v>51138</v>
      </c>
      <c r="I3602" s="754">
        <v>3812.69</v>
      </c>
      <c r="J3602" s="754">
        <v>0</v>
      </c>
      <c r="K3602" s="754">
        <v>0</v>
      </c>
      <c r="L3602" s="754">
        <v>690.08</v>
      </c>
      <c r="M3602" s="754">
        <f t="shared" si="137"/>
        <v>690.08</v>
      </c>
      <c r="N3602" s="756">
        <v>3812.69</v>
      </c>
      <c r="O3602" s="720">
        <f t="shared" si="138"/>
        <v>0</v>
      </c>
    </row>
    <row r="3603" spans="1:15" x14ac:dyDescent="0.25">
      <c r="A3603" s="207" t="str">
        <f>VLOOKUP(RIGHT(E3603,3)+0,SchLocTable!$A$2:$B$47,2,FALSE)</f>
        <v>Black Rock</v>
      </c>
      <c r="B3603" s="207" t="str">
        <f>VLOOKUP(VALUE(D3603),$D$3:F$106,3,FALSE)</f>
        <v>Custodians</v>
      </c>
      <c r="C3603" s="751" t="s">
        <v>246</v>
      </c>
      <c r="D3603" s="751" t="s">
        <v>991</v>
      </c>
      <c r="E3603" s="751" t="s">
        <v>996</v>
      </c>
      <c r="F3603" s="751" t="s">
        <v>257</v>
      </c>
      <c r="G3603" s="752" t="s">
        <v>1681</v>
      </c>
      <c r="H3603" s="753">
        <v>51140</v>
      </c>
      <c r="I3603" s="754">
        <v>2175</v>
      </c>
      <c r="J3603" s="754">
        <v>0</v>
      </c>
      <c r="K3603" s="754">
        <v>0</v>
      </c>
      <c r="L3603" s="754">
        <v>2175</v>
      </c>
      <c r="M3603" s="754">
        <f t="shared" si="137"/>
        <v>2175</v>
      </c>
      <c r="N3603" s="756">
        <v>2175</v>
      </c>
      <c r="O3603" s="720">
        <f t="shared" si="138"/>
        <v>0</v>
      </c>
    </row>
    <row r="3604" spans="1:15" x14ac:dyDescent="0.25">
      <c r="A3604" s="207" t="str">
        <f>VLOOKUP(RIGHT(E3604,3)+0,SchLocTable!$A$2:$B$47,2,FALSE)</f>
        <v>Black Rock</v>
      </c>
      <c r="B3604" s="207" t="str">
        <f>VLOOKUP(VALUE(D3604),$D$3:F$106,3,FALSE)</f>
        <v>Custodians</v>
      </c>
      <c r="C3604" s="751" t="s">
        <v>246</v>
      </c>
      <c r="D3604" s="751" t="s">
        <v>991</v>
      </c>
      <c r="E3604" s="751" t="s">
        <v>996</v>
      </c>
      <c r="F3604" s="751" t="s">
        <v>254</v>
      </c>
      <c r="G3604" s="752" t="s">
        <v>1681</v>
      </c>
      <c r="H3604" s="753">
        <v>52360</v>
      </c>
      <c r="I3604" s="754">
        <v>3030.97</v>
      </c>
      <c r="J3604" s="754">
        <v>0</v>
      </c>
      <c r="K3604" s="754">
        <v>0</v>
      </c>
      <c r="L3604" s="754">
        <v>816.72</v>
      </c>
      <c r="M3604" s="754">
        <f t="shared" si="137"/>
        <v>816.72</v>
      </c>
      <c r="N3604" s="756">
        <v>3030.97</v>
      </c>
      <c r="O3604" s="720">
        <f t="shared" si="138"/>
        <v>0</v>
      </c>
    </row>
    <row r="3605" spans="1:15" x14ac:dyDescent="0.25">
      <c r="A3605" s="207" t="str">
        <f>VLOOKUP(RIGHT(E3605,3)+0,SchLocTable!$A$2:$B$47,2,FALSE)</f>
        <v>Black Rock</v>
      </c>
      <c r="B3605" s="207" t="str">
        <f>VLOOKUP(VALUE(D3605),$D$3:F$106,3,FALSE)</f>
        <v>Custodians</v>
      </c>
      <c r="C3605" s="751" t="s">
        <v>246</v>
      </c>
      <c r="D3605" s="755" t="s">
        <v>991</v>
      </c>
      <c r="E3605" s="751" t="s">
        <v>996</v>
      </c>
      <c r="F3605" s="751" t="s">
        <v>292</v>
      </c>
      <c r="G3605" s="752" t="s">
        <v>1681</v>
      </c>
      <c r="H3605" s="753">
        <v>52385</v>
      </c>
      <c r="I3605" s="754">
        <v>341.8</v>
      </c>
      <c r="J3605" s="754">
        <v>0</v>
      </c>
      <c r="K3605" s="754">
        <v>0</v>
      </c>
      <c r="L3605" s="754">
        <v>341.8</v>
      </c>
      <c r="M3605" s="754">
        <f t="shared" si="137"/>
        <v>341.8</v>
      </c>
      <c r="N3605" s="756">
        <v>341.8</v>
      </c>
      <c r="O3605" s="720">
        <f t="shared" si="138"/>
        <v>0</v>
      </c>
    </row>
    <row r="3606" spans="1:15" x14ac:dyDescent="0.25">
      <c r="A3606" s="207" t="str">
        <f>VLOOKUP(RIGHT(E3606,3)+0,SchLocTable!$A$2:$B$47,2,FALSE)</f>
        <v>Black Rock</v>
      </c>
      <c r="B3606" s="207" t="str">
        <f>VLOOKUP(VALUE(D3606),$D$3:F$106,3,FALSE)</f>
        <v>Custodians</v>
      </c>
      <c r="C3606" s="751" t="s">
        <v>246</v>
      </c>
      <c r="D3606" s="751" t="s">
        <v>991</v>
      </c>
      <c r="E3606" s="751" t="s">
        <v>996</v>
      </c>
      <c r="F3606" s="751" t="s">
        <v>331</v>
      </c>
      <c r="G3606" s="752" t="s">
        <v>1681</v>
      </c>
      <c r="H3606" s="753">
        <v>52504</v>
      </c>
      <c r="I3606" s="754">
        <v>42739.87</v>
      </c>
      <c r="J3606" s="754">
        <v>0</v>
      </c>
      <c r="K3606" s="754">
        <v>0</v>
      </c>
      <c r="L3606" s="754">
        <v>11297.53</v>
      </c>
      <c r="M3606" s="754">
        <f t="shared" si="137"/>
        <v>11297.53</v>
      </c>
      <c r="N3606" s="756">
        <v>42739.87</v>
      </c>
      <c r="O3606" s="720">
        <f t="shared" si="138"/>
        <v>0</v>
      </c>
    </row>
    <row r="3607" spans="1:15" x14ac:dyDescent="0.25">
      <c r="A3607" s="207" t="str">
        <f>VLOOKUP(RIGHT(E3607,3)+0,SchLocTable!$A$2:$B$47,2,FALSE)</f>
        <v>Black Rock</v>
      </c>
      <c r="B3607" s="207" t="str">
        <f>VLOOKUP(VALUE(D3607),$D$3:F$106,3,FALSE)</f>
        <v>Custodians</v>
      </c>
      <c r="C3607" s="751" t="s">
        <v>246</v>
      </c>
      <c r="D3607" s="751" t="s">
        <v>991</v>
      </c>
      <c r="E3607" s="751" t="s">
        <v>996</v>
      </c>
      <c r="F3607" s="751" t="s">
        <v>259</v>
      </c>
      <c r="G3607" s="752" t="s">
        <v>1681</v>
      </c>
      <c r="H3607" s="753">
        <v>52917</v>
      </c>
      <c r="I3607" s="754">
        <v>32716.35</v>
      </c>
      <c r="J3607" s="754">
        <v>0</v>
      </c>
      <c r="K3607" s="754">
        <v>0</v>
      </c>
      <c r="L3607" s="754">
        <v>10028</v>
      </c>
      <c r="M3607" s="754">
        <f t="shared" si="137"/>
        <v>10028</v>
      </c>
      <c r="N3607" s="756">
        <v>32716.35</v>
      </c>
      <c r="O3607" s="720">
        <f t="shared" si="138"/>
        <v>0</v>
      </c>
    </row>
    <row r="3608" spans="1:15" x14ac:dyDescent="0.25">
      <c r="A3608" s="207" t="str">
        <f>VLOOKUP(RIGHT(E3608,3)+0,SchLocTable!$A$2:$B$47,2,FALSE)</f>
        <v>Black Rock</v>
      </c>
      <c r="B3608" s="207" t="str">
        <f>VLOOKUP(VALUE(D3608),$D$3:F$106,3,FALSE)</f>
        <v>Custodians</v>
      </c>
      <c r="C3608" s="751" t="s">
        <v>246</v>
      </c>
      <c r="D3608" s="751" t="s">
        <v>991</v>
      </c>
      <c r="E3608" s="751" t="s">
        <v>996</v>
      </c>
      <c r="F3608" s="751" t="s">
        <v>333</v>
      </c>
      <c r="G3608" s="752" t="s">
        <v>1681</v>
      </c>
      <c r="H3608" s="753">
        <v>52920</v>
      </c>
      <c r="I3608" s="754">
        <v>2000</v>
      </c>
      <c r="J3608" s="754">
        <v>0</v>
      </c>
      <c r="K3608" s="754">
        <v>0</v>
      </c>
      <c r="L3608" s="754">
        <v>0</v>
      </c>
      <c r="M3608" s="754">
        <f t="shared" si="137"/>
        <v>0</v>
      </c>
      <c r="N3608" s="756">
        <v>2000</v>
      </c>
      <c r="O3608" s="720">
        <f t="shared" si="138"/>
        <v>0</v>
      </c>
    </row>
    <row r="3609" spans="1:15" x14ac:dyDescent="0.25">
      <c r="A3609" s="207" t="str">
        <f>VLOOKUP(RIGHT(E3609,3)+0,SchLocTable!$A$2:$B$47,2,FALSE)</f>
        <v>Bryant</v>
      </c>
      <c r="B3609" s="207" t="str">
        <f>VLOOKUP(VALUE(D3609),$D$3:F$106,3,FALSE)</f>
        <v>Custodians</v>
      </c>
      <c r="C3609" s="751" t="s">
        <v>246</v>
      </c>
      <c r="D3609" s="751" t="s">
        <v>991</v>
      </c>
      <c r="E3609" s="751" t="s">
        <v>997</v>
      </c>
      <c r="F3609" s="751" t="s">
        <v>248</v>
      </c>
      <c r="G3609" s="752">
        <v>3</v>
      </c>
      <c r="H3609" s="753">
        <v>51000</v>
      </c>
      <c r="I3609" s="754">
        <v>158347.16</v>
      </c>
      <c r="J3609" s="754">
        <v>0</v>
      </c>
      <c r="K3609" s="754">
        <v>0</v>
      </c>
      <c r="L3609" s="754">
        <v>50026.62</v>
      </c>
      <c r="M3609" s="754">
        <f t="shared" si="137"/>
        <v>50026.62</v>
      </c>
      <c r="N3609" s="756">
        <v>158347.16</v>
      </c>
      <c r="O3609" s="720">
        <f t="shared" si="138"/>
        <v>0</v>
      </c>
    </row>
    <row r="3610" spans="1:15" x14ac:dyDescent="0.25">
      <c r="A3610" s="207" t="str">
        <f>VLOOKUP(RIGHT(E3610,3)+0,SchLocTable!$A$2:$B$47,2,FALSE)</f>
        <v>Bryant</v>
      </c>
      <c r="B3610" s="207" t="str">
        <f>VLOOKUP(VALUE(D3610),$D$3:F$106,3,FALSE)</f>
        <v>Custodians</v>
      </c>
      <c r="C3610" s="751" t="s">
        <v>246</v>
      </c>
      <c r="D3610" s="751" t="s">
        <v>991</v>
      </c>
      <c r="E3610" s="751" t="s">
        <v>997</v>
      </c>
      <c r="F3610" s="751" t="s">
        <v>919</v>
      </c>
      <c r="G3610" s="752" t="s">
        <v>1681</v>
      </c>
      <c r="H3610" s="753">
        <v>51102</v>
      </c>
      <c r="I3610" s="754">
        <v>0</v>
      </c>
      <c r="J3610" s="754">
        <v>0</v>
      </c>
      <c r="K3610" s="754">
        <v>0</v>
      </c>
      <c r="L3610" s="754">
        <v>0</v>
      </c>
      <c r="M3610" s="754">
        <f t="shared" si="137"/>
        <v>0</v>
      </c>
      <c r="N3610" s="756">
        <v>0</v>
      </c>
      <c r="O3610" s="720">
        <f t="shared" si="138"/>
        <v>0</v>
      </c>
    </row>
    <row r="3611" spans="1:15" x14ac:dyDescent="0.25">
      <c r="A3611" s="207" t="str">
        <f>VLOOKUP(RIGHT(E3611,3)+0,SchLocTable!$A$2:$B$47,2,FALSE)</f>
        <v>Bryant</v>
      </c>
      <c r="B3611" s="207" t="str">
        <f>VLOOKUP(VALUE(D3611),$D$3:F$106,3,FALSE)</f>
        <v>Custodians</v>
      </c>
      <c r="C3611" s="751" t="s">
        <v>246</v>
      </c>
      <c r="D3611" s="751" t="s">
        <v>991</v>
      </c>
      <c r="E3611" s="751" t="s">
        <v>997</v>
      </c>
      <c r="F3611" s="751" t="s">
        <v>378</v>
      </c>
      <c r="G3611" s="752" t="s">
        <v>1681</v>
      </c>
      <c r="H3611" s="753">
        <v>51108</v>
      </c>
      <c r="I3611" s="754">
        <v>5537.47</v>
      </c>
      <c r="J3611" s="754">
        <v>0</v>
      </c>
      <c r="K3611" s="754">
        <v>0</v>
      </c>
      <c r="L3611" s="754">
        <v>289.92</v>
      </c>
      <c r="M3611" s="754">
        <f t="shared" si="137"/>
        <v>289.92</v>
      </c>
      <c r="N3611" s="756">
        <v>5537.47</v>
      </c>
      <c r="O3611" s="720">
        <f t="shared" si="138"/>
        <v>0</v>
      </c>
    </row>
    <row r="3612" spans="1:15" x14ac:dyDescent="0.25">
      <c r="A3612" s="207" t="str">
        <f>VLOOKUP(RIGHT(E3612,3)+0,SchLocTable!$A$2:$B$47,2,FALSE)</f>
        <v>Bryant</v>
      </c>
      <c r="B3612" s="207" t="str">
        <f>VLOOKUP(VALUE(D3612),$D$3:F$106,3,FALSE)</f>
        <v>Custodians</v>
      </c>
      <c r="C3612" s="751" t="s">
        <v>246</v>
      </c>
      <c r="D3612" s="751" t="s">
        <v>991</v>
      </c>
      <c r="E3612" s="751" t="s">
        <v>997</v>
      </c>
      <c r="F3612" s="751" t="s">
        <v>380</v>
      </c>
      <c r="G3612" s="752" t="s">
        <v>1681</v>
      </c>
      <c r="H3612" s="753">
        <v>51122</v>
      </c>
      <c r="I3612" s="754">
        <v>40601.660000000003</v>
      </c>
      <c r="J3612" s="754">
        <v>0</v>
      </c>
      <c r="K3612" s="754">
        <v>0</v>
      </c>
      <c r="L3612" s="754">
        <v>2174.64</v>
      </c>
      <c r="M3612" s="754">
        <f t="shared" si="137"/>
        <v>2174.64</v>
      </c>
      <c r="N3612" s="756">
        <v>40601.660000000003</v>
      </c>
      <c r="O3612" s="720">
        <f t="shared" si="138"/>
        <v>0</v>
      </c>
    </row>
    <row r="3613" spans="1:15" x14ac:dyDescent="0.25">
      <c r="A3613" s="207" t="str">
        <f>VLOOKUP(RIGHT(E3613,3)+0,SchLocTable!$A$2:$B$47,2,FALSE)</f>
        <v>Bryant</v>
      </c>
      <c r="B3613" s="207" t="str">
        <f>VLOOKUP(VALUE(D3613),$D$3:F$106,3,FALSE)</f>
        <v>Custodians</v>
      </c>
      <c r="C3613" s="751" t="s">
        <v>246</v>
      </c>
      <c r="D3613" s="751" t="s">
        <v>991</v>
      </c>
      <c r="E3613" s="751" t="s">
        <v>997</v>
      </c>
      <c r="F3613" s="751" t="s">
        <v>993</v>
      </c>
      <c r="G3613" s="752" t="s">
        <v>1681</v>
      </c>
      <c r="H3613" s="753">
        <v>51138</v>
      </c>
      <c r="I3613" s="754">
        <v>3939.55</v>
      </c>
      <c r="J3613" s="754">
        <v>0</v>
      </c>
      <c r="K3613" s="754">
        <v>0</v>
      </c>
      <c r="L3613" s="754">
        <v>713.04</v>
      </c>
      <c r="M3613" s="754">
        <f t="shared" si="137"/>
        <v>713.04</v>
      </c>
      <c r="N3613" s="756">
        <v>3939.55</v>
      </c>
      <c r="O3613" s="720">
        <f t="shared" si="138"/>
        <v>0</v>
      </c>
    </row>
    <row r="3614" spans="1:15" x14ac:dyDescent="0.25">
      <c r="A3614" s="207" t="str">
        <f>VLOOKUP(RIGHT(E3614,3)+0,SchLocTable!$A$2:$B$47,2,FALSE)</f>
        <v>Bryant</v>
      </c>
      <c r="B3614" s="207" t="str">
        <f>VLOOKUP(VALUE(D3614),$D$3:F$106,3,FALSE)</f>
        <v>Custodians</v>
      </c>
      <c r="C3614" s="755" t="s">
        <v>246</v>
      </c>
      <c r="D3614" s="751" t="s">
        <v>991</v>
      </c>
      <c r="E3614" s="751" t="s">
        <v>997</v>
      </c>
      <c r="F3614" s="751" t="s">
        <v>257</v>
      </c>
      <c r="G3614" s="752" t="s">
        <v>1681</v>
      </c>
      <c r="H3614" s="753">
        <v>51140</v>
      </c>
      <c r="I3614" s="754">
        <v>1800</v>
      </c>
      <c r="J3614" s="754">
        <v>0</v>
      </c>
      <c r="K3614" s="754">
        <v>0</v>
      </c>
      <c r="L3614" s="754">
        <v>1800</v>
      </c>
      <c r="M3614" s="754">
        <f t="shared" si="137"/>
        <v>1800</v>
      </c>
      <c r="N3614" s="756">
        <v>1800</v>
      </c>
      <c r="O3614" s="720">
        <f t="shared" si="138"/>
        <v>0</v>
      </c>
    </row>
    <row r="3615" spans="1:15" x14ac:dyDescent="0.25">
      <c r="A3615" s="207" t="str">
        <f>VLOOKUP(RIGHT(E3615,3)+0,SchLocTable!$A$2:$B$47,2,FALSE)</f>
        <v>Bryant</v>
      </c>
      <c r="B3615" s="207" t="str">
        <f>VLOOKUP(VALUE(D3615),$D$3:F$106,3,FALSE)</f>
        <v>Custodians</v>
      </c>
      <c r="C3615" s="751" t="s">
        <v>246</v>
      </c>
      <c r="D3615" s="751" t="s">
        <v>991</v>
      </c>
      <c r="E3615" s="751" t="s">
        <v>997</v>
      </c>
      <c r="F3615" s="751" t="s">
        <v>797</v>
      </c>
      <c r="G3615" s="752" t="s">
        <v>1681</v>
      </c>
      <c r="H3615" s="753">
        <v>51156</v>
      </c>
      <c r="I3615" s="754">
        <v>0</v>
      </c>
      <c r="J3615" s="754">
        <v>0</v>
      </c>
      <c r="K3615" s="754">
        <v>0</v>
      </c>
      <c r="L3615" s="754">
        <v>0</v>
      </c>
      <c r="M3615" s="754">
        <f t="shared" si="137"/>
        <v>0</v>
      </c>
      <c r="N3615" s="756">
        <v>0</v>
      </c>
      <c r="O3615" s="720">
        <f t="shared" si="138"/>
        <v>0</v>
      </c>
    </row>
    <row r="3616" spans="1:15" x14ac:dyDescent="0.25">
      <c r="A3616" s="207" t="str">
        <f>VLOOKUP(RIGHT(E3616,3)+0,SchLocTable!$A$2:$B$47,2,FALSE)</f>
        <v>Bryant</v>
      </c>
      <c r="B3616" s="207" t="str">
        <f>VLOOKUP(VALUE(D3616),$D$3:F$106,3,FALSE)</f>
        <v>Custodians</v>
      </c>
      <c r="C3616" s="755" t="s">
        <v>246</v>
      </c>
      <c r="D3616" s="751" t="s">
        <v>991</v>
      </c>
      <c r="E3616" s="751" t="s">
        <v>997</v>
      </c>
      <c r="F3616" s="751" t="s">
        <v>254</v>
      </c>
      <c r="G3616" s="752" t="s">
        <v>1681</v>
      </c>
      <c r="H3616" s="753">
        <v>52360</v>
      </c>
      <c r="I3616" s="754">
        <v>2982.9</v>
      </c>
      <c r="J3616" s="754">
        <v>0</v>
      </c>
      <c r="K3616" s="754">
        <v>0</v>
      </c>
      <c r="L3616" s="754">
        <v>732.19</v>
      </c>
      <c r="M3616" s="754">
        <f t="shared" si="137"/>
        <v>732.19</v>
      </c>
      <c r="N3616" s="756">
        <v>2982.9</v>
      </c>
      <c r="O3616" s="720">
        <f t="shared" si="138"/>
        <v>0</v>
      </c>
    </row>
    <row r="3617" spans="1:15" x14ac:dyDescent="0.25">
      <c r="A3617" s="207" t="str">
        <f>VLOOKUP(RIGHT(E3617,3)+0,SchLocTable!$A$2:$B$47,2,FALSE)</f>
        <v>Bryant</v>
      </c>
      <c r="B3617" s="207" t="str">
        <f>VLOOKUP(VALUE(D3617),$D$3:F$106,3,FALSE)</f>
        <v>Custodians</v>
      </c>
      <c r="C3617" s="751" t="s">
        <v>246</v>
      </c>
      <c r="D3617" s="751" t="s">
        <v>991</v>
      </c>
      <c r="E3617" s="751" t="s">
        <v>997</v>
      </c>
      <c r="F3617" s="751" t="s">
        <v>292</v>
      </c>
      <c r="G3617" s="752" t="s">
        <v>1681</v>
      </c>
      <c r="H3617" s="753">
        <v>52385</v>
      </c>
      <c r="I3617" s="754">
        <v>0</v>
      </c>
      <c r="J3617" s="754">
        <v>0</v>
      </c>
      <c r="K3617" s="754">
        <v>0</v>
      </c>
      <c r="L3617" s="754">
        <v>0</v>
      </c>
      <c r="M3617" s="754">
        <f t="shared" si="137"/>
        <v>0</v>
      </c>
      <c r="N3617" s="756">
        <v>0</v>
      </c>
      <c r="O3617" s="720">
        <f t="shared" si="138"/>
        <v>0</v>
      </c>
    </row>
    <row r="3618" spans="1:15" x14ac:dyDescent="0.25">
      <c r="A3618" s="207" t="str">
        <f>VLOOKUP(RIGHT(E3618,3)+0,SchLocTable!$A$2:$B$47,2,FALSE)</f>
        <v>Bryant</v>
      </c>
      <c r="B3618" s="207" t="str">
        <f>VLOOKUP(VALUE(D3618),$D$3:F$106,3,FALSE)</f>
        <v>Custodians</v>
      </c>
      <c r="C3618" s="751" t="s">
        <v>246</v>
      </c>
      <c r="D3618" s="751" t="s">
        <v>991</v>
      </c>
      <c r="E3618" s="751" t="s">
        <v>997</v>
      </c>
      <c r="F3618" s="751" t="s">
        <v>331</v>
      </c>
      <c r="G3618" s="752" t="s">
        <v>1681</v>
      </c>
      <c r="H3618" s="753">
        <v>52504</v>
      </c>
      <c r="I3618" s="754">
        <v>43285.5</v>
      </c>
      <c r="J3618" s="754">
        <v>0</v>
      </c>
      <c r="K3618" s="754">
        <v>0</v>
      </c>
      <c r="L3618" s="754">
        <v>11325.37</v>
      </c>
      <c r="M3618" s="754">
        <f t="shared" si="137"/>
        <v>11325.37</v>
      </c>
      <c r="N3618" s="756">
        <v>43285.5</v>
      </c>
      <c r="O3618" s="720">
        <f t="shared" si="138"/>
        <v>0</v>
      </c>
    </row>
    <row r="3619" spans="1:15" x14ac:dyDescent="0.25">
      <c r="A3619" s="207" t="str">
        <f>VLOOKUP(RIGHT(E3619,3)+0,SchLocTable!$A$2:$B$47,2,FALSE)</f>
        <v>Bryant</v>
      </c>
      <c r="B3619" s="207" t="str">
        <f>VLOOKUP(VALUE(D3619),$D$3:F$106,3,FALSE)</f>
        <v>Custodians</v>
      </c>
      <c r="C3619" s="751" t="s">
        <v>246</v>
      </c>
      <c r="D3619" s="751" t="s">
        <v>991</v>
      </c>
      <c r="E3619" s="751" t="s">
        <v>997</v>
      </c>
      <c r="F3619" s="751" t="s">
        <v>259</v>
      </c>
      <c r="G3619" s="752" t="s">
        <v>1681</v>
      </c>
      <c r="H3619" s="753">
        <v>52917</v>
      </c>
      <c r="I3619" s="754">
        <v>66345.679999999993</v>
      </c>
      <c r="J3619" s="754">
        <v>0</v>
      </c>
      <c r="K3619" s="754">
        <v>0</v>
      </c>
      <c r="L3619" s="754">
        <v>20335.84</v>
      </c>
      <c r="M3619" s="754">
        <f t="shared" si="137"/>
        <v>20335.84</v>
      </c>
      <c r="N3619" s="756">
        <v>66345.679999999993</v>
      </c>
      <c r="O3619" s="720">
        <f t="shared" si="138"/>
        <v>0</v>
      </c>
    </row>
    <row r="3620" spans="1:15" x14ac:dyDescent="0.25">
      <c r="A3620" s="207" t="str">
        <f>VLOOKUP(RIGHT(E3620,3)+0,SchLocTable!$A$2:$B$47,2,FALSE)</f>
        <v>Columbus</v>
      </c>
      <c r="B3620" s="207" t="str">
        <f>VLOOKUP(VALUE(D3620),$D$3:F$106,3,FALSE)</f>
        <v>Custodians</v>
      </c>
      <c r="C3620" s="751" t="s">
        <v>246</v>
      </c>
      <c r="D3620" s="751" t="s">
        <v>991</v>
      </c>
      <c r="E3620" s="751" t="s">
        <v>998</v>
      </c>
      <c r="F3620" s="751" t="s">
        <v>248</v>
      </c>
      <c r="G3620" s="752">
        <v>4</v>
      </c>
      <c r="H3620" s="753">
        <v>51000</v>
      </c>
      <c r="I3620" s="754">
        <v>195497.38</v>
      </c>
      <c r="J3620" s="754">
        <v>0</v>
      </c>
      <c r="K3620" s="754">
        <v>0</v>
      </c>
      <c r="L3620" s="754">
        <v>59809.25</v>
      </c>
      <c r="M3620" s="754">
        <f t="shared" si="137"/>
        <v>59809.25</v>
      </c>
      <c r="N3620" s="756">
        <v>195497.38</v>
      </c>
      <c r="O3620" s="720">
        <f t="shared" si="138"/>
        <v>0</v>
      </c>
    </row>
    <row r="3621" spans="1:15" x14ac:dyDescent="0.25">
      <c r="A3621" s="207" t="str">
        <f>VLOOKUP(RIGHT(E3621,3)+0,SchLocTable!$A$2:$B$47,2,FALSE)</f>
        <v>Columbus</v>
      </c>
      <c r="B3621" s="207" t="str">
        <f>VLOOKUP(VALUE(D3621),$D$3:F$106,3,FALSE)</f>
        <v>Custodians</v>
      </c>
      <c r="C3621" s="751" t="s">
        <v>246</v>
      </c>
      <c r="D3621" s="751" t="s">
        <v>991</v>
      </c>
      <c r="E3621" s="751" t="s">
        <v>998</v>
      </c>
      <c r="F3621" s="751" t="s">
        <v>919</v>
      </c>
      <c r="G3621" s="752" t="s">
        <v>1681</v>
      </c>
      <c r="H3621" s="753">
        <v>51102</v>
      </c>
      <c r="I3621" s="754">
        <v>0</v>
      </c>
      <c r="J3621" s="754">
        <v>0</v>
      </c>
      <c r="K3621" s="754">
        <v>0</v>
      </c>
      <c r="L3621" s="754">
        <v>0</v>
      </c>
      <c r="M3621" s="754">
        <f t="shared" si="137"/>
        <v>0</v>
      </c>
      <c r="N3621" s="756">
        <v>0</v>
      </c>
      <c r="O3621" s="720">
        <f t="shared" si="138"/>
        <v>0</v>
      </c>
    </row>
    <row r="3622" spans="1:15" x14ac:dyDescent="0.25">
      <c r="A3622" s="207" t="str">
        <f>VLOOKUP(RIGHT(E3622,3)+0,SchLocTable!$A$2:$B$47,2,FALSE)</f>
        <v>Columbus</v>
      </c>
      <c r="B3622" s="207" t="str">
        <f>VLOOKUP(VALUE(D3622),$D$3:F$106,3,FALSE)</f>
        <v>Custodians</v>
      </c>
      <c r="C3622" s="751" t="s">
        <v>246</v>
      </c>
      <c r="D3622" s="751" t="s">
        <v>991</v>
      </c>
      <c r="E3622" s="751" t="s">
        <v>998</v>
      </c>
      <c r="F3622" s="751" t="s">
        <v>378</v>
      </c>
      <c r="G3622" s="752" t="s">
        <v>1681</v>
      </c>
      <c r="H3622" s="753">
        <v>51108</v>
      </c>
      <c r="I3622" s="754">
        <v>1131.7</v>
      </c>
      <c r="J3622" s="754">
        <v>0</v>
      </c>
      <c r="K3622" s="754">
        <v>0</v>
      </c>
      <c r="L3622" s="754">
        <v>1131.7</v>
      </c>
      <c r="M3622" s="754">
        <f t="shared" si="137"/>
        <v>1131.7</v>
      </c>
      <c r="N3622" s="756">
        <v>1131.7</v>
      </c>
      <c r="O3622" s="720">
        <f t="shared" si="138"/>
        <v>0</v>
      </c>
    </row>
    <row r="3623" spans="1:15" x14ac:dyDescent="0.25">
      <c r="A3623" s="207" t="str">
        <f>VLOOKUP(RIGHT(E3623,3)+0,SchLocTable!$A$2:$B$47,2,FALSE)</f>
        <v>Columbus</v>
      </c>
      <c r="B3623" s="207" t="str">
        <f>VLOOKUP(VALUE(D3623),$D$3:F$106,3,FALSE)</f>
        <v>Custodians</v>
      </c>
      <c r="C3623" s="751" t="s">
        <v>246</v>
      </c>
      <c r="D3623" s="751" t="s">
        <v>991</v>
      </c>
      <c r="E3623" s="751" t="s">
        <v>998</v>
      </c>
      <c r="F3623" s="751" t="s">
        <v>380</v>
      </c>
      <c r="G3623" s="752" t="s">
        <v>1681</v>
      </c>
      <c r="H3623" s="753">
        <v>51122</v>
      </c>
      <c r="I3623" s="754">
        <v>19650.05</v>
      </c>
      <c r="J3623" s="754">
        <v>0</v>
      </c>
      <c r="K3623" s="754">
        <v>0</v>
      </c>
      <c r="L3623" s="754">
        <v>3334.91</v>
      </c>
      <c r="M3623" s="754">
        <f t="shared" si="137"/>
        <v>3334.91</v>
      </c>
      <c r="N3623" s="756">
        <v>19650.05</v>
      </c>
      <c r="O3623" s="720">
        <f t="shared" si="138"/>
        <v>0</v>
      </c>
    </row>
    <row r="3624" spans="1:15" x14ac:dyDescent="0.25">
      <c r="A3624" s="207" t="str">
        <f>VLOOKUP(RIGHT(E3624,3)+0,SchLocTable!$A$2:$B$47,2,FALSE)</f>
        <v>Columbus</v>
      </c>
      <c r="B3624" s="207" t="str">
        <f>VLOOKUP(VALUE(D3624),$D$3:F$106,3,FALSE)</f>
        <v>Custodians</v>
      </c>
      <c r="C3624" s="751" t="s">
        <v>246</v>
      </c>
      <c r="D3624" s="751" t="s">
        <v>991</v>
      </c>
      <c r="E3624" s="751" t="s">
        <v>998</v>
      </c>
      <c r="F3624" s="751" t="s">
        <v>993</v>
      </c>
      <c r="G3624" s="752" t="s">
        <v>1681</v>
      </c>
      <c r="H3624" s="753">
        <v>51138</v>
      </c>
      <c r="I3624" s="754">
        <v>6351.54</v>
      </c>
      <c r="J3624" s="754">
        <v>0</v>
      </c>
      <c r="K3624" s="754">
        <v>0</v>
      </c>
      <c r="L3624" s="754">
        <v>1179.92</v>
      </c>
      <c r="M3624" s="754">
        <f t="shared" si="137"/>
        <v>1179.92</v>
      </c>
      <c r="N3624" s="756">
        <v>6351.54</v>
      </c>
      <c r="O3624" s="720">
        <f t="shared" si="138"/>
        <v>0</v>
      </c>
    </row>
    <row r="3625" spans="1:15" x14ac:dyDescent="0.25">
      <c r="A3625" s="207" t="str">
        <f>VLOOKUP(RIGHT(E3625,3)+0,SchLocTable!$A$2:$B$47,2,FALSE)</f>
        <v>Columbus</v>
      </c>
      <c r="B3625" s="207" t="str">
        <f>VLOOKUP(VALUE(D3625),$D$3:F$106,3,FALSE)</f>
        <v>Custodians</v>
      </c>
      <c r="C3625" s="751" t="s">
        <v>246</v>
      </c>
      <c r="D3625" s="751" t="s">
        <v>991</v>
      </c>
      <c r="E3625" s="751" t="s">
        <v>998</v>
      </c>
      <c r="F3625" s="751" t="s">
        <v>257</v>
      </c>
      <c r="G3625" s="752" t="s">
        <v>1681</v>
      </c>
      <c r="H3625" s="753">
        <v>51140</v>
      </c>
      <c r="I3625" s="754">
        <v>1200</v>
      </c>
      <c r="J3625" s="754">
        <v>0</v>
      </c>
      <c r="K3625" s="754">
        <v>0</v>
      </c>
      <c r="L3625" s="754">
        <v>1200</v>
      </c>
      <c r="M3625" s="754">
        <f t="shared" si="137"/>
        <v>1200</v>
      </c>
      <c r="N3625" s="756">
        <v>1200</v>
      </c>
      <c r="O3625" s="720">
        <f t="shared" si="138"/>
        <v>0</v>
      </c>
    </row>
    <row r="3626" spans="1:15" x14ac:dyDescent="0.25">
      <c r="A3626" s="207" t="str">
        <f>VLOOKUP(RIGHT(E3626,3)+0,SchLocTable!$A$2:$B$47,2,FALSE)</f>
        <v>Columbus</v>
      </c>
      <c r="B3626" s="207" t="str">
        <f>VLOOKUP(VALUE(D3626),$D$3:F$106,3,FALSE)</f>
        <v>Custodians</v>
      </c>
      <c r="C3626" s="751" t="s">
        <v>246</v>
      </c>
      <c r="D3626" s="751" t="s">
        <v>991</v>
      </c>
      <c r="E3626" s="751" t="s">
        <v>998</v>
      </c>
      <c r="F3626" s="751" t="s">
        <v>254</v>
      </c>
      <c r="G3626" s="752" t="s">
        <v>1681</v>
      </c>
      <c r="H3626" s="753">
        <v>52360</v>
      </c>
      <c r="I3626" s="754">
        <v>3103.54</v>
      </c>
      <c r="J3626" s="754">
        <v>0</v>
      </c>
      <c r="K3626" s="754">
        <v>0</v>
      </c>
      <c r="L3626" s="754">
        <v>824.5</v>
      </c>
      <c r="M3626" s="754">
        <f t="shared" si="137"/>
        <v>824.5</v>
      </c>
      <c r="N3626" s="756">
        <v>3103.54</v>
      </c>
      <c r="O3626" s="720">
        <f t="shared" si="138"/>
        <v>0</v>
      </c>
    </row>
    <row r="3627" spans="1:15" x14ac:dyDescent="0.25">
      <c r="A3627" s="207" t="str">
        <f>VLOOKUP(RIGHT(E3627,3)+0,SchLocTable!$A$2:$B$47,2,FALSE)</f>
        <v>Columbus</v>
      </c>
      <c r="B3627" s="207" t="str">
        <f>VLOOKUP(VALUE(D3627),$D$3:F$106,3,FALSE)</f>
        <v>Custodians</v>
      </c>
      <c r="C3627" s="751" t="s">
        <v>246</v>
      </c>
      <c r="D3627" s="751" t="s">
        <v>991</v>
      </c>
      <c r="E3627" s="751" t="s">
        <v>998</v>
      </c>
      <c r="F3627" s="751" t="s">
        <v>292</v>
      </c>
      <c r="G3627" s="752" t="s">
        <v>1681</v>
      </c>
      <c r="H3627" s="753">
        <v>52385</v>
      </c>
      <c r="I3627" s="754">
        <v>0</v>
      </c>
      <c r="J3627" s="754">
        <v>0</v>
      </c>
      <c r="K3627" s="754">
        <v>0</v>
      </c>
      <c r="L3627" s="754">
        <v>0</v>
      </c>
      <c r="M3627" s="754">
        <f t="shared" si="137"/>
        <v>0</v>
      </c>
      <c r="N3627" s="756">
        <v>0</v>
      </c>
      <c r="O3627" s="720">
        <f t="shared" si="138"/>
        <v>0</v>
      </c>
    </row>
    <row r="3628" spans="1:15" x14ac:dyDescent="0.25">
      <c r="A3628" s="207" t="str">
        <f>VLOOKUP(RIGHT(E3628,3)+0,SchLocTable!$A$2:$B$47,2,FALSE)</f>
        <v>Columbus</v>
      </c>
      <c r="B3628" s="207" t="str">
        <f>VLOOKUP(VALUE(D3628),$D$3:F$106,3,FALSE)</f>
        <v>Custodians</v>
      </c>
      <c r="C3628" s="751" t="s">
        <v>246</v>
      </c>
      <c r="D3628" s="751" t="s">
        <v>991</v>
      </c>
      <c r="E3628" s="751" t="s">
        <v>998</v>
      </c>
      <c r="F3628" s="751" t="s">
        <v>331</v>
      </c>
      <c r="G3628" s="752" t="s">
        <v>1681</v>
      </c>
      <c r="H3628" s="753">
        <v>52504</v>
      </c>
      <c r="I3628" s="754">
        <v>45660.86</v>
      </c>
      <c r="J3628" s="754">
        <v>0</v>
      </c>
      <c r="K3628" s="754">
        <v>0</v>
      </c>
      <c r="L3628" s="754">
        <v>13298.55</v>
      </c>
      <c r="M3628" s="754">
        <f t="shared" si="137"/>
        <v>13298.55</v>
      </c>
      <c r="N3628" s="756">
        <v>45660.86</v>
      </c>
      <c r="O3628" s="720">
        <f t="shared" si="138"/>
        <v>0</v>
      </c>
    </row>
    <row r="3629" spans="1:15" x14ac:dyDescent="0.25">
      <c r="A3629" s="207" t="str">
        <f>VLOOKUP(RIGHT(E3629,3)+0,SchLocTable!$A$2:$B$47,2,FALSE)</f>
        <v>Columbus</v>
      </c>
      <c r="B3629" s="207" t="str">
        <f>VLOOKUP(VALUE(D3629),$D$3:F$106,3,FALSE)</f>
        <v>Custodians</v>
      </c>
      <c r="C3629" s="751" t="s">
        <v>246</v>
      </c>
      <c r="D3629" s="751" t="s">
        <v>991</v>
      </c>
      <c r="E3629" s="751" t="s">
        <v>998</v>
      </c>
      <c r="F3629" s="751" t="s">
        <v>259</v>
      </c>
      <c r="G3629" s="752" t="s">
        <v>1681</v>
      </c>
      <c r="H3629" s="753">
        <v>52917</v>
      </c>
      <c r="I3629" s="754">
        <v>74734.740000000005</v>
      </c>
      <c r="J3629" s="754">
        <v>0</v>
      </c>
      <c r="K3629" s="754">
        <v>0</v>
      </c>
      <c r="L3629" s="754">
        <v>22907.200000000001</v>
      </c>
      <c r="M3629" s="754">
        <f t="shared" si="137"/>
        <v>22907.200000000001</v>
      </c>
      <c r="N3629" s="756">
        <v>74734.740000000005</v>
      </c>
      <c r="O3629" s="720">
        <f t="shared" si="138"/>
        <v>0</v>
      </c>
    </row>
    <row r="3630" spans="1:15" x14ac:dyDescent="0.25">
      <c r="A3630" s="207" t="str">
        <f>VLOOKUP(RIGHT(E3630,3)+0,SchLocTable!$A$2:$B$47,2,FALSE)</f>
        <v>Columbus</v>
      </c>
      <c r="B3630" s="207" t="str">
        <f>VLOOKUP(VALUE(D3630),$D$3:F$106,3,FALSE)</f>
        <v>Custodians</v>
      </c>
      <c r="C3630" s="751" t="s">
        <v>246</v>
      </c>
      <c r="D3630" s="751" t="s">
        <v>991</v>
      </c>
      <c r="E3630" s="751" t="s">
        <v>998</v>
      </c>
      <c r="F3630" s="751" t="s">
        <v>333</v>
      </c>
      <c r="G3630" s="752" t="s">
        <v>1681</v>
      </c>
      <c r="H3630" s="753">
        <v>52920</v>
      </c>
      <c r="I3630" s="754">
        <v>0</v>
      </c>
      <c r="J3630" s="754">
        <v>0</v>
      </c>
      <c r="K3630" s="754">
        <v>0</v>
      </c>
      <c r="L3630" s="754">
        <v>0</v>
      </c>
      <c r="M3630" s="754">
        <f t="shared" si="137"/>
        <v>0</v>
      </c>
      <c r="N3630" s="756">
        <v>0</v>
      </c>
      <c r="O3630" s="720">
        <f t="shared" si="138"/>
        <v>0</v>
      </c>
    </row>
    <row r="3631" spans="1:15" x14ac:dyDescent="0.25">
      <c r="A3631" s="207" t="str">
        <f>VLOOKUP(RIGHT(E3631,3)+0,SchLocTable!$A$2:$B$47,2,FALSE)</f>
        <v>Edison</v>
      </c>
      <c r="B3631" s="207" t="str">
        <f>VLOOKUP(VALUE(D3631),$D$3:F$106,3,FALSE)</f>
        <v>Custodians</v>
      </c>
      <c r="C3631" s="751" t="s">
        <v>246</v>
      </c>
      <c r="D3631" s="751" t="s">
        <v>991</v>
      </c>
      <c r="E3631" s="751" t="s">
        <v>999</v>
      </c>
      <c r="F3631" s="751" t="s">
        <v>248</v>
      </c>
      <c r="G3631" s="752">
        <v>1</v>
      </c>
      <c r="H3631" s="753">
        <v>51000</v>
      </c>
      <c r="I3631" s="754">
        <v>50375.09</v>
      </c>
      <c r="J3631" s="754">
        <v>0</v>
      </c>
      <c r="K3631" s="754">
        <v>0</v>
      </c>
      <c r="L3631" s="754">
        <v>15440.64</v>
      </c>
      <c r="M3631" s="754">
        <f t="shared" si="137"/>
        <v>15440.64</v>
      </c>
      <c r="N3631" s="756">
        <v>50375.09</v>
      </c>
      <c r="O3631" s="720">
        <f t="shared" si="138"/>
        <v>0</v>
      </c>
    </row>
    <row r="3632" spans="1:15" x14ac:dyDescent="0.25">
      <c r="A3632" s="207" t="str">
        <f>VLOOKUP(RIGHT(E3632,3)+0,SchLocTable!$A$2:$B$47,2,FALSE)</f>
        <v>Edison</v>
      </c>
      <c r="B3632" s="207" t="str">
        <f>VLOOKUP(VALUE(D3632),$D$3:F$106,3,FALSE)</f>
        <v>Custodians</v>
      </c>
      <c r="C3632" s="751" t="s">
        <v>246</v>
      </c>
      <c r="D3632" s="751" t="s">
        <v>991</v>
      </c>
      <c r="E3632" s="751" t="s">
        <v>999</v>
      </c>
      <c r="F3632" s="751" t="s">
        <v>919</v>
      </c>
      <c r="G3632" s="752" t="s">
        <v>1681</v>
      </c>
      <c r="H3632" s="753">
        <v>51102</v>
      </c>
      <c r="I3632" s="754">
        <v>0</v>
      </c>
      <c r="J3632" s="754">
        <v>0</v>
      </c>
      <c r="K3632" s="754">
        <v>0</v>
      </c>
      <c r="L3632" s="754">
        <v>0</v>
      </c>
      <c r="M3632" s="754">
        <f t="shared" si="137"/>
        <v>0</v>
      </c>
      <c r="N3632" s="756">
        <v>0</v>
      </c>
      <c r="O3632" s="720">
        <f t="shared" si="138"/>
        <v>0</v>
      </c>
    </row>
    <row r="3633" spans="1:15" x14ac:dyDescent="0.25">
      <c r="A3633" s="207" t="str">
        <f>VLOOKUP(RIGHT(E3633,3)+0,SchLocTable!$A$2:$B$47,2,FALSE)</f>
        <v>Edison</v>
      </c>
      <c r="B3633" s="207" t="str">
        <f>VLOOKUP(VALUE(D3633),$D$3:F$106,3,FALSE)</f>
        <v>Custodians</v>
      </c>
      <c r="C3633" s="751" t="s">
        <v>246</v>
      </c>
      <c r="D3633" s="751" t="s">
        <v>991</v>
      </c>
      <c r="E3633" s="751" t="s">
        <v>999</v>
      </c>
      <c r="F3633" s="751" t="s">
        <v>378</v>
      </c>
      <c r="G3633" s="752" t="s">
        <v>1681</v>
      </c>
      <c r="H3633" s="753">
        <v>51108</v>
      </c>
      <c r="I3633" s="754">
        <v>1457.06</v>
      </c>
      <c r="J3633" s="754">
        <v>0</v>
      </c>
      <c r="K3633" s="754">
        <v>0</v>
      </c>
      <c r="L3633" s="754">
        <v>1457.06</v>
      </c>
      <c r="M3633" s="754">
        <f t="shared" si="137"/>
        <v>1457.06</v>
      </c>
      <c r="N3633" s="756">
        <v>1457.06</v>
      </c>
      <c r="O3633" s="720">
        <f t="shared" si="138"/>
        <v>0</v>
      </c>
    </row>
    <row r="3634" spans="1:15" x14ac:dyDescent="0.25">
      <c r="A3634" s="207" t="str">
        <f>VLOOKUP(RIGHT(E3634,3)+0,SchLocTable!$A$2:$B$47,2,FALSE)</f>
        <v>Edison</v>
      </c>
      <c r="B3634" s="207" t="str">
        <f>VLOOKUP(VALUE(D3634),$D$3:F$106,3,FALSE)</f>
        <v>Custodians</v>
      </c>
      <c r="C3634" s="751" t="s">
        <v>246</v>
      </c>
      <c r="D3634" s="751" t="s">
        <v>991</v>
      </c>
      <c r="E3634" s="751" t="s">
        <v>999</v>
      </c>
      <c r="F3634" s="751" t="s">
        <v>380</v>
      </c>
      <c r="G3634" s="752" t="s">
        <v>1681</v>
      </c>
      <c r="H3634" s="753">
        <v>51122</v>
      </c>
      <c r="I3634" s="754">
        <v>33776.99</v>
      </c>
      <c r="J3634" s="754">
        <v>0</v>
      </c>
      <c r="K3634" s="754">
        <v>0</v>
      </c>
      <c r="L3634" s="754">
        <v>6286.71</v>
      </c>
      <c r="M3634" s="754">
        <f t="shared" si="137"/>
        <v>6286.71</v>
      </c>
      <c r="N3634" s="756">
        <v>33776.99</v>
      </c>
      <c r="O3634" s="720">
        <f t="shared" si="138"/>
        <v>0</v>
      </c>
    </row>
    <row r="3635" spans="1:15" x14ac:dyDescent="0.25">
      <c r="A3635" s="207" t="str">
        <f>VLOOKUP(RIGHT(E3635,3)+0,SchLocTable!$A$2:$B$47,2,FALSE)</f>
        <v>Edison</v>
      </c>
      <c r="B3635" s="207" t="str">
        <f>VLOOKUP(VALUE(D3635),$D$3:F$106,3,FALSE)</f>
        <v>Custodians</v>
      </c>
      <c r="C3635" s="755" t="s">
        <v>246</v>
      </c>
      <c r="D3635" s="751" t="s">
        <v>991</v>
      </c>
      <c r="E3635" s="751" t="s">
        <v>999</v>
      </c>
      <c r="F3635" s="751" t="s">
        <v>257</v>
      </c>
      <c r="G3635" s="752" t="s">
        <v>1681</v>
      </c>
      <c r="H3635" s="753">
        <v>51140</v>
      </c>
      <c r="I3635" s="754">
        <v>1800</v>
      </c>
      <c r="J3635" s="754">
        <v>0</v>
      </c>
      <c r="K3635" s="754">
        <v>0</v>
      </c>
      <c r="L3635" s="754">
        <v>1800</v>
      </c>
      <c r="M3635" s="754">
        <f t="shared" si="137"/>
        <v>1800</v>
      </c>
      <c r="N3635" s="756">
        <v>1800</v>
      </c>
      <c r="O3635" s="720">
        <f t="shared" si="138"/>
        <v>0</v>
      </c>
    </row>
    <row r="3636" spans="1:15" x14ac:dyDescent="0.25">
      <c r="A3636" s="207" t="str">
        <f>VLOOKUP(RIGHT(E3636,3)+0,SchLocTable!$A$2:$B$47,2,FALSE)</f>
        <v>Edison</v>
      </c>
      <c r="B3636" s="207" t="str">
        <f>VLOOKUP(VALUE(D3636),$D$3:F$106,3,FALSE)</f>
        <v>Custodians</v>
      </c>
      <c r="C3636" s="751" t="s">
        <v>246</v>
      </c>
      <c r="D3636" s="751" t="s">
        <v>991</v>
      </c>
      <c r="E3636" s="751" t="s">
        <v>999</v>
      </c>
      <c r="F3636" s="751" t="s">
        <v>254</v>
      </c>
      <c r="G3636" s="752" t="s">
        <v>1681</v>
      </c>
      <c r="H3636" s="753">
        <v>52360</v>
      </c>
      <c r="I3636" s="754">
        <v>1250.9100000000001</v>
      </c>
      <c r="J3636" s="754">
        <v>0</v>
      </c>
      <c r="K3636" s="754">
        <v>0</v>
      </c>
      <c r="L3636" s="754">
        <v>345.75</v>
      </c>
      <c r="M3636" s="754">
        <f t="shared" si="137"/>
        <v>345.75</v>
      </c>
      <c r="N3636" s="756">
        <v>1250.9100000000001</v>
      </c>
      <c r="O3636" s="720">
        <f t="shared" si="138"/>
        <v>0</v>
      </c>
    </row>
    <row r="3637" spans="1:15" x14ac:dyDescent="0.25">
      <c r="A3637" s="207" t="str">
        <f>VLOOKUP(RIGHT(E3637,3)+0,SchLocTable!$A$2:$B$47,2,FALSE)</f>
        <v>Edison</v>
      </c>
      <c r="B3637" s="207" t="str">
        <f>VLOOKUP(VALUE(D3637),$D$3:F$106,3,FALSE)</f>
        <v>Custodians</v>
      </c>
      <c r="C3637" s="751" t="s">
        <v>246</v>
      </c>
      <c r="D3637" s="751" t="s">
        <v>991</v>
      </c>
      <c r="E3637" s="751" t="s">
        <v>999</v>
      </c>
      <c r="F3637" s="751" t="s">
        <v>331</v>
      </c>
      <c r="G3637" s="752" t="s">
        <v>1681</v>
      </c>
      <c r="H3637" s="753">
        <v>52504</v>
      </c>
      <c r="I3637" s="754">
        <v>17997.509999999998</v>
      </c>
      <c r="J3637" s="754">
        <v>0</v>
      </c>
      <c r="K3637" s="754">
        <v>0</v>
      </c>
      <c r="L3637" s="754">
        <v>5144.26</v>
      </c>
      <c r="M3637" s="754">
        <f t="shared" si="137"/>
        <v>5144.26</v>
      </c>
      <c r="N3637" s="756">
        <v>17997.509999999998</v>
      </c>
      <c r="O3637" s="720">
        <f t="shared" si="138"/>
        <v>0</v>
      </c>
    </row>
    <row r="3638" spans="1:15" x14ac:dyDescent="0.25">
      <c r="A3638" s="207" t="str">
        <f>VLOOKUP(RIGHT(E3638,3)+0,SchLocTable!$A$2:$B$47,2,FALSE)</f>
        <v>Edison</v>
      </c>
      <c r="B3638" s="207" t="str">
        <f>VLOOKUP(VALUE(D3638),$D$3:F$106,3,FALSE)</f>
        <v>Custodians</v>
      </c>
      <c r="C3638" s="755" t="s">
        <v>246</v>
      </c>
      <c r="D3638" s="751" t="s">
        <v>991</v>
      </c>
      <c r="E3638" s="751" t="s">
        <v>999</v>
      </c>
      <c r="F3638" s="751" t="s">
        <v>259</v>
      </c>
      <c r="G3638" s="752" t="s">
        <v>1681</v>
      </c>
      <c r="H3638" s="753">
        <v>52917</v>
      </c>
      <c r="I3638" s="754">
        <v>11599.36</v>
      </c>
      <c r="J3638" s="754">
        <v>0</v>
      </c>
      <c r="K3638" s="754">
        <v>0</v>
      </c>
      <c r="L3638" s="754">
        <v>3555.36</v>
      </c>
      <c r="M3638" s="754">
        <f t="shared" si="137"/>
        <v>3555.36</v>
      </c>
      <c r="N3638" s="756">
        <v>11599.36</v>
      </c>
      <c r="O3638" s="720">
        <f t="shared" si="138"/>
        <v>0</v>
      </c>
    </row>
    <row r="3639" spans="1:15" x14ac:dyDescent="0.25">
      <c r="A3639" s="207" t="str">
        <f>VLOOKUP(RIGHT(E3639,3)+0,SchLocTable!$A$2:$B$47,2,FALSE)</f>
        <v>Physical Science HS</v>
      </c>
      <c r="B3639" s="207" t="str">
        <f>VLOOKUP(VALUE(D3639),$D$3:F$106,3,FALSE)</f>
        <v>Custodians</v>
      </c>
      <c r="C3639" s="755" t="s">
        <v>246</v>
      </c>
      <c r="D3639" s="751" t="s">
        <v>991</v>
      </c>
      <c r="E3639" s="751" t="s">
        <v>2190</v>
      </c>
      <c r="F3639" s="751" t="s">
        <v>380</v>
      </c>
      <c r="G3639" s="752" t="s">
        <v>1681</v>
      </c>
      <c r="H3639" s="753">
        <v>51122</v>
      </c>
      <c r="I3639" s="754">
        <v>8820.48</v>
      </c>
      <c r="J3639" s="754">
        <v>0</v>
      </c>
      <c r="K3639" s="754">
        <v>0</v>
      </c>
      <c r="L3639" s="754">
        <v>232.24</v>
      </c>
      <c r="M3639" s="754">
        <f t="shared" si="137"/>
        <v>232.24</v>
      </c>
      <c r="N3639" s="756">
        <v>8820.48</v>
      </c>
      <c r="O3639" s="720">
        <f t="shared" si="138"/>
        <v>0</v>
      </c>
    </row>
    <row r="3640" spans="1:15" x14ac:dyDescent="0.25">
      <c r="A3640" s="207" t="str">
        <f>VLOOKUP(RIGHT(E3640,3)+0,SchLocTable!$A$2:$B$47,2,FALSE)</f>
        <v>Physical Science HS</v>
      </c>
      <c r="B3640" s="207" t="str">
        <f>VLOOKUP(VALUE(D3640),$D$3:F$106,3,FALSE)</f>
        <v>Custodians</v>
      </c>
      <c r="C3640" s="751" t="s">
        <v>246</v>
      </c>
      <c r="D3640" s="751" t="s">
        <v>991</v>
      </c>
      <c r="E3640" s="751" t="s">
        <v>2190</v>
      </c>
      <c r="F3640" s="751" t="s">
        <v>254</v>
      </c>
      <c r="G3640" s="752" t="s">
        <v>1681</v>
      </c>
      <c r="H3640" s="753">
        <v>52360</v>
      </c>
      <c r="I3640" s="754">
        <v>3.37</v>
      </c>
      <c r="J3640" s="754">
        <v>0</v>
      </c>
      <c r="K3640" s="754">
        <v>0</v>
      </c>
      <c r="L3640" s="754">
        <v>3.37</v>
      </c>
      <c r="M3640" s="754">
        <f t="shared" si="137"/>
        <v>3.37</v>
      </c>
      <c r="N3640" s="756">
        <v>3.37</v>
      </c>
      <c r="O3640" s="720">
        <f t="shared" si="138"/>
        <v>0</v>
      </c>
    </row>
    <row r="3641" spans="1:15" x14ac:dyDescent="0.25">
      <c r="A3641" s="207" t="str">
        <f>VLOOKUP(RIGHT(E3641,3)+0,SchLocTable!$A$2:$B$47,2,FALSE)</f>
        <v>Physical Science HS</v>
      </c>
      <c r="B3641" s="207" t="str">
        <f>VLOOKUP(VALUE(D3641),$D$3:F$106,3,FALSE)</f>
        <v>Custodians</v>
      </c>
      <c r="C3641" s="751" t="s">
        <v>246</v>
      </c>
      <c r="D3641" s="751" t="s">
        <v>991</v>
      </c>
      <c r="E3641" s="751" t="s">
        <v>2190</v>
      </c>
      <c r="F3641" s="751" t="s">
        <v>331</v>
      </c>
      <c r="G3641" s="752" t="s">
        <v>1681</v>
      </c>
      <c r="H3641" s="753">
        <v>52504</v>
      </c>
      <c r="I3641" s="754">
        <v>47.82</v>
      </c>
      <c r="J3641" s="754">
        <v>0</v>
      </c>
      <c r="K3641" s="754">
        <v>0</v>
      </c>
      <c r="L3641" s="754">
        <v>47.82</v>
      </c>
      <c r="M3641" s="754">
        <f t="shared" si="137"/>
        <v>47.82</v>
      </c>
      <c r="N3641" s="756">
        <v>47.82</v>
      </c>
      <c r="O3641" s="720">
        <f t="shared" si="138"/>
        <v>0</v>
      </c>
    </row>
    <row r="3642" spans="1:15" x14ac:dyDescent="0.25">
      <c r="A3642" s="207" t="str">
        <f>VLOOKUP(RIGHT(E3642,3)+0,SchLocTable!$A$2:$B$47,2,FALSE)</f>
        <v>Marin</v>
      </c>
      <c r="B3642" s="207" t="str">
        <f>VLOOKUP(VALUE(D3642),$D$3:F$106,3,FALSE)</f>
        <v>Custodians</v>
      </c>
      <c r="C3642" s="751" t="s">
        <v>246</v>
      </c>
      <c r="D3642" s="751" t="s">
        <v>991</v>
      </c>
      <c r="E3642" s="751" t="s">
        <v>1000</v>
      </c>
      <c r="F3642" s="751" t="s">
        <v>248</v>
      </c>
      <c r="G3642" s="752">
        <v>6</v>
      </c>
      <c r="H3642" s="753">
        <v>51000</v>
      </c>
      <c r="I3642" s="754">
        <v>283765.40000000002</v>
      </c>
      <c r="J3642" s="754">
        <v>0</v>
      </c>
      <c r="K3642" s="754">
        <v>0</v>
      </c>
      <c r="L3642" s="754">
        <v>88386.11</v>
      </c>
      <c r="M3642" s="754">
        <f t="shared" si="137"/>
        <v>88386.11</v>
      </c>
      <c r="N3642" s="756">
        <v>283765.40000000002</v>
      </c>
      <c r="O3642" s="720">
        <f t="shared" si="138"/>
        <v>0</v>
      </c>
    </row>
    <row r="3643" spans="1:15" x14ac:dyDescent="0.25">
      <c r="A3643" s="207" t="str">
        <f>VLOOKUP(RIGHT(E3643,3)+0,SchLocTable!$A$2:$B$47,2,FALSE)</f>
        <v>Marin</v>
      </c>
      <c r="B3643" s="207" t="str">
        <f>VLOOKUP(VALUE(D3643),$D$3:F$106,3,FALSE)</f>
        <v>Custodians</v>
      </c>
      <c r="C3643" s="755" t="s">
        <v>246</v>
      </c>
      <c r="D3643" s="751" t="s">
        <v>991</v>
      </c>
      <c r="E3643" s="751" t="s">
        <v>1000</v>
      </c>
      <c r="F3643" s="751" t="s">
        <v>919</v>
      </c>
      <c r="G3643" s="752" t="s">
        <v>1681</v>
      </c>
      <c r="H3643" s="753">
        <v>51102</v>
      </c>
      <c r="I3643" s="754">
        <v>0</v>
      </c>
      <c r="J3643" s="754">
        <v>0</v>
      </c>
      <c r="K3643" s="754">
        <v>0</v>
      </c>
      <c r="L3643" s="754">
        <v>0</v>
      </c>
      <c r="M3643" s="754">
        <f t="shared" si="137"/>
        <v>0</v>
      </c>
      <c r="N3643" s="756">
        <v>0</v>
      </c>
      <c r="O3643" s="720">
        <f t="shared" si="138"/>
        <v>0</v>
      </c>
    </row>
    <row r="3644" spans="1:15" x14ac:dyDescent="0.25">
      <c r="A3644" s="207" t="str">
        <f>VLOOKUP(RIGHT(E3644,3)+0,SchLocTable!$A$2:$B$47,2,FALSE)</f>
        <v>Marin</v>
      </c>
      <c r="B3644" s="207" t="str">
        <f>VLOOKUP(VALUE(D3644),$D$3:F$106,3,FALSE)</f>
        <v>Custodians</v>
      </c>
      <c r="C3644" s="751" t="s">
        <v>246</v>
      </c>
      <c r="D3644" s="751" t="s">
        <v>991</v>
      </c>
      <c r="E3644" s="751" t="s">
        <v>1000</v>
      </c>
      <c r="F3644" s="751" t="s">
        <v>378</v>
      </c>
      <c r="G3644" s="752" t="s">
        <v>1681</v>
      </c>
      <c r="H3644" s="753">
        <v>51108</v>
      </c>
      <c r="I3644" s="754">
        <v>596.42999999999995</v>
      </c>
      <c r="J3644" s="754">
        <v>0</v>
      </c>
      <c r="K3644" s="754">
        <v>0</v>
      </c>
      <c r="L3644" s="754">
        <v>596.42999999999995</v>
      </c>
      <c r="M3644" s="754">
        <f t="shared" si="137"/>
        <v>596.42999999999995</v>
      </c>
      <c r="N3644" s="756">
        <v>596.42999999999995</v>
      </c>
      <c r="O3644" s="720">
        <f t="shared" si="138"/>
        <v>0</v>
      </c>
    </row>
    <row r="3645" spans="1:15" x14ac:dyDescent="0.25">
      <c r="A3645" s="207" t="str">
        <f>VLOOKUP(RIGHT(E3645,3)+0,SchLocTable!$A$2:$B$47,2,FALSE)</f>
        <v>Marin</v>
      </c>
      <c r="B3645" s="207" t="str">
        <f>VLOOKUP(VALUE(D3645),$D$3:F$106,3,FALSE)</f>
        <v>Custodians</v>
      </c>
      <c r="C3645" s="751" t="s">
        <v>246</v>
      </c>
      <c r="D3645" s="751" t="s">
        <v>991</v>
      </c>
      <c r="E3645" s="751" t="s">
        <v>1000</v>
      </c>
      <c r="F3645" s="751" t="s">
        <v>380</v>
      </c>
      <c r="G3645" s="752" t="s">
        <v>1681</v>
      </c>
      <c r="H3645" s="753">
        <v>51122</v>
      </c>
      <c r="I3645" s="754">
        <v>3189.21</v>
      </c>
      <c r="J3645" s="754">
        <v>0</v>
      </c>
      <c r="K3645" s="754">
        <v>0</v>
      </c>
      <c r="L3645" s="754">
        <v>3189.21</v>
      </c>
      <c r="M3645" s="754">
        <f t="shared" si="137"/>
        <v>3189.21</v>
      </c>
      <c r="N3645" s="756">
        <v>3189.21</v>
      </c>
      <c r="O3645" s="720">
        <f t="shared" si="138"/>
        <v>0</v>
      </c>
    </row>
    <row r="3646" spans="1:15" x14ac:dyDescent="0.25">
      <c r="A3646" s="207" t="str">
        <f>VLOOKUP(RIGHT(E3646,3)+0,SchLocTable!$A$2:$B$47,2,FALSE)</f>
        <v>Marin</v>
      </c>
      <c r="B3646" s="207" t="str">
        <f>VLOOKUP(VALUE(D3646),$D$3:F$106,3,FALSE)</f>
        <v>Custodians</v>
      </c>
      <c r="C3646" s="751" t="s">
        <v>246</v>
      </c>
      <c r="D3646" s="751" t="s">
        <v>991</v>
      </c>
      <c r="E3646" s="751" t="s">
        <v>1000</v>
      </c>
      <c r="F3646" s="751" t="s">
        <v>993</v>
      </c>
      <c r="G3646" s="752" t="s">
        <v>1681</v>
      </c>
      <c r="H3646" s="753">
        <v>51138</v>
      </c>
      <c r="I3646" s="754">
        <v>11890.4</v>
      </c>
      <c r="J3646" s="754">
        <v>0</v>
      </c>
      <c r="K3646" s="754">
        <v>0</v>
      </c>
      <c r="L3646" s="754">
        <v>2139.12</v>
      </c>
      <c r="M3646" s="754">
        <f t="shared" si="137"/>
        <v>2139.12</v>
      </c>
      <c r="N3646" s="756">
        <v>11890.4</v>
      </c>
      <c r="O3646" s="720">
        <f t="shared" si="138"/>
        <v>0</v>
      </c>
    </row>
    <row r="3647" spans="1:15" x14ac:dyDescent="0.25">
      <c r="A3647" s="207" t="str">
        <f>VLOOKUP(RIGHT(E3647,3)+0,SchLocTable!$A$2:$B$47,2,FALSE)</f>
        <v>Marin</v>
      </c>
      <c r="B3647" s="207" t="str">
        <f>VLOOKUP(VALUE(D3647),$D$3:F$106,3,FALSE)</f>
        <v>Custodians</v>
      </c>
      <c r="C3647" s="751" t="s">
        <v>246</v>
      </c>
      <c r="D3647" s="751" t="s">
        <v>991</v>
      </c>
      <c r="E3647" s="751" t="s">
        <v>1000</v>
      </c>
      <c r="F3647" s="751" t="s">
        <v>257</v>
      </c>
      <c r="G3647" s="752" t="s">
        <v>1681</v>
      </c>
      <c r="H3647" s="753">
        <v>51140</v>
      </c>
      <c r="I3647" s="754">
        <v>0</v>
      </c>
      <c r="J3647" s="754">
        <v>0</v>
      </c>
      <c r="K3647" s="754">
        <v>0</v>
      </c>
      <c r="L3647" s="754">
        <v>0</v>
      </c>
      <c r="M3647" s="754">
        <f t="shared" ref="M3647:M3710" si="139">SUM(J3647:L3647)</f>
        <v>0</v>
      </c>
      <c r="N3647" s="756">
        <v>0</v>
      </c>
      <c r="O3647" s="720">
        <f t="shared" ref="O3647:O3710" si="140">I3647-N3647</f>
        <v>0</v>
      </c>
    </row>
    <row r="3648" spans="1:15" x14ac:dyDescent="0.25">
      <c r="A3648" s="207" t="str">
        <f>VLOOKUP(RIGHT(E3648,3)+0,SchLocTable!$A$2:$B$47,2,FALSE)</f>
        <v>Marin</v>
      </c>
      <c r="B3648" s="207" t="str">
        <f>VLOOKUP(VALUE(D3648),$D$3:F$106,3,FALSE)</f>
        <v>Custodians</v>
      </c>
      <c r="C3648" s="751" t="s">
        <v>246</v>
      </c>
      <c r="D3648" s="751" t="s">
        <v>991</v>
      </c>
      <c r="E3648" s="751" t="s">
        <v>1000</v>
      </c>
      <c r="F3648" s="751" t="s">
        <v>254</v>
      </c>
      <c r="G3648" s="752" t="s">
        <v>1681</v>
      </c>
      <c r="H3648" s="753">
        <v>52360</v>
      </c>
      <c r="I3648" s="754">
        <v>4194.32</v>
      </c>
      <c r="J3648" s="754">
        <v>0</v>
      </c>
      <c r="K3648" s="754">
        <v>0</v>
      </c>
      <c r="L3648" s="754">
        <v>1219.93</v>
      </c>
      <c r="M3648" s="754">
        <f t="shared" si="139"/>
        <v>1219.93</v>
      </c>
      <c r="N3648" s="756">
        <v>4194.32</v>
      </c>
      <c r="O3648" s="720">
        <f t="shared" si="140"/>
        <v>0</v>
      </c>
    </row>
    <row r="3649" spans="1:15" x14ac:dyDescent="0.25">
      <c r="A3649" s="207" t="str">
        <f>VLOOKUP(RIGHT(E3649,3)+0,SchLocTable!$A$2:$B$47,2,FALSE)</f>
        <v>Marin</v>
      </c>
      <c r="B3649" s="207" t="str">
        <f>VLOOKUP(VALUE(D3649),$D$3:F$106,3,FALSE)</f>
        <v>Custodians</v>
      </c>
      <c r="C3649" s="751" t="s">
        <v>246</v>
      </c>
      <c r="D3649" s="751" t="s">
        <v>991</v>
      </c>
      <c r="E3649" s="751" t="s">
        <v>1000</v>
      </c>
      <c r="F3649" s="751" t="s">
        <v>292</v>
      </c>
      <c r="G3649" s="752" t="s">
        <v>1681</v>
      </c>
      <c r="H3649" s="753">
        <v>52385</v>
      </c>
      <c r="I3649" s="754">
        <v>0</v>
      </c>
      <c r="J3649" s="754">
        <v>0</v>
      </c>
      <c r="K3649" s="754">
        <v>0</v>
      </c>
      <c r="L3649" s="754">
        <v>0</v>
      </c>
      <c r="M3649" s="754">
        <f t="shared" si="139"/>
        <v>0</v>
      </c>
      <c r="N3649" s="756">
        <v>0</v>
      </c>
      <c r="O3649" s="720">
        <f t="shared" si="140"/>
        <v>0</v>
      </c>
    </row>
    <row r="3650" spans="1:15" x14ac:dyDescent="0.25">
      <c r="A3650" s="207" t="str">
        <f>VLOOKUP(RIGHT(E3650,3)+0,SchLocTable!$A$2:$B$47,2,FALSE)</f>
        <v>Marin</v>
      </c>
      <c r="B3650" s="207" t="str">
        <f>VLOOKUP(VALUE(D3650),$D$3:F$106,3,FALSE)</f>
        <v>Custodians</v>
      </c>
      <c r="C3650" s="751" t="s">
        <v>246</v>
      </c>
      <c r="D3650" s="751" t="s">
        <v>991</v>
      </c>
      <c r="E3650" s="751" t="s">
        <v>1000</v>
      </c>
      <c r="F3650" s="751" t="s">
        <v>331</v>
      </c>
      <c r="G3650" s="752" t="s">
        <v>1681</v>
      </c>
      <c r="H3650" s="753">
        <v>52504</v>
      </c>
      <c r="I3650" s="754">
        <v>61654.96</v>
      </c>
      <c r="J3650" s="754">
        <v>0</v>
      </c>
      <c r="K3650" s="754">
        <v>0</v>
      </c>
      <c r="L3650" s="754">
        <v>19418.580000000002</v>
      </c>
      <c r="M3650" s="754">
        <f t="shared" si="139"/>
        <v>19418.580000000002</v>
      </c>
      <c r="N3650" s="756">
        <v>61654.96</v>
      </c>
      <c r="O3650" s="720">
        <f t="shared" si="140"/>
        <v>0</v>
      </c>
    </row>
    <row r="3651" spans="1:15" x14ac:dyDescent="0.25">
      <c r="A3651" s="207" t="str">
        <f>VLOOKUP(RIGHT(E3651,3)+0,SchLocTable!$A$2:$B$47,2,FALSE)</f>
        <v>Marin</v>
      </c>
      <c r="B3651" s="207" t="str">
        <f>VLOOKUP(VALUE(D3651),$D$3:F$106,3,FALSE)</f>
        <v>Custodians</v>
      </c>
      <c r="C3651" s="751" t="s">
        <v>246</v>
      </c>
      <c r="D3651" s="751" t="s">
        <v>991</v>
      </c>
      <c r="E3651" s="751" t="s">
        <v>1000</v>
      </c>
      <c r="F3651" s="751" t="s">
        <v>259</v>
      </c>
      <c r="G3651" s="752" t="s">
        <v>1681</v>
      </c>
      <c r="H3651" s="753">
        <v>52917</v>
      </c>
      <c r="I3651" s="754">
        <v>91620.92</v>
      </c>
      <c r="J3651" s="754">
        <v>0</v>
      </c>
      <c r="K3651" s="754">
        <v>0</v>
      </c>
      <c r="L3651" s="754">
        <v>26785.27</v>
      </c>
      <c r="M3651" s="754">
        <f t="shared" si="139"/>
        <v>26785.27</v>
      </c>
      <c r="N3651" s="756">
        <v>91620.92</v>
      </c>
      <c r="O3651" s="720">
        <f t="shared" si="140"/>
        <v>0</v>
      </c>
    </row>
    <row r="3652" spans="1:15" x14ac:dyDescent="0.25">
      <c r="A3652" s="207" t="str">
        <f>VLOOKUP(RIGHT(E3652,3)+0,SchLocTable!$A$2:$B$47,2,FALSE)</f>
        <v>Marin</v>
      </c>
      <c r="B3652" s="207" t="str">
        <f>VLOOKUP(VALUE(D3652),$D$3:F$106,3,FALSE)</f>
        <v>Custodians</v>
      </c>
      <c r="C3652" s="751" t="s">
        <v>246</v>
      </c>
      <c r="D3652" s="751" t="s">
        <v>991</v>
      </c>
      <c r="E3652" s="751" t="s">
        <v>1000</v>
      </c>
      <c r="F3652" s="751" t="s">
        <v>333</v>
      </c>
      <c r="G3652" s="752" t="s">
        <v>1681</v>
      </c>
      <c r="H3652" s="753">
        <v>52920</v>
      </c>
      <c r="I3652" s="754">
        <v>416.68</v>
      </c>
      <c r="J3652" s="754">
        <v>0</v>
      </c>
      <c r="K3652" s="754">
        <v>0</v>
      </c>
      <c r="L3652" s="754">
        <v>250</v>
      </c>
      <c r="M3652" s="754">
        <f t="shared" si="139"/>
        <v>250</v>
      </c>
      <c r="N3652" s="756">
        <v>416.68</v>
      </c>
      <c r="O3652" s="720">
        <f t="shared" si="140"/>
        <v>0</v>
      </c>
    </row>
    <row r="3653" spans="1:15" x14ac:dyDescent="0.25">
      <c r="A3653" s="207" t="str">
        <f>VLOOKUP(RIGHT(E3653,3)+0,SchLocTable!$A$2:$B$47,2,FALSE)</f>
        <v>Hall</v>
      </c>
      <c r="B3653" s="207" t="str">
        <f>VLOOKUP(VALUE(D3653),$D$3:F$106,3,FALSE)</f>
        <v>Custodians</v>
      </c>
      <c r="C3653" s="751" t="s">
        <v>246</v>
      </c>
      <c r="D3653" s="751" t="s">
        <v>991</v>
      </c>
      <c r="E3653" s="751" t="s">
        <v>1001</v>
      </c>
      <c r="F3653" s="751" t="s">
        <v>248</v>
      </c>
      <c r="G3653" s="752" t="s">
        <v>1681</v>
      </c>
      <c r="H3653" s="753">
        <v>51000</v>
      </c>
      <c r="I3653" s="754">
        <v>0</v>
      </c>
      <c r="J3653" s="754">
        <v>0</v>
      </c>
      <c r="K3653" s="754">
        <v>0</v>
      </c>
      <c r="L3653" s="754">
        <v>0</v>
      </c>
      <c r="M3653" s="754">
        <f t="shared" si="139"/>
        <v>0</v>
      </c>
      <c r="N3653" s="756">
        <v>0</v>
      </c>
      <c r="O3653" s="720">
        <f t="shared" si="140"/>
        <v>0</v>
      </c>
    </row>
    <row r="3654" spans="1:15" x14ac:dyDescent="0.25">
      <c r="A3654" s="207" t="str">
        <f>VLOOKUP(RIGHT(E3654,3)+0,SchLocTable!$A$2:$B$47,2,FALSE)</f>
        <v>Hall</v>
      </c>
      <c r="B3654" s="207" t="str">
        <f>VLOOKUP(VALUE(D3654),$D$3:F$106,3,FALSE)</f>
        <v>Custodians</v>
      </c>
      <c r="C3654" s="751" t="s">
        <v>246</v>
      </c>
      <c r="D3654" s="751" t="s">
        <v>991</v>
      </c>
      <c r="E3654" s="751" t="s">
        <v>1001</v>
      </c>
      <c r="F3654" s="751" t="s">
        <v>919</v>
      </c>
      <c r="G3654" s="752" t="s">
        <v>1681</v>
      </c>
      <c r="H3654" s="753">
        <v>51102</v>
      </c>
      <c r="I3654" s="754">
        <v>0</v>
      </c>
      <c r="J3654" s="754">
        <v>0</v>
      </c>
      <c r="K3654" s="754">
        <v>0</v>
      </c>
      <c r="L3654" s="754">
        <v>0</v>
      </c>
      <c r="M3654" s="754">
        <f t="shared" si="139"/>
        <v>0</v>
      </c>
      <c r="N3654" s="756">
        <v>0</v>
      </c>
      <c r="O3654" s="720">
        <f t="shared" si="140"/>
        <v>0</v>
      </c>
    </row>
    <row r="3655" spans="1:15" x14ac:dyDescent="0.25">
      <c r="A3655" s="207" t="str">
        <f>VLOOKUP(RIGHT(E3655,3)+0,SchLocTable!$A$2:$B$47,2,FALSE)</f>
        <v>Hall</v>
      </c>
      <c r="B3655" s="207" t="str">
        <f>VLOOKUP(VALUE(D3655),$D$3:F$106,3,FALSE)</f>
        <v>Custodians</v>
      </c>
      <c r="C3655" s="755" t="s">
        <v>246</v>
      </c>
      <c r="D3655" s="751" t="s">
        <v>991</v>
      </c>
      <c r="E3655" s="751" t="s">
        <v>1001</v>
      </c>
      <c r="F3655" s="751" t="s">
        <v>378</v>
      </c>
      <c r="G3655" s="752" t="s">
        <v>1681</v>
      </c>
      <c r="H3655" s="753">
        <v>51108</v>
      </c>
      <c r="I3655" s="754">
        <v>0</v>
      </c>
      <c r="J3655" s="754">
        <v>0</v>
      </c>
      <c r="K3655" s="754">
        <v>0</v>
      </c>
      <c r="L3655" s="754">
        <v>0</v>
      </c>
      <c r="M3655" s="754">
        <f t="shared" si="139"/>
        <v>0</v>
      </c>
      <c r="N3655" s="756">
        <v>0</v>
      </c>
      <c r="O3655" s="720">
        <f t="shared" si="140"/>
        <v>0</v>
      </c>
    </row>
    <row r="3656" spans="1:15" x14ac:dyDescent="0.25">
      <c r="A3656" s="207" t="str">
        <f>VLOOKUP(RIGHT(E3656,3)+0,SchLocTable!$A$2:$B$47,2,FALSE)</f>
        <v>Hall</v>
      </c>
      <c r="B3656" s="207" t="str">
        <f>VLOOKUP(VALUE(D3656),$D$3:F$106,3,FALSE)</f>
        <v>Custodians</v>
      </c>
      <c r="C3656" s="751" t="s">
        <v>246</v>
      </c>
      <c r="D3656" s="751" t="s">
        <v>991</v>
      </c>
      <c r="E3656" s="751" t="s">
        <v>1001</v>
      </c>
      <c r="F3656" s="751" t="s">
        <v>380</v>
      </c>
      <c r="G3656" s="752" t="s">
        <v>1681</v>
      </c>
      <c r="H3656" s="753">
        <v>51122</v>
      </c>
      <c r="I3656" s="754">
        <v>23426.65</v>
      </c>
      <c r="J3656" s="754">
        <v>0</v>
      </c>
      <c r="K3656" s="754">
        <v>0</v>
      </c>
      <c r="L3656" s="754">
        <v>2808.94</v>
      </c>
      <c r="M3656" s="754">
        <f t="shared" si="139"/>
        <v>2808.94</v>
      </c>
      <c r="N3656" s="756">
        <v>23426.65</v>
      </c>
      <c r="O3656" s="720">
        <f t="shared" si="140"/>
        <v>0</v>
      </c>
    </row>
    <row r="3657" spans="1:15" x14ac:dyDescent="0.25">
      <c r="A3657" s="207" t="str">
        <f>VLOOKUP(RIGHT(E3657,3)+0,SchLocTable!$A$2:$B$47,2,FALSE)</f>
        <v>Hall</v>
      </c>
      <c r="B3657" s="207" t="str">
        <f>VLOOKUP(VALUE(D3657),$D$3:F$106,3,FALSE)</f>
        <v>Custodians</v>
      </c>
      <c r="C3657" s="751" t="s">
        <v>246</v>
      </c>
      <c r="D3657" s="751" t="s">
        <v>991</v>
      </c>
      <c r="E3657" s="751" t="s">
        <v>1001</v>
      </c>
      <c r="F3657" s="751" t="s">
        <v>257</v>
      </c>
      <c r="G3657" s="752" t="s">
        <v>1681</v>
      </c>
      <c r="H3657" s="753">
        <v>51140</v>
      </c>
      <c r="I3657" s="754">
        <v>1725</v>
      </c>
      <c r="J3657" s="754">
        <v>0</v>
      </c>
      <c r="K3657" s="754">
        <v>0</v>
      </c>
      <c r="L3657" s="754">
        <v>0</v>
      </c>
      <c r="M3657" s="754">
        <f t="shared" si="139"/>
        <v>0</v>
      </c>
      <c r="N3657" s="756">
        <v>1725</v>
      </c>
      <c r="O3657" s="720">
        <f t="shared" si="140"/>
        <v>0</v>
      </c>
    </row>
    <row r="3658" spans="1:15" x14ac:dyDescent="0.25">
      <c r="A3658" s="207" t="str">
        <f>VLOOKUP(RIGHT(E3658,3)+0,SchLocTable!$A$2:$B$47,2,FALSE)</f>
        <v>Hall</v>
      </c>
      <c r="B3658" s="207" t="str">
        <f>VLOOKUP(VALUE(D3658),$D$3:F$106,3,FALSE)</f>
        <v>Custodians</v>
      </c>
      <c r="C3658" s="751" t="s">
        <v>246</v>
      </c>
      <c r="D3658" s="751" t="s">
        <v>991</v>
      </c>
      <c r="E3658" s="751" t="s">
        <v>1001</v>
      </c>
      <c r="F3658" s="751" t="s">
        <v>252</v>
      </c>
      <c r="G3658" s="752" t="s">
        <v>1681</v>
      </c>
      <c r="H3658" s="753">
        <v>51154</v>
      </c>
      <c r="I3658" s="754">
        <v>0</v>
      </c>
      <c r="J3658" s="754">
        <v>0</v>
      </c>
      <c r="K3658" s="754">
        <v>0</v>
      </c>
      <c r="L3658" s="754">
        <v>0</v>
      </c>
      <c r="M3658" s="754">
        <f t="shared" si="139"/>
        <v>0</v>
      </c>
      <c r="N3658" s="756">
        <v>0</v>
      </c>
      <c r="O3658" s="720">
        <f t="shared" si="140"/>
        <v>0</v>
      </c>
    </row>
    <row r="3659" spans="1:15" x14ac:dyDescent="0.25">
      <c r="A3659" s="207" t="str">
        <f>VLOOKUP(RIGHT(E3659,3)+0,SchLocTable!$A$2:$B$47,2,FALSE)</f>
        <v>Hall</v>
      </c>
      <c r="B3659" s="207" t="str">
        <f>VLOOKUP(VALUE(D3659),$D$3:F$106,3,FALSE)</f>
        <v>Custodians</v>
      </c>
      <c r="C3659" s="751" t="s">
        <v>246</v>
      </c>
      <c r="D3659" s="751" t="s">
        <v>991</v>
      </c>
      <c r="E3659" s="751" t="s">
        <v>1001</v>
      </c>
      <c r="F3659" s="751" t="s">
        <v>326</v>
      </c>
      <c r="G3659" s="752" t="s">
        <v>1681</v>
      </c>
      <c r="H3659" s="753">
        <v>51314</v>
      </c>
      <c r="I3659" s="754">
        <v>0</v>
      </c>
      <c r="J3659" s="754">
        <v>0</v>
      </c>
      <c r="K3659" s="754">
        <v>0</v>
      </c>
      <c r="L3659" s="754">
        <v>0</v>
      </c>
      <c r="M3659" s="754">
        <f t="shared" si="139"/>
        <v>0</v>
      </c>
      <c r="N3659" s="756">
        <v>0</v>
      </c>
      <c r="O3659" s="720">
        <f t="shared" si="140"/>
        <v>0</v>
      </c>
    </row>
    <row r="3660" spans="1:15" x14ac:dyDescent="0.25">
      <c r="A3660" s="207" t="str">
        <f>VLOOKUP(RIGHT(E3660,3)+0,SchLocTable!$A$2:$B$47,2,FALSE)</f>
        <v>Hall</v>
      </c>
      <c r="B3660" s="207" t="str">
        <f>VLOOKUP(VALUE(D3660),$D$3:F$106,3,FALSE)</f>
        <v>Custodians</v>
      </c>
      <c r="C3660" s="751" t="s">
        <v>246</v>
      </c>
      <c r="D3660" s="751" t="s">
        <v>991</v>
      </c>
      <c r="E3660" s="751" t="s">
        <v>1001</v>
      </c>
      <c r="F3660" s="751" t="s">
        <v>254</v>
      </c>
      <c r="G3660" s="752" t="s">
        <v>1681</v>
      </c>
      <c r="H3660" s="753">
        <v>52360</v>
      </c>
      <c r="I3660" s="754">
        <v>339.39</v>
      </c>
      <c r="J3660" s="754">
        <v>0</v>
      </c>
      <c r="K3660" s="754">
        <v>0</v>
      </c>
      <c r="L3660" s="754">
        <v>40.43</v>
      </c>
      <c r="M3660" s="754">
        <f t="shared" si="139"/>
        <v>40.43</v>
      </c>
      <c r="N3660" s="756">
        <v>339.39</v>
      </c>
      <c r="O3660" s="720">
        <f t="shared" si="140"/>
        <v>0</v>
      </c>
    </row>
    <row r="3661" spans="1:15" x14ac:dyDescent="0.25">
      <c r="A3661" s="207" t="str">
        <f>VLOOKUP(RIGHT(E3661,3)+0,SchLocTable!$A$2:$B$47,2,FALSE)</f>
        <v>Hall</v>
      </c>
      <c r="B3661" s="207" t="str">
        <f>VLOOKUP(VALUE(D3661),$D$3:F$106,3,FALSE)</f>
        <v>Custodians</v>
      </c>
      <c r="C3661" s="755" t="s">
        <v>246</v>
      </c>
      <c r="D3661" s="751" t="s">
        <v>991</v>
      </c>
      <c r="E3661" s="751" t="s">
        <v>1001</v>
      </c>
      <c r="F3661" s="751" t="s">
        <v>331</v>
      </c>
      <c r="G3661" s="752" t="s">
        <v>1681</v>
      </c>
      <c r="H3661" s="753">
        <v>52504</v>
      </c>
      <c r="I3661" s="754">
        <v>4823.55</v>
      </c>
      <c r="J3661" s="754">
        <v>0</v>
      </c>
      <c r="K3661" s="754">
        <v>0</v>
      </c>
      <c r="L3661" s="754">
        <v>578.36</v>
      </c>
      <c r="M3661" s="754">
        <f t="shared" si="139"/>
        <v>578.36</v>
      </c>
      <c r="N3661" s="756">
        <v>4823.55</v>
      </c>
      <c r="O3661" s="720">
        <f t="shared" si="140"/>
        <v>0</v>
      </c>
    </row>
    <row r="3662" spans="1:15" x14ac:dyDescent="0.25">
      <c r="A3662" s="207" t="str">
        <f>VLOOKUP(RIGHT(E3662,3)+0,SchLocTable!$A$2:$B$47,2,FALSE)</f>
        <v>Hall</v>
      </c>
      <c r="B3662" s="207" t="str">
        <f>VLOOKUP(VALUE(D3662),$D$3:F$106,3,FALSE)</f>
        <v>Custodians</v>
      </c>
      <c r="C3662" s="751" t="s">
        <v>246</v>
      </c>
      <c r="D3662" s="751" t="s">
        <v>991</v>
      </c>
      <c r="E3662" s="751" t="s">
        <v>1001</v>
      </c>
      <c r="F3662" s="751" t="s">
        <v>259</v>
      </c>
      <c r="G3662" s="752" t="s">
        <v>1681</v>
      </c>
      <c r="H3662" s="753">
        <v>52917</v>
      </c>
      <c r="I3662" s="754">
        <v>0</v>
      </c>
      <c r="J3662" s="754">
        <v>0</v>
      </c>
      <c r="K3662" s="754">
        <v>0</v>
      </c>
      <c r="L3662" s="754">
        <v>0</v>
      </c>
      <c r="M3662" s="754">
        <f t="shared" si="139"/>
        <v>0</v>
      </c>
      <c r="N3662" s="756">
        <v>0</v>
      </c>
      <c r="O3662" s="720">
        <f t="shared" si="140"/>
        <v>0</v>
      </c>
    </row>
    <row r="3663" spans="1:15" x14ac:dyDescent="0.25">
      <c r="A3663" s="207" t="str">
        <f>VLOOKUP(RIGHT(E3663,3)+0,SchLocTable!$A$2:$B$47,2,FALSE)</f>
        <v>Hallen</v>
      </c>
      <c r="B3663" s="207" t="str">
        <f>VLOOKUP(VALUE(D3663),$D$3:F$106,3,FALSE)</f>
        <v>Custodians</v>
      </c>
      <c r="C3663" s="755" t="s">
        <v>246</v>
      </c>
      <c r="D3663" s="751" t="s">
        <v>991</v>
      </c>
      <c r="E3663" s="751" t="s">
        <v>1002</v>
      </c>
      <c r="F3663" s="751" t="s">
        <v>248</v>
      </c>
      <c r="G3663" s="752">
        <v>2</v>
      </c>
      <c r="H3663" s="753">
        <v>51000</v>
      </c>
      <c r="I3663" s="754">
        <v>127846.49</v>
      </c>
      <c r="J3663" s="754">
        <v>0</v>
      </c>
      <c r="K3663" s="754">
        <v>0</v>
      </c>
      <c r="L3663" s="754">
        <v>46911.25</v>
      </c>
      <c r="M3663" s="754">
        <f t="shared" si="139"/>
        <v>46911.25</v>
      </c>
      <c r="N3663" s="756">
        <v>127846.49</v>
      </c>
      <c r="O3663" s="720">
        <f t="shared" si="140"/>
        <v>0</v>
      </c>
    </row>
    <row r="3664" spans="1:15" x14ac:dyDescent="0.25">
      <c r="A3664" s="207" t="str">
        <f>VLOOKUP(RIGHT(E3664,3)+0,SchLocTable!$A$2:$B$47,2,FALSE)</f>
        <v>Hallen</v>
      </c>
      <c r="B3664" s="207" t="str">
        <f>VLOOKUP(VALUE(D3664),$D$3:F$106,3,FALSE)</f>
        <v>Custodians</v>
      </c>
      <c r="C3664" s="751" t="s">
        <v>246</v>
      </c>
      <c r="D3664" s="751" t="s">
        <v>991</v>
      </c>
      <c r="E3664" s="751" t="s">
        <v>1002</v>
      </c>
      <c r="F3664" s="751" t="s">
        <v>919</v>
      </c>
      <c r="G3664" s="752" t="s">
        <v>1681</v>
      </c>
      <c r="H3664" s="753">
        <v>51102</v>
      </c>
      <c r="I3664" s="754">
        <v>0</v>
      </c>
      <c r="J3664" s="754">
        <v>0</v>
      </c>
      <c r="K3664" s="754">
        <v>0</v>
      </c>
      <c r="L3664" s="754">
        <v>0</v>
      </c>
      <c r="M3664" s="754">
        <f t="shared" si="139"/>
        <v>0</v>
      </c>
      <c r="N3664" s="756">
        <v>0</v>
      </c>
      <c r="O3664" s="720">
        <f t="shared" si="140"/>
        <v>0</v>
      </c>
    </row>
    <row r="3665" spans="1:15" x14ac:dyDescent="0.25">
      <c r="A3665" s="207" t="str">
        <f>VLOOKUP(RIGHT(E3665,3)+0,SchLocTable!$A$2:$B$47,2,FALSE)</f>
        <v>Hallen</v>
      </c>
      <c r="B3665" s="207" t="str">
        <f>VLOOKUP(VALUE(D3665),$D$3:F$106,3,FALSE)</f>
        <v>Custodians</v>
      </c>
      <c r="C3665" s="751" t="s">
        <v>246</v>
      </c>
      <c r="D3665" s="751" t="s">
        <v>991</v>
      </c>
      <c r="E3665" s="751" t="s">
        <v>1002</v>
      </c>
      <c r="F3665" s="751" t="s">
        <v>378</v>
      </c>
      <c r="G3665" s="752" t="s">
        <v>1681</v>
      </c>
      <c r="H3665" s="753">
        <v>51108</v>
      </c>
      <c r="I3665" s="754">
        <v>4847.58</v>
      </c>
      <c r="J3665" s="754">
        <v>0</v>
      </c>
      <c r="K3665" s="754">
        <v>0</v>
      </c>
      <c r="L3665" s="754">
        <v>1400.62</v>
      </c>
      <c r="M3665" s="754">
        <f t="shared" si="139"/>
        <v>1400.62</v>
      </c>
      <c r="N3665" s="756">
        <v>4847.58</v>
      </c>
      <c r="O3665" s="720">
        <f t="shared" si="140"/>
        <v>0</v>
      </c>
    </row>
    <row r="3666" spans="1:15" x14ac:dyDescent="0.25">
      <c r="A3666" s="207" t="str">
        <f>VLOOKUP(RIGHT(E3666,3)+0,SchLocTable!$A$2:$B$47,2,FALSE)</f>
        <v>Hallen</v>
      </c>
      <c r="B3666" s="207" t="str">
        <f>VLOOKUP(VALUE(D3666),$D$3:F$106,3,FALSE)</f>
        <v>Custodians</v>
      </c>
      <c r="C3666" s="751" t="s">
        <v>246</v>
      </c>
      <c r="D3666" s="751" t="s">
        <v>991</v>
      </c>
      <c r="E3666" s="751" t="s">
        <v>1002</v>
      </c>
      <c r="F3666" s="751" t="s">
        <v>915</v>
      </c>
      <c r="G3666" s="752" t="s">
        <v>1681</v>
      </c>
      <c r="H3666" s="753">
        <v>51116</v>
      </c>
      <c r="I3666" s="754">
        <v>0</v>
      </c>
      <c r="J3666" s="754">
        <v>0</v>
      </c>
      <c r="K3666" s="754">
        <v>0</v>
      </c>
      <c r="L3666" s="754">
        <v>0</v>
      </c>
      <c r="M3666" s="754">
        <f t="shared" si="139"/>
        <v>0</v>
      </c>
      <c r="N3666" s="756">
        <v>0</v>
      </c>
      <c r="O3666" s="720">
        <f t="shared" si="140"/>
        <v>0</v>
      </c>
    </row>
    <row r="3667" spans="1:15" x14ac:dyDescent="0.25">
      <c r="A3667" s="207" t="str">
        <f>VLOOKUP(RIGHT(E3667,3)+0,SchLocTable!$A$2:$B$47,2,FALSE)</f>
        <v>Hallen</v>
      </c>
      <c r="B3667" s="207" t="str">
        <f>VLOOKUP(VALUE(D3667),$D$3:F$106,3,FALSE)</f>
        <v>Custodians</v>
      </c>
      <c r="C3667" s="751" t="s">
        <v>246</v>
      </c>
      <c r="D3667" s="751" t="s">
        <v>991</v>
      </c>
      <c r="E3667" s="751" t="s">
        <v>1002</v>
      </c>
      <c r="F3667" s="751" t="s">
        <v>380</v>
      </c>
      <c r="G3667" s="752" t="s">
        <v>1681</v>
      </c>
      <c r="H3667" s="753">
        <v>51122</v>
      </c>
      <c r="I3667" s="754">
        <v>33872.57</v>
      </c>
      <c r="J3667" s="754">
        <v>0</v>
      </c>
      <c r="K3667" s="754">
        <v>0</v>
      </c>
      <c r="L3667" s="754">
        <v>3984.4</v>
      </c>
      <c r="M3667" s="754">
        <f t="shared" si="139"/>
        <v>3984.4</v>
      </c>
      <c r="N3667" s="756">
        <v>33872.57</v>
      </c>
      <c r="O3667" s="720">
        <f t="shared" si="140"/>
        <v>0</v>
      </c>
    </row>
    <row r="3668" spans="1:15" x14ac:dyDescent="0.25">
      <c r="A3668" s="207" t="str">
        <f>VLOOKUP(RIGHT(E3668,3)+0,SchLocTable!$A$2:$B$47,2,FALSE)</f>
        <v>Hallen</v>
      </c>
      <c r="B3668" s="207" t="str">
        <f>VLOOKUP(VALUE(D3668),$D$3:F$106,3,FALSE)</f>
        <v>Custodians</v>
      </c>
      <c r="C3668" s="751" t="s">
        <v>246</v>
      </c>
      <c r="D3668" s="751" t="s">
        <v>991</v>
      </c>
      <c r="E3668" s="751" t="s">
        <v>1002</v>
      </c>
      <c r="F3668" s="751" t="s">
        <v>944</v>
      </c>
      <c r="G3668" s="752" t="s">
        <v>1681</v>
      </c>
      <c r="H3668" s="753">
        <v>51124</v>
      </c>
      <c r="I3668" s="754">
        <v>0</v>
      </c>
      <c r="J3668" s="754">
        <v>0</v>
      </c>
      <c r="K3668" s="754">
        <v>0</v>
      </c>
      <c r="L3668" s="754">
        <v>0</v>
      </c>
      <c r="M3668" s="754">
        <f t="shared" si="139"/>
        <v>0</v>
      </c>
      <c r="N3668" s="756">
        <v>0</v>
      </c>
      <c r="O3668" s="720">
        <f t="shared" si="140"/>
        <v>0</v>
      </c>
    </row>
    <row r="3669" spans="1:15" x14ac:dyDescent="0.25">
      <c r="A3669" s="207" t="str">
        <f>VLOOKUP(RIGHT(E3669,3)+0,SchLocTable!$A$2:$B$47,2,FALSE)</f>
        <v>Hallen</v>
      </c>
      <c r="B3669" s="207" t="str">
        <f>VLOOKUP(VALUE(D3669),$D$3:F$106,3,FALSE)</f>
        <v>Custodians</v>
      </c>
      <c r="C3669" s="751" t="s">
        <v>246</v>
      </c>
      <c r="D3669" s="751" t="s">
        <v>991</v>
      </c>
      <c r="E3669" s="751" t="s">
        <v>1002</v>
      </c>
      <c r="F3669" s="751" t="s">
        <v>945</v>
      </c>
      <c r="G3669" s="752" t="s">
        <v>1681</v>
      </c>
      <c r="H3669" s="753">
        <v>51128</v>
      </c>
      <c r="I3669" s="754">
        <v>0</v>
      </c>
      <c r="J3669" s="754">
        <v>0</v>
      </c>
      <c r="K3669" s="754">
        <v>0</v>
      </c>
      <c r="L3669" s="754">
        <v>0</v>
      </c>
      <c r="M3669" s="754">
        <f t="shared" si="139"/>
        <v>0</v>
      </c>
      <c r="N3669" s="756">
        <v>0</v>
      </c>
      <c r="O3669" s="720">
        <f t="shared" si="140"/>
        <v>0</v>
      </c>
    </row>
    <row r="3670" spans="1:15" x14ac:dyDescent="0.25">
      <c r="A3670" s="207" t="str">
        <f>VLOOKUP(RIGHT(E3670,3)+0,SchLocTable!$A$2:$B$47,2,FALSE)</f>
        <v>Hallen</v>
      </c>
      <c r="B3670" s="207" t="str">
        <f>VLOOKUP(VALUE(D3670),$D$3:F$106,3,FALSE)</f>
        <v>Custodians</v>
      </c>
      <c r="C3670" s="751" t="s">
        <v>246</v>
      </c>
      <c r="D3670" s="751" t="s">
        <v>991</v>
      </c>
      <c r="E3670" s="751" t="s">
        <v>1002</v>
      </c>
      <c r="F3670" s="751" t="s">
        <v>993</v>
      </c>
      <c r="G3670" s="752" t="s">
        <v>1681</v>
      </c>
      <c r="H3670" s="753">
        <v>51138</v>
      </c>
      <c r="I3670" s="754">
        <v>2549.46</v>
      </c>
      <c r="J3670" s="754">
        <v>0</v>
      </c>
      <c r="K3670" s="754">
        <v>0</v>
      </c>
      <c r="L3670" s="754">
        <v>675.75</v>
      </c>
      <c r="M3670" s="754">
        <f t="shared" si="139"/>
        <v>675.75</v>
      </c>
      <c r="N3670" s="756">
        <v>2549.46</v>
      </c>
      <c r="O3670" s="720">
        <f t="shared" si="140"/>
        <v>0</v>
      </c>
    </row>
    <row r="3671" spans="1:15" x14ac:dyDescent="0.25">
      <c r="A3671" s="207" t="str">
        <f>VLOOKUP(RIGHT(E3671,3)+0,SchLocTable!$A$2:$B$47,2,FALSE)</f>
        <v>Hallen</v>
      </c>
      <c r="B3671" s="207" t="str">
        <f>VLOOKUP(VALUE(D3671),$D$3:F$106,3,FALSE)</f>
        <v>Custodians</v>
      </c>
      <c r="C3671" s="751" t="s">
        <v>246</v>
      </c>
      <c r="D3671" s="751" t="s">
        <v>991</v>
      </c>
      <c r="E3671" s="751" t="s">
        <v>1002</v>
      </c>
      <c r="F3671" s="751" t="s">
        <v>257</v>
      </c>
      <c r="G3671" s="752" t="s">
        <v>1681</v>
      </c>
      <c r="H3671" s="753">
        <v>51140</v>
      </c>
      <c r="I3671" s="754">
        <v>1950</v>
      </c>
      <c r="J3671" s="754">
        <v>0</v>
      </c>
      <c r="K3671" s="754">
        <v>0</v>
      </c>
      <c r="L3671" s="754">
        <v>1050</v>
      </c>
      <c r="M3671" s="754">
        <f t="shared" si="139"/>
        <v>1050</v>
      </c>
      <c r="N3671" s="756">
        <v>1950</v>
      </c>
      <c r="O3671" s="720">
        <f t="shared" si="140"/>
        <v>0</v>
      </c>
    </row>
    <row r="3672" spans="1:15" x14ac:dyDescent="0.25">
      <c r="A3672" s="207" t="str">
        <f>VLOOKUP(RIGHT(E3672,3)+0,SchLocTable!$A$2:$B$47,2,FALSE)</f>
        <v>Hallen</v>
      </c>
      <c r="B3672" s="207" t="str">
        <f>VLOOKUP(VALUE(D3672),$D$3:F$106,3,FALSE)</f>
        <v>Custodians</v>
      </c>
      <c r="C3672" s="751" t="s">
        <v>246</v>
      </c>
      <c r="D3672" s="751" t="s">
        <v>991</v>
      </c>
      <c r="E3672" s="751" t="s">
        <v>1002</v>
      </c>
      <c r="F3672" s="751" t="s">
        <v>254</v>
      </c>
      <c r="G3672" s="752" t="s">
        <v>1681</v>
      </c>
      <c r="H3672" s="753">
        <v>52360</v>
      </c>
      <c r="I3672" s="754">
        <v>2450.89</v>
      </c>
      <c r="J3672" s="754">
        <v>0</v>
      </c>
      <c r="K3672" s="754">
        <v>0</v>
      </c>
      <c r="L3672" s="754">
        <v>766.8</v>
      </c>
      <c r="M3672" s="754">
        <f t="shared" si="139"/>
        <v>766.8</v>
      </c>
      <c r="N3672" s="756">
        <v>2450.89</v>
      </c>
      <c r="O3672" s="720">
        <f t="shared" si="140"/>
        <v>0</v>
      </c>
    </row>
    <row r="3673" spans="1:15" x14ac:dyDescent="0.25">
      <c r="A3673" s="207" t="str">
        <f>VLOOKUP(RIGHT(E3673,3)+0,SchLocTable!$A$2:$B$47,2,FALSE)</f>
        <v>Hallen</v>
      </c>
      <c r="B3673" s="207" t="str">
        <f>VLOOKUP(VALUE(D3673),$D$3:F$106,3,FALSE)</f>
        <v>Custodians</v>
      </c>
      <c r="C3673" s="751" t="s">
        <v>246</v>
      </c>
      <c r="D3673" s="751" t="s">
        <v>991</v>
      </c>
      <c r="E3673" s="751" t="s">
        <v>1002</v>
      </c>
      <c r="F3673" s="751" t="s">
        <v>292</v>
      </c>
      <c r="G3673" s="752" t="s">
        <v>1681</v>
      </c>
      <c r="H3673" s="753">
        <v>52385</v>
      </c>
      <c r="I3673" s="754">
        <v>0</v>
      </c>
      <c r="J3673" s="754">
        <v>0</v>
      </c>
      <c r="K3673" s="754">
        <v>0</v>
      </c>
      <c r="L3673" s="754">
        <v>0</v>
      </c>
      <c r="M3673" s="754">
        <f t="shared" si="139"/>
        <v>0</v>
      </c>
      <c r="N3673" s="756">
        <v>0</v>
      </c>
      <c r="O3673" s="720">
        <f t="shared" si="140"/>
        <v>0</v>
      </c>
    </row>
    <row r="3674" spans="1:15" x14ac:dyDescent="0.25">
      <c r="A3674" s="207" t="str">
        <f>VLOOKUP(RIGHT(E3674,3)+0,SchLocTable!$A$2:$B$47,2,FALSE)</f>
        <v>Hallen</v>
      </c>
      <c r="B3674" s="207" t="str">
        <f>VLOOKUP(VALUE(D3674),$D$3:F$106,3,FALSE)</f>
        <v>Custodians</v>
      </c>
      <c r="C3674" s="751" t="s">
        <v>246</v>
      </c>
      <c r="D3674" s="751" t="s">
        <v>991</v>
      </c>
      <c r="E3674" s="751" t="s">
        <v>1002</v>
      </c>
      <c r="F3674" s="751" t="s">
        <v>331</v>
      </c>
      <c r="G3674" s="752" t="s">
        <v>1681</v>
      </c>
      <c r="H3674" s="753">
        <v>52504</v>
      </c>
      <c r="I3674" s="754">
        <v>35037.199999999997</v>
      </c>
      <c r="J3674" s="754">
        <v>0</v>
      </c>
      <c r="K3674" s="754">
        <v>0</v>
      </c>
      <c r="L3674" s="754">
        <v>11123.13</v>
      </c>
      <c r="M3674" s="754">
        <f t="shared" si="139"/>
        <v>11123.13</v>
      </c>
      <c r="N3674" s="756">
        <v>35037.199999999997</v>
      </c>
      <c r="O3674" s="720">
        <f t="shared" si="140"/>
        <v>0</v>
      </c>
    </row>
    <row r="3675" spans="1:15" x14ac:dyDescent="0.25">
      <c r="A3675" s="207" t="str">
        <f>VLOOKUP(RIGHT(E3675,3)+0,SchLocTable!$A$2:$B$47,2,FALSE)</f>
        <v>Hallen</v>
      </c>
      <c r="B3675" s="207" t="str">
        <f>VLOOKUP(VALUE(D3675),$D$3:F$106,3,FALSE)</f>
        <v>Custodians</v>
      </c>
      <c r="C3675" s="751" t="s">
        <v>246</v>
      </c>
      <c r="D3675" s="751" t="s">
        <v>991</v>
      </c>
      <c r="E3675" s="751" t="s">
        <v>1002</v>
      </c>
      <c r="F3675" s="751" t="s">
        <v>259</v>
      </c>
      <c r="G3675" s="752" t="s">
        <v>1681</v>
      </c>
      <c r="H3675" s="753">
        <v>52917</v>
      </c>
      <c r="I3675" s="754">
        <v>12495.11</v>
      </c>
      <c r="J3675" s="754">
        <v>0</v>
      </c>
      <c r="K3675" s="754">
        <v>0</v>
      </c>
      <c r="L3675" s="754">
        <v>3829.92</v>
      </c>
      <c r="M3675" s="754">
        <f t="shared" si="139"/>
        <v>3829.92</v>
      </c>
      <c r="N3675" s="756">
        <v>12495.11</v>
      </c>
      <c r="O3675" s="720">
        <f t="shared" si="140"/>
        <v>0</v>
      </c>
    </row>
    <row r="3676" spans="1:15" x14ac:dyDescent="0.25">
      <c r="A3676" s="207" t="str">
        <f>VLOOKUP(RIGHT(E3676,3)+0,SchLocTable!$A$2:$B$47,2,FALSE)</f>
        <v>Hallen</v>
      </c>
      <c r="B3676" s="207" t="str">
        <f>VLOOKUP(VALUE(D3676),$D$3:F$106,3,FALSE)</f>
        <v>Custodians</v>
      </c>
      <c r="C3676" s="751" t="s">
        <v>246</v>
      </c>
      <c r="D3676" s="751" t="s">
        <v>991</v>
      </c>
      <c r="E3676" s="751" t="s">
        <v>1002</v>
      </c>
      <c r="F3676" s="751" t="s">
        <v>333</v>
      </c>
      <c r="G3676" s="752" t="s">
        <v>1681</v>
      </c>
      <c r="H3676" s="753">
        <v>52920</v>
      </c>
      <c r="I3676" s="754">
        <v>2666.68</v>
      </c>
      <c r="J3676" s="754">
        <v>0</v>
      </c>
      <c r="K3676" s="754">
        <v>0</v>
      </c>
      <c r="L3676" s="754">
        <v>0</v>
      </c>
      <c r="M3676" s="754">
        <f t="shared" si="139"/>
        <v>0</v>
      </c>
      <c r="N3676" s="756">
        <v>2666.68</v>
      </c>
      <c r="O3676" s="720">
        <f t="shared" si="140"/>
        <v>0</v>
      </c>
    </row>
    <row r="3677" spans="1:15" x14ac:dyDescent="0.25">
      <c r="A3677" s="207" t="str">
        <f>VLOOKUP(RIGHT(E3677,3)+0,SchLocTable!$A$2:$B$47,2,FALSE)</f>
        <v>Hooker</v>
      </c>
      <c r="B3677" s="207" t="str">
        <f>VLOOKUP(VALUE(D3677),$D$3:F$106,3,FALSE)</f>
        <v>Custodians</v>
      </c>
      <c r="C3677" s="751" t="s">
        <v>246</v>
      </c>
      <c r="D3677" s="751" t="s">
        <v>991</v>
      </c>
      <c r="E3677" s="751" t="s">
        <v>1003</v>
      </c>
      <c r="F3677" s="751" t="s">
        <v>248</v>
      </c>
      <c r="G3677" s="752">
        <v>2</v>
      </c>
      <c r="H3677" s="753">
        <v>51000</v>
      </c>
      <c r="I3677" s="754">
        <v>119256.5</v>
      </c>
      <c r="J3677" s="754">
        <v>0</v>
      </c>
      <c r="K3677" s="754">
        <v>0</v>
      </c>
      <c r="L3677" s="754">
        <v>38321.26</v>
      </c>
      <c r="M3677" s="754">
        <f t="shared" si="139"/>
        <v>38321.26</v>
      </c>
      <c r="N3677" s="756">
        <v>119256.5</v>
      </c>
      <c r="O3677" s="720">
        <f t="shared" si="140"/>
        <v>0</v>
      </c>
    </row>
    <row r="3678" spans="1:15" x14ac:dyDescent="0.25">
      <c r="A3678" s="207" t="str">
        <f>VLOOKUP(RIGHT(E3678,3)+0,SchLocTable!$A$2:$B$47,2,FALSE)</f>
        <v>Hooker</v>
      </c>
      <c r="B3678" s="207" t="str">
        <f>VLOOKUP(VALUE(D3678),$D$3:F$106,3,FALSE)</f>
        <v>Custodians</v>
      </c>
      <c r="C3678" s="751" t="s">
        <v>246</v>
      </c>
      <c r="D3678" s="751" t="s">
        <v>991</v>
      </c>
      <c r="E3678" s="751" t="s">
        <v>1003</v>
      </c>
      <c r="F3678" s="751" t="s">
        <v>919</v>
      </c>
      <c r="G3678" s="752" t="s">
        <v>1681</v>
      </c>
      <c r="H3678" s="753">
        <v>51102</v>
      </c>
      <c r="I3678" s="754">
        <v>0</v>
      </c>
      <c r="J3678" s="754">
        <v>0</v>
      </c>
      <c r="K3678" s="754">
        <v>0</v>
      </c>
      <c r="L3678" s="754">
        <v>0</v>
      </c>
      <c r="M3678" s="754">
        <f t="shared" si="139"/>
        <v>0</v>
      </c>
      <c r="N3678" s="756">
        <v>0</v>
      </c>
      <c r="O3678" s="720">
        <f t="shared" si="140"/>
        <v>0</v>
      </c>
    </row>
    <row r="3679" spans="1:15" x14ac:dyDescent="0.25">
      <c r="A3679" s="207" t="str">
        <f>VLOOKUP(RIGHT(E3679,3)+0,SchLocTable!$A$2:$B$47,2,FALSE)</f>
        <v>Hooker</v>
      </c>
      <c r="B3679" s="207" t="str">
        <f>VLOOKUP(VALUE(D3679),$D$3:F$106,3,FALSE)</f>
        <v>Custodians</v>
      </c>
      <c r="C3679" s="751" t="s">
        <v>246</v>
      </c>
      <c r="D3679" s="751" t="s">
        <v>991</v>
      </c>
      <c r="E3679" s="751" t="s">
        <v>1003</v>
      </c>
      <c r="F3679" s="751" t="s">
        <v>378</v>
      </c>
      <c r="G3679" s="752" t="s">
        <v>1681</v>
      </c>
      <c r="H3679" s="753">
        <v>51108</v>
      </c>
      <c r="I3679" s="754">
        <v>309.45999999999998</v>
      </c>
      <c r="J3679" s="754">
        <v>0</v>
      </c>
      <c r="K3679" s="754">
        <v>0</v>
      </c>
      <c r="L3679" s="754">
        <v>309.45999999999998</v>
      </c>
      <c r="M3679" s="754">
        <f t="shared" si="139"/>
        <v>309.45999999999998</v>
      </c>
      <c r="N3679" s="756">
        <v>309.45999999999998</v>
      </c>
      <c r="O3679" s="720">
        <f t="shared" si="140"/>
        <v>0</v>
      </c>
    </row>
    <row r="3680" spans="1:15" x14ac:dyDescent="0.25">
      <c r="A3680" s="207" t="str">
        <f>VLOOKUP(RIGHT(E3680,3)+0,SchLocTable!$A$2:$B$47,2,FALSE)</f>
        <v>Hooker</v>
      </c>
      <c r="B3680" s="207" t="str">
        <f>VLOOKUP(VALUE(D3680),$D$3:F$106,3,FALSE)</f>
        <v>Custodians</v>
      </c>
      <c r="C3680" s="751" t="s">
        <v>246</v>
      </c>
      <c r="D3680" s="751" t="s">
        <v>991</v>
      </c>
      <c r="E3680" s="751" t="s">
        <v>1003</v>
      </c>
      <c r="F3680" s="751" t="s">
        <v>380</v>
      </c>
      <c r="G3680" s="752" t="s">
        <v>1681</v>
      </c>
      <c r="H3680" s="753">
        <v>51122</v>
      </c>
      <c r="I3680" s="754">
        <v>16945.599999999999</v>
      </c>
      <c r="J3680" s="754">
        <v>0</v>
      </c>
      <c r="K3680" s="754">
        <v>0</v>
      </c>
      <c r="L3680" s="754">
        <v>3200.46</v>
      </c>
      <c r="M3680" s="754">
        <f t="shared" si="139"/>
        <v>3200.46</v>
      </c>
      <c r="N3680" s="756">
        <v>16945.599999999999</v>
      </c>
      <c r="O3680" s="720">
        <f t="shared" si="140"/>
        <v>0</v>
      </c>
    </row>
    <row r="3681" spans="1:15" x14ac:dyDescent="0.25">
      <c r="A3681" s="207" t="str">
        <f>VLOOKUP(RIGHT(E3681,3)+0,SchLocTable!$A$2:$B$47,2,FALSE)</f>
        <v>Hooker</v>
      </c>
      <c r="B3681" s="207" t="str">
        <f>VLOOKUP(VALUE(D3681),$D$3:F$106,3,FALSE)</f>
        <v>Custodians</v>
      </c>
      <c r="C3681" s="751" t="s">
        <v>246</v>
      </c>
      <c r="D3681" s="751" t="s">
        <v>991</v>
      </c>
      <c r="E3681" s="751" t="s">
        <v>1003</v>
      </c>
      <c r="F3681" s="751" t="s">
        <v>945</v>
      </c>
      <c r="G3681" s="752" t="s">
        <v>1681</v>
      </c>
      <c r="H3681" s="753">
        <v>51128</v>
      </c>
      <c r="I3681" s="754">
        <v>0</v>
      </c>
      <c r="J3681" s="754">
        <v>0</v>
      </c>
      <c r="K3681" s="754">
        <v>0</v>
      </c>
      <c r="L3681" s="754">
        <v>0</v>
      </c>
      <c r="M3681" s="754">
        <f t="shared" si="139"/>
        <v>0</v>
      </c>
      <c r="N3681" s="756">
        <v>0</v>
      </c>
      <c r="O3681" s="720">
        <f t="shared" si="140"/>
        <v>0</v>
      </c>
    </row>
    <row r="3682" spans="1:15" x14ac:dyDescent="0.25">
      <c r="A3682" s="207" t="str">
        <f>VLOOKUP(RIGHT(E3682,3)+0,SchLocTable!$A$2:$B$47,2,FALSE)</f>
        <v>Hooker</v>
      </c>
      <c r="B3682" s="207" t="str">
        <f>VLOOKUP(VALUE(D3682),$D$3:F$106,3,FALSE)</f>
        <v>Custodians</v>
      </c>
      <c r="C3682" s="751" t="s">
        <v>246</v>
      </c>
      <c r="D3682" s="751" t="s">
        <v>991</v>
      </c>
      <c r="E3682" s="751" t="s">
        <v>1003</v>
      </c>
      <c r="F3682" s="751" t="s">
        <v>1684</v>
      </c>
      <c r="G3682" s="752" t="s">
        <v>1681</v>
      </c>
      <c r="H3682" s="753">
        <v>51130</v>
      </c>
      <c r="I3682" s="754">
        <v>0</v>
      </c>
      <c r="J3682" s="754">
        <v>0</v>
      </c>
      <c r="K3682" s="754">
        <v>0</v>
      </c>
      <c r="L3682" s="754">
        <v>0</v>
      </c>
      <c r="M3682" s="754">
        <f t="shared" si="139"/>
        <v>0</v>
      </c>
      <c r="N3682" s="756">
        <v>0</v>
      </c>
      <c r="O3682" s="720">
        <f t="shared" si="140"/>
        <v>0</v>
      </c>
    </row>
    <row r="3683" spans="1:15" x14ac:dyDescent="0.25">
      <c r="A3683" s="207" t="str">
        <f>VLOOKUP(RIGHT(E3683,3)+0,SchLocTable!$A$2:$B$47,2,FALSE)</f>
        <v>Hooker</v>
      </c>
      <c r="B3683" s="207" t="str">
        <f>VLOOKUP(VALUE(D3683),$D$3:F$106,3,FALSE)</f>
        <v>Custodians</v>
      </c>
      <c r="C3683" s="751" t="s">
        <v>246</v>
      </c>
      <c r="D3683" s="751" t="s">
        <v>991</v>
      </c>
      <c r="E3683" s="751" t="s">
        <v>1003</v>
      </c>
      <c r="F3683" s="751" t="s">
        <v>993</v>
      </c>
      <c r="G3683" s="752" t="s">
        <v>1681</v>
      </c>
      <c r="H3683" s="753">
        <v>51138</v>
      </c>
      <c r="I3683" s="754">
        <v>2356.83</v>
      </c>
      <c r="J3683" s="754">
        <v>0</v>
      </c>
      <c r="K3683" s="754">
        <v>0</v>
      </c>
      <c r="L3683" s="754">
        <v>483.12</v>
      </c>
      <c r="M3683" s="754">
        <f t="shared" si="139"/>
        <v>483.12</v>
      </c>
      <c r="N3683" s="756">
        <v>2356.83</v>
      </c>
      <c r="O3683" s="720">
        <f t="shared" si="140"/>
        <v>0</v>
      </c>
    </row>
    <row r="3684" spans="1:15" x14ac:dyDescent="0.25">
      <c r="A3684" s="207" t="str">
        <f>VLOOKUP(RIGHT(E3684,3)+0,SchLocTable!$A$2:$B$47,2,FALSE)</f>
        <v>Hooker</v>
      </c>
      <c r="B3684" s="207" t="str">
        <f>VLOOKUP(VALUE(D3684),$D$3:F$106,3,FALSE)</f>
        <v>Custodians</v>
      </c>
      <c r="C3684" s="751" t="s">
        <v>246</v>
      </c>
      <c r="D3684" s="751" t="s">
        <v>991</v>
      </c>
      <c r="E3684" s="751" t="s">
        <v>1003</v>
      </c>
      <c r="F3684" s="751" t="s">
        <v>257</v>
      </c>
      <c r="G3684" s="752" t="s">
        <v>1681</v>
      </c>
      <c r="H3684" s="753">
        <v>51140</v>
      </c>
      <c r="I3684" s="754">
        <v>1200</v>
      </c>
      <c r="J3684" s="754">
        <v>0</v>
      </c>
      <c r="K3684" s="754">
        <v>0</v>
      </c>
      <c r="L3684" s="754">
        <v>0</v>
      </c>
      <c r="M3684" s="754">
        <f t="shared" si="139"/>
        <v>0</v>
      </c>
      <c r="N3684" s="756">
        <v>1200</v>
      </c>
      <c r="O3684" s="720">
        <f t="shared" si="140"/>
        <v>0</v>
      </c>
    </row>
    <row r="3685" spans="1:15" x14ac:dyDescent="0.25">
      <c r="A3685" s="207" t="str">
        <f>VLOOKUP(RIGHT(E3685,3)+0,SchLocTable!$A$2:$B$47,2,FALSE)</f>
        <v>Hooker</v>
      </c>
      <c r="B3685" s="207" t="str">
        <f>VLOOKUP(VALUE(D3685),$D$3:F$106,3,FALSE)</f>
        <v>Custodians</v>
      </c>
      <c r="C3685" s="751" t="s">
        <v>246</v>
      </c>
      <c r="D3685" s="751" t="s">
        <v>991</v>
      </c>
      <c r="E3685" s="751" t="s">
        <v>1003</v>
      </c>
      <c r="F3685" s="751" t="s">
        <v>254</v>
      </c>
      <c r="G3685" s="752" t="s">
        <v>1681</v>
      </c>
      <c r="H3685" s="753">
        <v>52360</v>
      </c>
      <c r="I3685" s="754">
        <v>1948.17</v>
      </c>
      <c r="J3685" s="754">
        <v>0</v>
      </c>
      <c r="K3685" s="754">
        <v>0</v>
      </c>
      <c r="L3685" s="754">
        <v>548.14</v>
      </c>
      <c r="M3685" s="754">
        <f t="shared" si="139"/>
        <v>548.14</v>
      </c>
      <c r="N3685" s="756">
        <v>1948.17</v>
      </c>
      <c r="O3685" s="720">
        <f t="shared" si="140"/>
        <v>0</v>
      </c>
    </row>
    <row r="3686" spans="1:15" x14ac:dyDescent="0.25">
      <c r="A3686" s="207" t="str">
        <f>VLOOKUP(RIGHT(E3686,3)+0,SchLocTable!$A$2:$B$47,2,FALSE)</f>
        <v>Hooker</v>
      </c>
      <c r="B3686" s="207" t="str">
        <f>VLOOKUP(VALUE(D3686),$D$3:F$106,3,FALSE)</f>
        <v>Custodians</v>
      </c>
      <c r="C3686" s="751" t="s">
        <v>246</v>
      </c>
      <c r="D3686" s="751" t="s">
        <v>991</v>
      </c>
      <c r="E3686" s="751" t="s">
        <v>1003</v>
      </c>
      <c r="F3686" s="751" t="s">
        <v>331</v>
      </c>
      <c r="G3686" s="752" t="s">
        <v>1681</v>
      </c>
      <c r="H3686" s="753">
        <v>52504</v>
      </c>
      <c r="I3686" s="754">
        <v>28593.06</v>
      </c>
      <c r="J3686" s="754">
        <v>0</v>
      </c>
      <c r="K3686" s="754">
        <v>0</v>
      </c>
      <c r="L3686" s="754">
        <v>8712.57</v>
      </c>
      <c r="M3686" s="754">
        <f t="shared" si="139"/>
        <v>8712.57</v>
      </c>
      <c r="N3686" s="756">
        <v>28593.06</v>
      </c>
      <c r="O3686" s="720">
        <f t="shared" si="140"/>
        <v>0</v>
      </c>
    </row>
    <row r="3687" spans="1:15" x14ac:dyDescent="0.25">
      <c r="A3687" s="207" t="str">
        <f>VLOOKUP(RIGHT(E3687,3)+0,SchLocTable!$A$2:$B$47,2,FALSE)</f>
        <v>Hooker</v>
      </c>
      <c r="B3687" s="207" t="str">
        <f>VLOOKUP(VALUE(D3687),$D$3:F$106,3,FALSE)</f>
        <v>Custodians</v>
      </c>
      <c r="C3687" s="751" t="s">
        <v>246</v>
      </c>
      <c r="D3687" s="751" t="s">
        <v>991</v>
      </c>
      <c r="E3687" s="751" t="s">
        <v>1003</v>
      </c>
      <c r="F3687" s="751" t="s">
        <v>259</v>
      </c>
      <c r="G3687" s="752" t="s">
        <v>1681</v>
      </c>
      <c r="H3687" s="753">
        <v>52917</v>
      </c>
      <c r="I3687" s="754">
        <v>45956.36</v>
      </c>
      <c r="J3687" s="754">
        <v>0</v>
      </c>
      <c r="K3687" s="754">
        <v>0</v>
      </c>
      <c r="L3687" s="754">
        <v>14086.24</v>
      </c>
      <c r="M3687" s="754">
        <f t="shared" si="139"/>
        <v>14086.24</v>
      </c>
      <c r="N3687" s="756">
        <v>45956.36</v>
      </c>
      <c r="O3687" s="720">
        <f t="shared" si="140"/>
        <v>0</v>
      </c>
    </row>
    <row r="3688" spans="1:15" x14ac:dyDescent="0.25">
      <c r="A3688" s="207" t="str">
        <f>VLOOKUP(RIGHT(E3688,3)+0,SchLocTable!$A$2:$B$47,2,FALSE)</f>
        <v>Batalla</v>
      </c>
      <c r="B3688" s="207" t="str">
        <f>VLOOKUP(VALUE(D3688),$D$3:F$106,3,FALSE)</f>
        <v>Custodians</v>
      </c>
      <c r="C3688" s="751" t="s">
        <v>246</v>
      </c>
      <c r="D3688" s="751" t="s">
        <v>991</v>
      </c>
      <c r="E3688" s="751" t="s">
        <v>1004</v>
      </c>
      <c r="F3688" s="751" t="s">
        <v>248</v>
      </c>
      <c r="G3688" s="752">
        <v>7</v>
      </c>
      <c r="H3688" s="753">
        <v>51000</v>
      </c>
      <c r="I3688" s="754">
        <v>336311.12</v>
      </c>
      <c r="J3688" s="754">
        <v>0</v>
      </c>
      <c r="K3688" s="754">
        <v>0</v>
      </c>
      <c r="L3688" s="754">
        <v>106734.97</v>
      </c>
      <c r="M3688" s="754">
        <f t="shared" si="139"/>
        <v>106734.97</v>
      </c>
      <c r="N3688" s="756">
        <v>336311.12</v>
      </c>
      <c r="O3688" s="720">
        <f t="shared" si="140"/>
        <v>0</v>
      </c>
    </row>
    <row r="3689" spans="1:15" x14ac:dyDescent="0.25">
      <c r="A3689" s="207" t="str">
        <f>VLOOKUP(RIGHT(E3689,3)+0,SchLocTable!$A$2:$B$47,2,FALSE)</f>
        <v>Batalla</v>
      </c>
      <c r="B3689" s="207" t="str">
        <f>VLOOKUP(VALUE(D3689),$D$3:F$106,3,FALSE)</f>
        <v>Custodians</v>
      </c>
      <c r="C3689" s="751" t="s">
        <v>246</v>
      </c>
      <c r="D3689" s="751" t="s">
        <v>991</v>
      </c>
      <c r="E3689" s="751" t="s">
        <v>1004</v>
      </c>
      <c r="F3689" s="751" t="s">
        <v>919</v>
      </c>
      <c r="G3689" s="752" t="s">
        <v>1681</v>
      </c>
      <c r="H3689" s="753">
        <v>51102</v>
      </c>
      <c r="I3689" s="754">
        <v>48.96</v>
      </c>
      <c r="J3689" s="754">
        <v>0</v>
      </c>
      <c r="K3689" s="754">
        <v>0</v>
      </c>
      <c r="L3689" s="754">
        <v>48.96</v>
      </c>
      <c r="M3689" s="754">
        <f t="shared" si="139"/>
        <v>48.96</v>
      </c>
      <c r="N3689" s="756">
        <v>48.96</v>
      </c>
      <c r="O3689" s="720">
        <f t="shared" si="140"/>
        <v>0</v>
      </c>
    </row>
    <row r="3690" spans="1:15" x14ac:dyDescent="0.25">
      <c r="A3690" s="207" t="str">
        <f>VLOOKUP(RIGHT(E3690,3)+0,SchLocTable!$A$2:$B$47,2,FALSE)</f>
        <v>Batalla</v>
      </c>
      <c r="B3690" s="207" t="str">
        <f>VLOOKUP(VALUE(D3690),$D$3:F$106,3,FALSE)</f>
        <v>Custodians</v>
      </c>
      <c r="C3690" s="751" t="s">
        <v>246</v>
      </c>
      <c r="D3690" s="751" t="s">
        <v>991</v>
      </c>
      <c r="E3690" s="751" t="s">
        <v>1004</v>
      </c>
      <c r="F3690" s="751" t="s">
        <v>378</v>
      </c>
      <c r="G3690" s="752" t="s">
        <v>1681</v>
      </c>
      <c r="H3690" s="753">
        <v>51108</v>
      </c>
      <c r="I3690" s="754">
        <v>33303.31</v>
      </c>
      <c r="J3690" s="754">
        <v>0</v>
      </c>
      <c r="K3690" s="754">
        <v>0</v>
      </c>
      <c r="L3690" s="754">
        <v>4782.78</v>
      </c>
      <c r="M3690" s="754">
        <f t="shared" si="139"/>
        <v>4782.78</v>
      </c>
      <c r="N3690" s="756">
        <v>33303.31</v>
      </c>
      <c r="O3690" s="720">
        <f t="shared" si="140"/>
        <v>0</v>
      </c>
    </row>
    <row r="3691" spans="1:15" x14ac:dyDescent="0.25">
      <c r="A3691" s="207" t="str">
        <f>VLOOKUP(RIGHT(E3691,3)+0,SchLocTable!$A$2:$B$47,2,FALSE)</f>
        <v>Batalla</v>
      </c>
      <c r="B3691" s="207" t="str">
        <f>VLOOKUP(VALUE(D3691),$D$3:F$106,3,FALSE)</f>
        <v>Custodians</v>
      </c>
      <c r="C3691" s="751" t="s">
        <v>246</v>
      </c>
      <c r="D3691" s="751" t="s">
        <v>991</v>
      </c>
      <c r="E3691" s="751" t="s">
        <v>1004</v>
      </c>
      <c r="F3691" s="751" t="s">
        <v>380</v>
      </c>
      <c r="G3691" s="752" t="s">
        <v>1681</v>
      </c>
      <c r="H3691" s="753">
        <v>51122</v>
      </c>
      <c r="I3691" s="754">
        <v>82132.27</v>
      </c>
      <c r="J3691" s="754">
        <v>0</v>
      </c>
      <c r="K3691" s="754">
        <v>0</v>
      </c>
      <c r="L3691" s="754">
        <v>7696.74</v>
      </c>
      <c r="M3691" s="754">
        <f t="shared" si="139"/>
        <v>7696.74</v>
      </c>
      <c r="N3691" s="756">
        <v>82132.27</v>
      </c>
      <c r="O3691" s="720">
        <f t="shared" si="140"/>
        <v>0</v>
      </c>
    </row>
    <row r="3692" spans="1:15" x14ac:dyDescent="0.25">
      <c r="A3692" s="207" t="str">
        <f>VLOOKUP(RIGHT(E3692,3)+0,SchLocTable!$A$2:$B$47,2,FALSE)</f>
        <v>Batalla</v>
      </c>
      <c r="B3692" s="207" t="str">
        <f>VLOOKUP(VALUE(D3692),$D$3:F$106,3,FALSE)</f>
        <v>Custodians</v>
      </c>
      <c r="C3692" s="751" t="s">
        <v>246</v>
      </c>
      <c r="D3692" s="751" t="s">
        <v>991</v>
      </c>
      <c r="E3692" s="751" t="s">
        <v>1004</v>
      </c>
      <c r="F3692" s="751" t="s">
        <v>944</v>
      </c>
      <c r="G3692" s="752" t="s">
        <v>1681</v>
      </c>
      <c r="H3692" s="753">
        <v>51124</v>
      </c>
      <c r="I3692" s="754">
        <v>0</v>
      </c>
      <c r="J3692" s="754">
        <v>0</v>
      </c>
      <c r="K3692" s="754">
        <v>0</v>
      </c>
      <c r="L3692" s="754">
        <v>0</v>
      </c>
      <c r="M3692" s="754">
        <f t="shared" si="139"/>
        <v>0</v>
      </c>
      <c r="N3692" s="756">
        <v>0</v>
      </c>
      <c r="O3692" s="720">
        <f t="shared" si="140"/>
        <v>0</v>
      </c>
    </row>
    <row r="3693" spans="1:15" x14ac:dyDescent="0.25">
      <c r="A3693" s="207" t="str">
        <f>VLOOKUP(RIGHT(E3693,3)+0,SchLocTable!$A$2:$B$47,2,FALSE)</f>
        <v>Batalla</v>
      </c>
      <c r="B3693" s="207" t="str">
        <f>VLOOKUP(VALUE(D3693),$D$3:F$106,3,FALSE)</f>
        <v>Custodians</v>
      </c>
      <c r="C3693" s="751" t="s">
        <v>246</v>
      </c>
      <c r="D3693" s="751" t="s">
        <v>991</v>
      </c>
      <c r="E3693" s="751" t="s">
        <v>1004</v>
      </c>
      <c r="F3693" s="751" t="s">
        <v>993</v>
      </c>
      <c r="G3693" s="752" t="s">
        <v>1681</v>
      </c>
      <c r="H3693" s="753">
        <v>51138</v>
      </c>
      <c r="I3693" s="754">
        <v>4181.88</v>
      </c>
      <c r="J3693" s="754">
        <v>0</v>
      </c>
      <c r="K3693" s="754">
        <v>0</v>
      </c>
      <c r="L3693" s="754">
        <v>851.12</v>
      </c>
      <c r="M3693" s="754">
        <f t="shared" si="139"/>
        <v>851.12</v>
      </c>
      <c r="N3693" s="756">
        <v>4181.88</v>
      </c>
      <c r="O3693" s="720">
        <f t="shared" si="140"/>
        <v>0</v>
      </c>
    </row>
    <row r="3694" spans="1:15" x14ac:dyDescent="0.25">
      <c r="A3694" s="207" t="str">
        <f>VLOOKUP(RIGHT(E3694,3)+0,SchLocTable!$A$2:$B$47,2,FALSE)</f>
        <v>Batalla</v>
      </c>
      <c r="B3694" s="207" t="str">
        <f>VLOOKUP(VALUE(D3694),$D$3:F$106,3,FALSE)</f>
        <v>Custodians</v>
      </c>
      <c r="C3694" s="751" t="s">
        <v>246</v>
      </c>
      <c r="D3694" s="751" t="s">
        <v>991</v>
      </c>
      <c r="E3694" s="751" t="s">
        <v>1004</v>
      </c>
      <c r="F3694" s="751" t="s">
        <v>257</v>
      </c>
      <c r="G3694" s="752" t="s">
        <v>1681</v>
      </c>
      <c r="H3694" s="753">
        <v>51140</v>
      </c>
      <c r="I3694" s="754">
        <v>4240.83</v>
      </c>
      <c r="J3694" s="754">
        <v>0</v>
      </c>
      <c r="K3694" s="754">
        <v>0</v>
      </c>
      <c r="L3694" s="754">
        <v>1500</v>
      </c>
      <c r="M3694" s="754">
        <f t="shared" si="139"/>
        <v>1500</v>
      </c>
      <c r="N3694" s="756">
        <v>4240.83</v>
      </c>
      <c r="O3694" s="720">
        <f t="shared" si="140"/>
        <v>0</v>
      </c>
    </row>
    <row r="3695" spans="1:15" x14ac:dyDescent="0.25">
      <c r="A3695" s="207" t="str">
        <f>VLOOKUP(RIGHT(E3695,3)+0,SchLocTable!$A$2:$B$47,2,FALSE)</f>
        <v>Batalla</v>
      </c>
      <c r="B3695" s="207" t="str">
        <f>VLOOKUP(VALUE(D3695),$D$3:F$106,3,FALSE)</f>
        <v>Custodians</v>
      </c>
      <c r="C3695" s="751" t="s">
        <v>246</v>
      </c>
      <c r="D3695" s="751" t="s">
        <v>991</v>
      </c>
      <c r="E3695" s="751" t="s">
        <v>1004</v>
      </c>
      <c r="F3695" s="751" t="s">
        <v>252</v>
      </c>
      <c r="G3695" s="752" t="s">
        <v>1681</v>
      </c>
      <c r="H3695" s="753">
        <v>51154</v>
      </c>
      <c r="I3695" s="754">
        <v>0</v>
      </c>
      <c r="J3695" s="754">
        <v>0</v>
      </c>
      <c r="K3695" s="754">
        <v>0</v>
      </c>
      <c r="L3695" s="754">
        <v>0</v>
      </c>
      <c r="M3695" s="754">
        <f t="shared" si="139"/>
        <v>0</v>
      </c>
      <c r="N3695" s="756">
        <v>0</v>
      </c>
      <c r="O3695" s="720">
        <f t="shared" si="140"/>
        <v>0</v>
      </c>
    </row>
    <row r="3696" spans="1:15" x14ac:dyDescent="0.25">
      <c r="A3696" s="207" t="str">
        <f>VLOOKUP(RIGHT(E3696,3)+0,SchLocTable!$A$2:$B$47,2,FALSE)</f>
        <v>Batalla</v>
      </c>
      <c r="B3696" s="207" t="str">
        <f>VLOOKUP(VALUE(D3696),$D$3:F$106,3,FALSE)</f>
        <v>Custodians</v>
      </c>
      <c r="C3696" s="751" t="s">
        <v>246</v>
      </c>
      <c r="D3696" s="751" t="s">
        <v>991</v>
      </c>
      <c r="E3696" s="751" t="s">
        <v>1004</v>
      </c>
      <c r="F3696" s="751" t="s">
        <v>797</v>
      </c>
      <c r="G3696" s="752" t="s">
        <v>1681</v>
      </c>
      <c r="H3696" s="753">
        <v>51156</v>
      </c>
      <c r="I3696" s="754">
        <v>0</v>
      </c>
      <c r="J3696" s="754">
        <v>0</v>
      </c>
      <c r="K3696" s="754">
        <v>0</v>
      </c>
      <c r="L3696" s="754">
        <v>0</v>
      </c>
      <c r="M3696" s="754">
        <f t="shared" si="139"/>
        <v>0</v>
      </c>
      <c r="N3696" s="756">
        <v>0</v>
      </c>
      <c r="O3696" s="720">
        <f t="shared" si="140"/>
        <v>0</v>
      </c>
    </row>
    <row r="3697" spans="1:15" x14ac:dyDescent="0.25">
      <c r="A3697" s="207" t="str">
        <f>VLOOKUP(RIGHT(E3697,3)+0,SchLocTable!$A$2:$B$47,2,FALSE)</f>
        <v>Batalla</v>
      </c>
      <c r="B3697" s="207" t="str">
        <f>VLOOKUP(VALUE(D3697),$D$3:F$106,3,FALSE)</f>
        <v>Custodians</v>
      </c>
      <c r="C3697" s="751" t="s">
        <v>246</v>
      </c>
      <c r="D3697" s="751" t="s">
        <v>991</v>
      </c>
      <c r="E3697" s="751" t="s">
        <v>1004</v>
      </c>
      <c r="F3697" s="751" t="s">
        <v>326</v>
      </c>
      <c r="G3697" s="752" t="s">
        <v>1681</v>
      </c>
      <c r="H3697" s="753">
        <v>51314</v>
      </c>
      <c r="I3697" s="754">
        <v>0</v>
      </c>
      <c r="J3697" s="754">
        <v>0</v>
      </c>
      <c r="K3697" s="754">
        <v>0</v>
      </c>
      <c r="L3697" s="754">
        <v>0</v>
      </c>
      <c r="M3697" s="754">
        <f t="shared" si="139"/>
        <v>0</v>
      </c>
      <c r="N3697" s="756">
        <v>0</v>
      </c>
      <c r="O3697" s="720">
        <f t="shared" si="140"/>
        <v>0</v>
      </c>
    </row>
    <row r="3698" spans="1:15" x14ac:dyDescent="0.25">
      <c r="A3698" s="207" t="str">
        <f>VLOOKUP(RIGHT(E3698,3)+0,SchLocTable!$A$2:$B$47,2,FALSE)</f>
        <v>Batalla</v>
      </c>
      <c r="B3698" s="207" t="str">
        <f>VLOOKUP(VALUE(D3698),$D$3:F$106,3,FALSE)</f>
        <v>Custodians</v>
      </c>
      <c r="C3698" s="751" t="s">
        <v>246</v>
      </c>
      <c r="D3698" s="751" t="s">
        <v>991</v>
      </c>
      <c r="E3698" s="751" t="s">
        <v>1004</v>
      </c>
      <c r="F3698" s="751" t="s">
        <v>328</v>
      </c>
      <c r="G3698" s="752" t="s">
        <v>1681</v>
      </c>
      <c r="H3698" s="753">
        <v>51318</v>
      </c>
      <c r="I3698" s="754">
        <v>630.19000000000005</v>
      </c>
      <c r="J3698" s="754">
        <v>0</v>
      </c>
      <c r="K3698" s="754">
        <v>0</v>
      </c>
      <c r="L3698" s="754">
        <v>0</v>
      </c>
      <c r="M3698" s="754">
        <f t="shared" si="139"/>
        <v>0</v>
      </c>
      <c r="N3698" s="756">
        <v>630.19000000000005</v>
      </c>
      <c r="O3698" s="720">
        <f t="shared" si="140"/>
        <v>0</v>
      </c>
    </row>
    <row r="3699" spans="1:15" x14ac:dyDescent="0.25">
      <c r="A3699" s="207" t="str">
        <f>VLOOKUP(RIGHT(E3699,3)+0,SchLocTable!$A$2:$B$47,2,FALSE)</f>
        <v>Batalla</v>
      </c>
      <c r="B3699" s="207" t="str">
        <f>VLOOKUP(VALUE(D3699),$D$3:F$106,3,FALSE)</f>
        <v>Custodians</v>
      </c>
      <c r="C3699" s="751" t="s">
        <v>246</v>
      </c>
      <c r="D3699" s="751" t="s">
        <v>991</v>
      </c>
      <c r="E3699" s="751" t="s">
        <v>1004</v>
      </c>
      <c r="F3699" s="751" t="s">
        <v>254</v>
      </c>
      <c r="G3699" s="752" t="s">
        <v>1681</v>
      </c>
      <c r="H3699" s="753">
        <v>52360</v>
      </c>
      <c r="I3699" s="754">
        <v>6462.23</v>
      </c>
      <c r="J3699" s="754">
        <v>0</v>
      </c>
      <c r="K3699" s="754">
        <v>0</v>
      </c>
      <c r="L3699" s="754">
        <v>1592.22</v>
      </c>
      <c r="M3699" s="754">
        <f t="shared" si="139"/>
        <v>1592.22</v>
      </c>
      <c r="N3699" s="756">
        <v>6462.23</v>
      </c>
      <c r="O3699" s="720">
        <f t="shared" si="140"/>
        <v>0</v>
      </c>
    </row>
    <row r="3700" spans="1:15" x14ac:dyDescent="0.25">
      <c r="A3700" s="207" t="str">
        <f>VLOOKUP(RIGHT(E3700,3)+0,SchLocTable!$A$2:$B$47,2,FALSE)</f>
        <v>Batalla</v>
      </c>
      <c r="B3700" s="207" t="str">
        <f>VLOOKUP(VALUE(D3700),$D$3:F$106,3,FALSE)</f>
        <v>Custodians</v>
      </c>
      <c r="C3700" s="751" t="s">
        <v>246</v>
      </c>
      <c r="D3700" s="751" t="s">
        <v>991</v>
      </c>
      <c r="E3700" s="751" t="s">
        <v>1004</v>
      </c>
      <c r="F3700" s="751" t="s">
        <v>292</v>
      </c>
      <c r="G3700" s="752" t="s">
        <v>1681</v>
      </c>
      <c r="H3700" s="753">
        <v>52385</v>
      </c>
      <c r="I3700" s="754">
        <v>0</v>
      </c>
      <c r="J3700" s="754">
        <v>0</v>
      </c>
      <c r="K3700" s="754">
        <v>0</v>
      </c>
      <c r="L3700" s="754">
        <v>0</v>
      </c>
      <c r="M3700" s="754">
        <f t="shared" si="139"/>
        <v>0</v>
      </c>
      <c r="N3700" s="756">
        <v>0</v>
      </c>
      <c r="O3700" s="720">
        <f t="shared" si="140"/>
        <v>0</v>
      </c>
    </row>
    <row r="3701" spans="1:15" x14ac:dyDescent="0.25">
      <c r="A3701" s="207" t="str">
        <f>VLOOKUP(RIGHT(E3701,3)+0,SchLocTable!$A$2:$B$47,2,FALSE)</f>
        <v>Batalla</v>
      </c>
      <c r="B3701" s="207" t="str">
        <f>VLOOKUP(VALUE(D3701),$D$3:F$106,3,FALSE)</f>
        <v>Custodians</v>
      </c>
      <c r="C3701" s="751" t="s">
        <v>246</v>
      </c>
      <c r="D3701" s="751" t="s">
        <v>991</v>
      </c>
      <c r="E3701" s="751" t="s">
        <v>1004</v>
      </c>
      <c r="F3701" s="751" t="s">
        <v>331</v>
      </c>
      <c r="G3701" s="752" t="s">
        <v>1681</v>
      </c>
      <c r="H3701" s="753">
        <v>52504</v>
      </c>
      <c r="I3701" s="754">
        <v>93988.76</v>
      </c>
      <c r="J3701" s="754">
        <v>0</v>
      </c>
      <c r="K3701" s="754">
        <v>0</v>
      </c>
      <c r="L3701" s="754">
        <v>24834.57</v>
      </c>
      <c r="M3701" s="754">
        <f t="shared" si="139"/>
        <v>24834.57</v>
      </c>
      <c r="N3701" s="756">
        <v>93988.76</v>
      </c>
      <c r="O3701" s="720">
        <f t="shared" si="140"/>
        <v>0</v>
      </c>
    </row>
    <row r="3702" spans="1:15" x14ac:dyDescent="0.25">
      <c r="A3702" s="207" t="str">
        <f>VLOOKUP(RIGHT(E3702,3)+0,SchLocTable!$A$2:$B$47,2,FALSE)</f>
        <v>Batalla</v>
      </c>
      <c r="B3702" s="207" t="str">
        <f>VLOOKUP(VALUE(D3702),$D$3:F$106,3,FALSE)</f>
        <v>Custodians</v>
      </c>
      <c r="C3702" s="751" t="s">
        <v>246</v>
      </c>
      <c r="D3702" s="751" t="s">
        <v>991</v>
      </c>
      <c r="E3702" s="751" t="s">
        <v>1004</v>
      </c>
      <c r="F3702" s="751" t="s">
        <v>259</v>
      </c>
      <c r="G3702" s="752" t="s">
        <v>1681</v>
      </c>
      <c r="H3702" s="753">
        <v>52917</v>
      </c>
      <c r="I3702" s="754">
        <v>112173.59</v>
      </c>
      <c r="J3702" s="754">
        <v>0</v>
      </c>
      <c r="K3702" s="754">
        <v>0</v>
      </c>
      <c r="L3702" s="754">
        <v>34388.839999999997</v>
      </c>
      <c r="M3702" s="754">
        <f t="shared" si="139"/>
        <v>34388.839999999997</v>
      </c>
      <c r="N3702" s="756">
        <v>112173.59</v>
      </c>
      <c r="O3702" s="720">
        <f t="shared" si="140"/>
        <v>0</v>
      </c>
    </row>
    <row r="3703" spans="1:15" x14ac:dyDescent="0.25">
      <c r="A3703" s="207" t="str">
        <f>VLOOKUP(RIGHT(E3703,3)+0,SchLocTable!$A$2:$B$47,2,FALSE)</f>
        <v>Batalla</v>
      </c>
      <c r="B3703" s="207" t="str">
        <f>VLOOKUP(VALUE(D3703),$D$3:F$106,3,FALSE)</f>
        <v>Custodians</v>
      </c>
      <c r="C3703" s="751" t="s">
        <v>246</v>
      </c>
      <c r="D3703" s="751" t="s">
        <v>991</v>
      </c>
      <c r="E3703" s="751" t="s">
        <v>1004</v>
      </c>
      <c r="F3703" s="751" t="s">
        <v>333</v>
      </c>
      <c r="G3703" s="752" t="s">
        <v>1681</v>
      </c>
      <c r="H3703" s="753">
        <v>52920</v>
      </c>
      <c r="I3703" s="754">
        <v>0</v>
      </c>
      <c r="J3703" s="754">
        <v>0</v>
      </c>
      <c r="K3703" s="754">
        <v>0</v>
      </c>
      <c r="L3703" s="754">
        <v>0</v>
      </c>
      <c r="M3703" s="754">
        <f t="shared" si="139"/>
        <v>0</v>
      </c>
      <c r="N3703" s="756">
        <v>0</v>
      </c>
      <c r="O3703" s="720">
        <f t="shared" si="140"/>
        <v>0</v>
      </c>
    </row>
    <row r="3704" spans="1:15" x14ac:dyDescent="0.25">
      <c r="A3704" s="207" t="str">
        <f>VLOOKUP(RIGHT(E3704,3)+0,SchLocTable!$A$2:$B$47,2,FALSE)</f>
        <v>Info Tech HS</v>
      </c>
      <c r="B3704" s="207" t="str">
        <f>VLOOKUP(VALUE(D3704),$D$3:F$106,3,FALSE)</f>
        <v>Custodians</v>
      </c>
      <c r="C3704" s="751" t="s">
        <v>246</v>
      </c>
      <c r="D3704" s="751" t="s">
        <v>991</v>
      </c>
      <c r="E3704" s="751" t="s">
        <v>2146</v>
      </c>
      <c r="F3704" s="751" t="s">
        <v>378</v>
      </c>
      <c r="G3704" s="752" t="s">
        <v>1681</v>
      </c>
      <c r="H3704" s="753">
        <v>51108</v>
      </c>
      <c r="I3704" s="754">
        <v>51.48</v>
      </c>
      <c r="J3704" s="754">
        <v>0</v>
      </c>
      <c r="K3704" s="754">
        <v>0</v>
      </c>
      <c r="L3704" s="754">
        <v>51.48</v>
      </c>
      <c r="M3704" s="754">
        <f t="shared" si="139"/>
        <v>51.48</v>
      </c>
      <c r="N3704" s="756">
        <v>51.48</v>
      </c>
      <c r="O3704" s="720">
        <f t="shared" si="140"/>
        <v>0</v>
      </c>
    </row>
    <row r="3705" spans="1:15" x14ac:dyDescent="0.25">
      <c r="A3705" s="207" t="str">
        <f>VLOOKUP(RIGHT(E3705,3)+0,SchLocTable!$A$2:$B$47,2,FALSE)</f>
        <v>Info Tech HS</v>
      </c>
      <c r="B3705" s="207" t="str">
        <f>VLOOKUP(VALUE(D3705),$D$3:F$106,3,FALSE)</f>
        <v>Custodians</v>
      </c>
      <c r="C3705" s="751" t="s">
        <v>246</v>
      </c>
      <c r="D3705" s="751" t="s">
        <v>991</v>
      </c>
      <c r="E3705" s="751" t="s">
        <v>2146</v>
      </c>
      <c r="F3705" s="751" t="s">
        <v>380</v>
      </c>
      <c r="G3705" s="752" t="s">
        <v>1681</v>
      </c>
      <c r="H3705" s="753">
        <v>51122</v>
      </c>
      <c r="I3705" s="754">
        <v>0</v>
      </c>
      <c r="J3705" s="754">
        <v>0</v>
      </c>
      <c r="K3705" s="754">
        <v>0</v>
      </c>
      <c r="L3705" s="754">
        <v>0</v>
      </c>
      <c r="M3705" s="754">
        <f t="shared" si="139"/>
        <v>0</v>
      </c>
      <c r="N3705" s="756">
        <v>0</v>
      </c>
      <c r="O3705" s="720">
        <f t="shared" si="140"/>
        <v>0</v>
      </c>
    </row>
    <row r="3706" spans="1:15" x14ac:dyDescent="0.25">
      <c r="A3706" s="207" t="str">
        <f>VLOOKUP(RIGHT(E3706,3)+0,SchLocTable!$A$2:$B$47,2,FALSE)</f>
        <v>Info Tech HS</v>
      </c>
      <c r="B3706" s="207" t="str">
        <f>VLOOKUP(VALUE(D3706),$D$3:F$106,3,FALSE)</f>
        <v>Custodians</v>
      </c>
      <c r="C3706" s="751" t="s">
        <v>246</v>
      </c>
      <c r="D3706" s="751" t="s">
        <v>991</v>
      </c>
      <c r="E3706" s="751" t="s">
        <v>2146</v>
      </c>
      <c r="F3706" s="751" t="s">
        <v>254</v>
      </c>
      <c r="G3706" s="752" t="s">
        <v>1681</v>
      </c>
      <c r="H3706" s="753">
        <v>52360</v>
      </c>
      <c r="I3706" s="754">
        <v>0.75</v>
      </c>
      <c r="J3706" s="754">
        <v>0</v>
      </c>
      <c r="K3706" s="754">
        <v>0</v>
      </c>
      <c r="L3706" s="754">
        <v>0.75</v>
      </c>
      <c r="M3706" s="754">
        <f t="shared" si="139"/>
        <v>0.75</v>
      </c>
      <c r="N3706" s="756">
        <v>0.75</v>
      </c>
      <c r="O3706" s="720">
        <f t="shared" si="140"/>
        <v>0</v>
      </c>
    </row>
    <row r="3707" spans="1:15" x14ac:dyDescent="0.25">
      <c r="A3707" s="207" t="str">
        <f>VLOOKUP(RIGHT(E3707,3)+0,SchLocTable!$A$2:$B$47,2,FALSE)</f>
        <v>Info Tech HS</v>
      </c>
      <c r="B3707" s="207" t="str">
        <f>VLOOKUP(VALUE(D3707),$D$3:F$106,3,FALSE)</f>
        <v>Custodians</v>
      </c>
      <c r="C3707" s="751" t="s">
        <v>246</v>
      </c>
      <c r="D3707" s="751" t="s">
        <v>991</v>
      </c>
      <c r="E3707" s="751" t="s">
        <v>2146</v>
      </c>
      <c r="F3707" s="751" t="s">
        <v>331</v>
      </c>
      <c r="G3707" s="752" t="s">
        <v>1681</v>
      </c>
      <c r="H3707" s="753">
        <v>52504</v>
      </c>
      <c r="I3707" s="754">
        <v>10.6</v>
      </c>
      <c r="J3707" s="754">
        <v>0</v>
      </c>
      <c r="K3707" s="754">
        <v>0</v>
      </c>
      <c r="L3707" s="754">
        <v>10.6</v>
      </c>
      <c r="M3707" s="754">
        <f t="shared" si="139"/>
        <v>10.6</v>
      </c>
      <c r="N3707" s="756">
        <v>10.6</v>
      </c>
      <c r="O3707" s="720">
        <f t="shared" si="140"/>
        <v>0</v>
      </c>
    </row>
    <row r="3708" spans="1:15" x14ac:dyDescent="0.25">
      <c r="A3708" s="207" t="str">
        <f>VLOOKUP(RIGHT(E3708,3)+0,SchLocTable!$A$2:$B$47,2,FALSE)</f>
        <v>BMA HS</v>
      </c>
      <c r="B3708" s="207" t="str">
        <f>VLOOKUP(VALUE(D3708),$D$3:F$106,3,FALSE)</f>
        <v>Custodians</v>
      </c>
      <c r="C3708" s="751" t="s">
        <v>246</v>
      </c>
      <c r="D3708" s="751" t="s">
        <v>991</v>
      </c>
      <c r="E3708" s="751" t="s">
        <v>1005</v>
      </c>
      <c r="F3708" s="751" t="s">
        <v>248</v>
      </c>
      <c r="G3708" s="752">
        <v>4</v>
      </c>
      <c r="H3708" s="753">
        <v>51000</v>
      </c>
      <c r="I3708" s="754">
        <v>217280.15</v>
      </c>
      <c r="J3708" s="754">
        <v>0</v>
      </c>
      <c r="K3708" s="754">
        <v>0</v>
      </c>
      <c r="L3708" s="754">
        <v>66957.94</v>
      </c>
      <c r="M3708" s="754">
        <f t="shared" si="139"/>
        <v>66957.94</v>
      </c>
      <c r="N3708" s="756">
        <v>217280.15</v>
      </c>
      <c r="O3708" s="720">
        <f t="shared" si="140"/>
        <v>0</v>
      </c>
    </row>
    <row r="3709" spans="1:15" x14ac:dyDescent="0.25">
      <c r="A3709" s="207" t="str">
        <f>VLOOKUP(RIGHT(E3709,3)+0,SchLocTable!$A$2:$B$47,2,FALSE)</f>
        <v>BMA HS</v>
      </c>
      <c r="B3709" s="207" t="str">
        <f>VLOOKUP(VALUE(D3709),$D$3:F$106,3,FALSE)</f>
        <v>Custodians</v>
      </c>
      <c r="C3709" s="751" t="s">
        <v>246</v>
      </c>
      <c r="D3709" s="751" t="s">
        <v>991</v>
      </c>
      <c r="E3709" s="751" t="s">
        <v>1005</v>
      </c>
      <c r="F3709" s="751" t="s">
        <v>919</v>
      </c>
      <c r="G3709" s="752" t="s">
        <v>1681</v>
      </c>
      <c r="H3709" s="753">
        <v>51102</v>
      </c>
      <c r="I3709" s="754">
        <v>0</v>
      </c>
      <c r="J3709" s="754">
        <v>0</v>
      </c>
      <c r="K3709" s="754">
        <v>0</v>
      </c>
      <c r="L3709" s="754">
        <v>0</v>
      </c>
      <c r="M3709" s="754">
        <f t="shared" si="139"/>
        <v>0</v>
      </c>
      <c r="N3709" s="756">
        <v>0</v>
      </c>
      <c r="O3709" s="720">
        <f t="shared" si="140"/>
        <v>0</v>
      </c>
    </row>
    <row r="3710" spans="1:15" x14ac:dyDescent="0.25">
      <c r="A3710" s="207" t="str">
        <f>VLOOKUP(RIGHT(E3710,3)+0,SchLocTable!$A$2:$B$47,2,FALSE)</f>
        <v>BMA HS</v>
      </c>
      <c r="B3710" s="207" t="str">
        <f>VLOOKUP(VALUE(D3710),$D$3:F$106,3,FALSE)</f>
        <v>Custodians</v>
      </c>
      <c r="C3710" s="751" t="s">
        <v>246</v>
      </c>
      <c r="D3710" s="751" t="s">
        <v>991</v>
      </c>
      <c r="E3710" s="751" t="s">
        <v>1005</v>
      </c>
      <c r="F3710" s="751" t="s">
        <v>378</v>
      </c>
      <c r="G3710" s="752" t="s">
        <v>1681</v>
      </c>
      <c r="H3710" s="753">
        <v>51108</v>
      </c>
      <c r="I3710" s="754">
        <v>19705.759999999998</v>
      </c>
      <c r="J3710" s="754">
        <v>0</v>
      </c>
      <c r="K3710" s="754">
        <v>0</v>
      </c>
      <c r="L3710" s="754">
        <v>4157.1400000000003</v>
      </c>
      <c r="M3710" s="754">
        <f t="shared" si="139"/>
        <v>4157.1400000000003</v>
      </c>
      <c r="N3710" s="756">
        <v>19705.759999999998</v>
      </c>
      <c r="O3710" s="720">
        <f t="shared" si="140"/>
        <v>0</v>
      </c>
    </row>
    <row r="3711" spans="1:15" x14ac:dyDescent="0.25">
      <c r="A3711" s="207" t="str">
        <f>VLOOKUP(RIGHT(E3711,3)+0,SchLocTable!$A$2:$B$47,2,FALSE)</f>
        <v>BMA HS</v>
      </c>
      <c r="B3711" s="207" t="str">
        <f>VLOOKUP(VALUE(D3711),$D$3:F$106,3,FALSE)</f>
        <v>Custodians</v>
      </c>
      <c r="C3711" s="751" t="s">
        <v>246</v>
      </c>
      <c r="D3711" s="751" t="s">
        <v>991</v>
      </c>
      <c r="E3711" s="751" t="s">
        <v>1005</v>
      </c>
      <c r="F3711" s="751" t="s">
        <v>380</v>
      </c>
      <c r="G3711" s="752" t="s">
        <v>1681</v>
      </c>
      <c r="H3711" s="753">
        <v>51122</v>
      </c>
      <c r="I3711" s="754">
        <v>35107.82</v>
      </c>
      <c r="J3711" s="754">
        <v>0</v>
      </c>
      <c r="K3711" s="754">
        <v>0</v>
      </c>
      <c r="L3711" s="754">
        <v>7087.93</v>
      </c>
      <c r="M3711" s="754">
        <f t="shared" ref="M3711:M3774" si="141">SUM(J3711:L3711)</f>
        <v>7087.93</v>
      </c>
      <c r="N3711" s="756">
        <v>35107.82</v>
      </c>
      <c r="O3711" s="720">
        <f t="shared" ref="O3711:O3774" si="142">I3711-N3711</f>
        <v>0</v>
      </c>
    </row>
    <row r="3712" spans="1:15" x14ac:dyDescent="0.25">
      <c r="A3712" s="207" t="str">
        <f>VLOOKUP(RIGHT(E3712,3)+0,SchLocTable!$A$2:$B$47,2,FALSE)</f>
        <v>BMA HS</v>
      </c>
      <c r="B3712" s="207" t="str">
        <f>VLOOKUP(VALUE(D3712),$D$3:F$106,3,FALSE)</f>
        <v>Custodians</v>
      </c>
      <c r="C3712" s="751" t="s">
        <v>246</v>
      </c>
      <c r="D3712" s="751" t="s">
        <v>991</v>
      </c>
      <c r="E3712" s="751" t="s">
        <v>1005</v>
      </c>
      <c r="F3712" s="751" t="s">
        <v>993</v>
      </c>
      <c r="G3712" s="752" t="s">
        <v>1681</v>
      </c>
      <c r="H3712" s="753">
        <v>51138</v>
      </c>
      <c r="I3712" s="754">
        <v>4448.87</v>
      </c>
      <c r="J3712" s="754">
        <v>0</v>
      </c>
      <c r="K3712" s="754">
        <v>0</v>
      </c>
      <c r="L3712" s="754">
        <v>874.08</v>
      </c>
      <c r="M3712" s="754">
        <f t="shared" si="141"/>
        <v>874.08</v>
      </c>
      <c r="N3712" s="756">
        <v>4448.87</v>
      </c>
      <c r="O3712" s="720">
        <f t="shared" si="142"/>
        <v>0</v>
      </c>
    </row>
    <row r="3713" spans="1:15" x14ac:dyDescent="0.25">
      <c r="A3713" s="207" t="str">
        <f>VLOOKUP(RIGHT(E3713,3)+0,SchLocTable!$A$2:$B$47,2,FALSE)</f>
        <v>BMA HS</v>
      </c>
      <c r="B3713" s="207" t="str">
        <f>VLOOKUP(VALUE(D3713),$D$3:F$106,3,FALSE)</f>
        <v>Custodians</v>
      </c>
      <c r="C3713" s="751" t="s">
        <v>246</v>
      </c>
      <c r="D3713" s="751" t="s">
        <v>991</v>
      </c>
      <c r="E3713" s="751" t="s">
        <v>1005</v>
      </c>
      <c r="F3713" s="751" t="s">
        <v>257</v>
      </c>
      <c r="G3713" s="752" t="s">
        <v>1681</v>
      </c>
      <c r="H3713" s="753">
        <v>51140</v>
      </c>
      <c r="I3713" s="754">
        <v>1900</v>
      </c>
      <c r="J3713" s="754">
        <v>0</v>
      </c>
      <c r="K3713" s="754">
        <v>0</v>
      </c>
      <c r="L3713" s="754">
        <v>0</v>
      </c>
      <c r="M3713" s="754">
        <f t="shared" si="141"/>
        <v>0</v>
      </c>
      <c r="N3713" s="756">
        <v>1900</v>
      </c>
      <c r="O3713" s="720">
        <f t="shared" si="142"/>
        <v>0</v>
      </c>
    </row>
    <row r="3714" spans="1:15" x14ac:dyDescent="0.25">
      <c r="A3714" s="207" t="str">
        <f>VLOOKUP(RIGHT(E3714,3)+0,SchLocTable!$A$2:$B$47,2,FALSE)</f>
        <v>BMA HS</v>
      </c>
      <c r="B3714" s="207" t="str">
        <f>VLOOKUP(VALUE(D3714),$D$3:F$106,3,FALSE)</f>
        <v>Custodians</v>
      </c>
      <c r="C3714" s="751" t="s">
        <v>246</v>
      </c>
      <c r="D3714" s="751" t="s">
        <v>991</v>
      </c>
      <c r="E3714" s="751" t="s">
        <v>1005</v>
      </c>
      <c r="F3714" s="751" t="s">
        <v>797</v>
      </c>
      <c r="G3714" s="752" t="s">
        <v>1681</v>
      </c>
      <c r="H3714" s="753">
        <v>51156</v>
      </c>
      <c r="I3714" s="754">
        <v>0</v>
      </c>
      <c r="J3714" s="754">
        <v>0</v>
      </c>
      <c r="K3714" s="754">
        <v>0</v>
      </c>
      <c r="L3714" s="754">
        <v>0</v>
      </c>
      <c r="M3714" s="754">
        <f t="shared" si="141"/>
        <v>0</v>
      </c>
      <c r="N3714" s="756">
        <v>0</v>
      </c>
      <c r="O3714" s="720">
        <f t="shared" si="142"/>
        <v>0</v>
      </c>
    </row>
    <row r="3715" spans="1:15" x14ac:dyDescent="0.25">
      <c r="A3715" s="207" t="str">
        <f>VLOOKUP(RIGHT(E3715,3)+0,SchLocTable!$A$2:$B$47,2,FALSE)</f>
        <v>BMA HS</v>
      </c>
      <c r="B3715" s="207" t="str">
        <f>VLOOKUP(VALUE(D3715),$D$3:F$106,3,FALSE)</f>
        <v>Custodians</v>
      </c>
      <c r="C3715" s="751" t="s">
        <v>246</v>
      </c>
      <c r="D3715" s="751" t="s">
        <v>991</v>
      </c>
      <c r="E3715" s="751" t="s">
        <v>1005</v>
      </c>
      <c r="F3715" s="751" t="s">
        <v>254</v>
      </c>
      <c r="G3715" s="752" t="s">
        <v>1681</v>
      </c>
      <c r="H3715" s="753">
        <v>52360</v>
      </c>
      <c r="I3715" s="754">
        <v>3950.17</v>
      </c>
      <c r="J3715" s="754">
        <v>0</v>
      </c>
      <c r="K3715" s="754">
        <v>0</v>
      </c>
      <c r="L3715" s="754">
        <v>1086.92</v>
      </c>
      <c r="M3715" s="754">
        <f t="shared" si="141"/>
        <v>1086.92</v>
      </c>
      <c r="N3715" s="756">
        <v>3950.17</v>
      </c>
      <c r="O3715" s="720">
        <f t="shared" si="142"/>
        <v>0</v>
      </c>
    </row>
    <row r="3716" spans="1:15" x14ac:dyDescent="0.25">
      <c r="A3716" s="207" t="str">
        <f>VLOOKUP(RIGHT(E3716,3)+0,SchLocTable!$A$2:$B$47,2,FALSE)</f>
        <v>BMA HS</v>
      </c>
      <c r="B3716" s="207" t="str">
        <f>VLOOKUP(VALUE(D3716),$D$3:F$106,3,FALSE)</f>
        <v>Custodians</v>
      </c>
      <c r="C3716" s="751" t="s">
        <v>246</v>
      </c>
      <c r="D3716" s="751" t="s">
        <v>991</v>
      </c>
      <c r="E3716" s="751" t="s">
        <v>1005</v>
      </c>
      <c r="F3716" s="751" t="s">
        <v>292</v>
      </c>
      <c r="G3716" s="752" t="s">
        <v>1681</v>
      </c>
      <c r="H3716" s="753">
        <v>52385</v>
      </c>
      <c r="I3716" s="754">
        <v>2245.29</v>
      </c>
      <c r="J3716" s="754">
        <v>0</v>
      </c>
      <c r="K3716" s="754">
        <v>0</v>
      </c>
      <c r="L3716" s="754">
        <v>693.03</v>
      </c>
      <c r="M3716" s="754">
        <f t="shared" si="141"/>
        <v>693.03</v>
      </c>
      <c r="N3716" s="756">
        <v>2245.29</v>
      </c>
      <c r="O3716" s="720">
        <f t="shared" si="142"/>
        <v>0</v>
      </c>
    </row>
    <row r="3717" spans="1:15" x14ac:dyDescent="0.25">
      <c r="A3717" s="207" t="str">
        <f>VLOOKUP(RIGHT(E3717,3)+0,SchLocTable!$A$2:$B$47,2,FALSE)</f>
        <v>BMA HS</v>
      </c>
      <c r="B3717" s="207" t="str">
        <f>VLOOKUP(VALUE(D3717),$D$3:F$106,3,FALSE)</f>
        <v>Custodians</v>
      </c>
      <c r="C3717" s="751" t="s">
        <v>246</v>
      </c>
      <c r="D3717" s="751" t="s">
        <v>991</v>
      </c>
      <c r="E3717" s="751" t="s">
        <v>1005</v>
      </c>
      <c r="F3717" s="751" t="s">
        <v>331</v>
      </c>
      <c r="G3717" s="752" t="s">
        <v>1681</v>
      </c>
      <c r="H3717" s="753">
        <v>52504</v>
      </c>
      <c r="I3717" s="754">
        <v>54638.559999999998</v>
      </c>
      <c r="J3717" s="754">
        <v>0</v>
      </c>
      <c r="K3717" s="754">
        <v>0</v>
      </c>
      <c r="L3717" s="754">
        <v>13980.41</v>
      </c>
      <c r="M3717" s="754">
        <f t="shared" si="141"/>
        <v>13980.41</v>
      </c>
      <c r="N3717" s="756">
        <v>54638.559999999998</v>
      </c>
      <c r="O3717" s="720">
        <f t="shared" si="142"/>
        <v>0</v>
      </c>
    </row>
    <row r="3718" spans="1:15" x14ac:dyDescent="0.25">
      <c r="A3718" s="207" t="str">
        <f>VLOOKUP(RIGHT(E3718,3)+0,SchLocTable!$A$2:$B$47,2,FALSE)</f>
        <v>BMA HS</v>
      </c>
      <c r="B3718" s="207" t="str">
        <f>VLOOKUP(VALUE(D3718),$D$3:F$106,3,FALSE)</f>
        <v>Custodians</v>
      </c>
      <c r="C3718" s="751" t="s">
        <v>246</v>
      </c>
      <c r="D3718" s="751" t="s">
        <v>991</v>
      </c>
      <c r="E3718" s="751" t="s">
        <v>1005</v>
      </c>
      <c r="F3718" s="751" t="s">
        <v>259</v>
      </c>
      <c r="G3718" s="752" t="s">
        <v>1681</v>
      </c>
      <c r="H3718" s="753">
        <v>52917</v>
      </c>
      <c r="I3718" s="754">
        <v>39209.51</v>
      </c>
      <c r="J3718" s="754">
        <v>0</v>
      </c>
      <c r="K3718" s="754">
        <v>0</v>
      </c>
      <c r="L3718" s="754">
        <v>12018.24</v>
      </c>
      <c r="M3718" s="754">
        <f t="shared" si="141"/>
        <v>12018.24</v>
      </c>
      <c r="N3718" s="756">
        <v>39209.51</v>
      </c>
      <c r="O3718" s="720">
        <f t="shared" si="142"/>
        <v>0</v>
      </c>
    </row>
    <row r="3719" spans="1:15" x14ac:dyDescent="0.25">
      <c r="A3719" s="207" t="str">
        <f>VLOOKUP(RIGHT(E3719,3)+0,SchLocTable!$A$2:$B$47,2,FALSE)</f>
        <v>BMA HS</v>
      </c>
      <c r="B3719" s="207" t="str">
        <f>VLOOKUP(VALUE(D3719),$D$3:F$106,3,FALSE)</f>
        <v>Custodians</v>
      </c>
      <c r="C3719" s="751" t="s">
        <v>246</v>
      </c>
      <c r="D3719" s="751" t="s">
        <v>991</v>
      </c>
      <c r="E3719" s="751" t="s">
        <v>1005</v>
      </c>
      <c r="F3719" s="751" t="s">
        <v>333</v>
      </c>
      <c r="G3719" s="752" t="s">
        <v>1681</v>
      </c>
      <c r="H3719" s="753">
        <v>52920</v>
      </c>
      <c r="I3719" s="754">
        <v>916.68</v>
      </c>
      <c r="J3719" s="754">
        <v>0</v>
      </c>
      <c r="K3719" s="754">
        <v>0</v>
      </c>
      <c r="L3719" s="754">
        <v>0</v>
      </c>
      <c r="M3719" s="754">
        <f t="shared" si="141"/>
        <v>0</v>
      </c>
      <c r="N3719" s="756">
        <v>916.68</v>
      </c>
      <c r="O3719" s="720">
        <f t="shared" si="142"/>
        <v>0</v>
      </c>
    </row>
    <row r="3720" spans="1:15" x14ac:dyDescent="0.25">
      <c r="A3720" s="207" t="str">
        <f>VLOOKUP(RIGHT(E3720,3)+0,SchLocTable!$A$2:$B$47,2,FALSE)</f>
        <v>Park City Magnet</v>
      </c>
      <c r="B3720" s="207" t="str">
        <f>VLOOKUP(VALUE(D3720),$D$3:F$106,3,FALSE)</f>
        <v>Custodians</v>
      </c>
      <c r="C3720" s="751" t="s">
        <v>246</v>
      </c>
      <c r="D3720" s="751" t="s">
        <v>991</v>
      </c>
      <c r="E3720" s="751" t="s">
        <v>1006</v>
      </c>
      <c r="F3720" s="751" t="s">
        <v>248</v>
      </c>
      <c r="G3720" s="752">
        <v>2</v>
      </c>
      <c r="H3720" s="753">
        <v>51000</v>
      </c>
      <c r="I3720" s="754">
        <v>101299.2</v>
      </c>
      <c r="J3720" s="754">
        <v>0</v>
      </c>
      <c r="K3720" s="754">
        <v>0</v>
      </c>
      <c r="L3720" s="754">
        <v>29762.42</v>
      </c>
      <c r="M3720" s="754">
        <f t="shared" si="141"/>
        <v>29762.42</v>
      </c>
      <c r="N3720" s="756">
        <v>101299.2</v>
      </c>
      <c r="O3720" s="720">
        <f t="shared" si="142"/>
        <v>0</v>
      </c>
    </row>
    <row r="3721" spans="1:15" x14ac:dyDescent="0.25">
      <c r="A3721" s="207" t="str">
        <f>VLOOKUP(RIGHT(E3721,3)+0,SchLocTable!$A$2:$B$47,2,FALSE)</f>
        <v>Park City Magnet</v>
      </c>
      <c r="B3721" s="207" t="str">
        <f>VLOOKUP(VALUE(D3721),$D$3:F$106,3,FALSE)</f>
        <v>Custodians</v>
      </c>
      <c r="C3721" s="751" t="s">
        <v>246</v>
      </c>
      <c r="D3721" s="751" t="s">
        <v>991</v>
      </c>
      <c r="E3721" s="751" t="s">
        <v>1006</v>
      </c>
      <c r="F3721" s="751" t="s">
        <v>919</v>
      </c>
      <c r="G3721" s="752" t="s">
        <v>1681</v>
      </c>
      <c r="H3721" s="753">
        <v>51102</v>
      </c>
      <c r="I3721" s="754">
        <v>0</v>
      </c>
      <c r="J3721" s="754">
        <v>0</v>
      </c>
      <c r="K3721" s="754">
        <v>0</v>
      </c>
      <c r="L3721" s="754">
        <v>0</v>
      </c>
      <c r="M3721" s="754">
        <f t="shared" si="141"/>
        <v>0</v>
      </c>
      <c r="N3721" s="756">
        <v>0</v>
      </c>
      <c r="O3721" s="720">
        <f t="shared" si="142"/>
        <v>0</v>
      </c>
    </row>
    <row r="3722" spans="1:15" x14ac:dyDescent="0.25">
      <c r="A3722" s="207" t="str">
        <f>VLOOKUP(RIGHT(E3722,3)+0,SchLocTable!$A$2:$B$47,2,FALSE)</f>
        <v>Park City Magnet</v>
      </c>
      <c r="B3722" s="207" t="str">
        <f>VLOOKUP(VALUE(D3722),$D$3:F$106,3,FALSE)</f>
        <v>Custodians</v>
      </c>
      <c r="C3722" s="751" t="s">
        <v>246</v>
      </c>
      <c r="D3722" s="751" t="s">
        <v>991</v>
      </c>
      <c r="E3722" s="751" t="s">
        <v>1006</v>
      </c>
      <c r="F3722" s="751" t="s">
        <v>378</v>
      </c>
      <c r="G3722" s="752" t="s">
        <v>1681</v>
      </c>
      <c r="H3722" s="753">
        <v>51108</v>
      </c>
      <c r="I3722" s="754">
        <v>2185.0100000000002</v>
      </c>
      <c r="J3722" s="754">
        <v>0</v>
      </c>
      <c r="K3722" s="754">
        <v>0</v>
      </c>
      <c r="L3722" s="754">
        <v>2185.0100000000002</v>
      </c>
      <c r="M3722" s="754">
        <f t="shared" si="141"/>
        <v>2185.0100000000002</v>
      </c>
      <c r="N3722" s="756">
        <v>2185.0100000000002</v>
      </c>
      <c r="O3722" s="720">
        <f t="shared" si="142"/>
        <v>0</v>
      </c>
    </row>
    <row r="3723" spans="1:15" x14ac:dyDescent="0.25">
      <c r="A3723" s="207" t="str">
        <f>VLOOKUP(RIGHT(E3723,3)+0,SchLocTable!$A$2:$B$47,2,FALSE)</f>
        <v>Park City Magnet</v>
      </c>
      <c r="B3723" s="207" t="str">
        <f>VLOOKUP(VALUE(D3723),$D$3:F$106,3,FALSE)</f>
        <v>Custodians</v>
      </c>
      <c r="C3723" s="751" t="s">
        <v>246</v>
      </c>
      <c r="D3723" s="751" t="s">
        <v>991</v>
      </c>
      <c r="E3723" s="751" t="s">
        <v>1006</v>
      </c>
      <c r="F3723" s="751" t="s">
        <v>380</v>
      </c>
      <c r="G3723" s="752" t="s">
        <v>1681</v>
      </c>
      <c r="H3723" s="753">
        <v>51122</v>
      </c>
      <c r="I3723" s="754">
        <v>3445.09</v>
      </c>
      <c r="J3723" s="754">
        <v>0</v>
      </c>
      <c r="K3723" s="754">
        <v>0</v>
      </c>
      <c r="L3723" s="754">
        <v>3445.09</v>
      </c>
      <c r="M3723" s="754">
        <f t="shared" si="141"/>
        <v>3445.09</v>
      </c>
      <c r="N3723" s="756">
        <v>3445.09</v>
      </c>
      <c r="O3723" s="720">
        <f t="shared" si="142"/>
        <v>0</v>
      </c>
    </row>
    <row r="3724" spans="1:15" x14ac:dyDescent="0.25">
      <c r="A3724" s="207" t="str">
        <f>VLOOKUP(RIGHT(E3724,3)+0,SchLocTable!$A$2:$B$47,2,FALSE)</f>
        <v>Park City Magnet</v>
      </c>
      <c r="B3724" s="207" t="str">
        <f>VLOOKUP(VALUE(D3724),$D$3:F$106,3,FALSE)</f>
        <v>Custodians</v>
      </c>
      <c r="C3724" s="751" t="s">
        <v>246</v>
      </c>
      <c r="D3724" s="751" t="s">
        <v>991</v>
      </c>
      <c r="E3724" s="751" t="s">
        <v>1006</v>
      </c>
      <c r="F3724" s="751" t="s">
        <v>993</v>
      </c>
      <c r="G3724" s="752" t="s">
        <v>1681</v>
      </c>
      <c r="H3724" s="753">
        <v>51138</v>
      </c>
      <c r="I3724" s="754">
        <v>424.6</v>
      </c>
      <c r="J3724" s="754">
        <v>0</v>
      </c>
      <c r="K3724" s="754">
        <v>0</v>
      </c>
      <c r="L3724" s="754">
        <v>112.19</v>
      </c>
      <c r="M3724" s="754">
        <f t="shared" si="141"/>
        <v>112.19</v>
      </c>
      <c r="N3724" s="756">
        <v>424.6</v>
      </c>
      <c r="O3724" s="720">
        <f t="shared" si="142"/>
        <v>0</v>
      </c>
    </row>
    <row r="3725" spans="1:15" x14ac:dyDescent="0.25">
      <c r="A3725" s="207" t="str">
        <f>VLOOKUP(RIGHT(E3725,3)+0,SchLocTable!$A$2:$B$47,2,FALSE)</f>
        <v>Park City Magnet</v>
      </c>
      <c r="B3725" s="207" t="str">
        <f>VLOOKUP(VALUE(D3725),$D$3:F$106,3,FALSE)</f>
        <v>Custodians</v>
      </c>
      <c r="C3725" s="751" t="s">
        <v>246</v>
      </c>
      <c r="D3725" s="751" t="s">
        <v>991</v>
      </c>
      <c r="E3725" s="751" t="s">
        <v>1006</v>
      </c>
      <c r="F3725" s="751" t="s">
        <v>257</v>
      </c>
      <c r="G3725" s="752" t="s">
        <v>1681</v>
      </c>
      <c r="H3725" s="753">
        <v>51140</v>
      </c>
      <c r="I3725" s="754">
        <v>1275</v>
      </c>
      <c r="J3725" s="754">
        <v>0</v>
      </c>
      <c r="K3725" s="754">
        <v>0</v>
      </c>
      <c r="L3725" s="754">
        <v>0</v>
      </c>
      <c r="M3725" s="754">
        <f t="shared" si="141"/>
        <v>0</v>
      </c>
      <c r="N3725" s="756">
        <v>1275</v>
      </c>
      <c r="O3725" s="720">
        <f t="shared" si="142"/>
        <v>0</v>
      </c>
    </row>
    <row r="3726" spans="1:15" x14ac:dyDescent="0.25">
      <c r="A3726" s="207" t="str">
        <f>VLOOKUP(RIGHT(E3726,3)+0,SchLocTable!$A$2:$B$47,2,FALSE)</f>
        <v>Park City Magnet</v>
      </c>
      <c r="B3726" s="207" t="str">
        <f>VLOOKUP(VALUE(D3726),$D$3:F$106,3,FALSE)</f>
        <v>Custodians</v>
      </c>
      <c r="C3726" s="751" t="s">
        <v>246</v>
      </c>
      <c r="D3726" s="751" t="s">
        <v>991</v>
      </c>
      <c r="E3726" s="751" t="s">
        <v>1006</v>
      </c>
      <c r="F3726" s="751" t="s">
        <v>254</v>
      </c>
      <c r="G3726" s="752" t="s">
        <v>1681</v>
      </c>
      <c r="H3726" s="753">
        <v>52360</v>
      </c>
      <c r="I3726" s="754">
        <v>1512.07</v>
      </c>
      <c r="J3726" s="754">
        <v>0</v>
      </c>
      <c r="K3726" s="754">
        <v>0</v>
      </c>
      <c r="L3726" s="754">
        <v>470.26</v>
      </c>
      <c r="M3726" s="754">
        <f t="shared" si="141"/>
        <v>470.26</v>
      </c>
      <c r="N3726" s="756">
        <v>1512.07</v>
      </c>
      <c r="O3726" s="720">
        <f t="shared" si="142"/>
        <v>0</v>
      </c>
    </row>
    <row r="3727" spans="1:15" x14ac:dyDescent="0.25">
      <c r="A3727" s="207" t="str">
        <f>VLOOKUP(RIGHT(E3727,3)+0,SchLocTable!$A$2:$B$47,2,FALSE)</f>
        <v>Park City Magnet</v>
      </c>
      <c r="B3727" s="207" t="str">
        <f>VLOOKUP(VALUE(D3727),$D$3:F$106,3,FALSE)</f>
        <v>Custodians</v>
      </c>
      <c r="C3727" s="751" t="s">
        <v>246</v>
      </c>
      <c r="D3727" s="751" t="s">
        <v>991</v>
      </c>
      <c r="E3727" s="751" t="s">
        <v>1006</v>
      </c>
      <c r="F3727" s="751" t="s">
        <v>292</v>
      </c>
      <c r="G3727" s="752" t="s">
        <v>1681</v>
      </c>
      <c r="H3727" s="753">
        <v>52385</v>
      </c>
      <c r="I3727" s="754">
        <v>1721.2</v>
      </c>
      <c r="J3727" s="754">
        <v>0</v>
      </c>
      <c r="K3727" s="754">
        <v>0</v>
      </c>
      <c r="L3727" s="754">
        <v>404.97</v>
      </c>
      <c r="M3727" s="754">
        <f t="shared" si="141"/>
        <v>404.97</v>
      </c>
      <c r="N3727" s="756">
        <v>1721.2</v>
      </c>
      <c r="O3727" s="720">
        <f t="shared" si="142"/>
        <v>0</v>
      </c>
    </row>
    <row r="3728" spans="1:15" x14ac:dyDescent="0.25">
      <c r="A3728" s="207" t="str">
        <f>VLOOKUP(RIGHT(E3728,3)+0,SchLocTable!$A$2:$B$47,2,FALSE)</f>
        <v>Park City Magnet</v>
      </c>
      <c r="B3728" s="207" t="str">
        <f>VLOOKUP(VALUE(D3728),$D$3:F$106,3,FALSE)</f>
        <v>Custodians</v>
      </c>
      <c r="C3728" s="751" t="s">
        <v>246</v>
      </c>
      <c r="D3728" s="751" t="s">
        <v>991</v>
      </c>
      <c r="E3728" s="751" t="s">
        <v>1006</v>
      </c>
      <c r="F3728" s="751" t="s">
        <v>331</v>
      </c>
      <c r="G3728" s="752" t="s">
        <v>1681</v>
      </c>
      <c r="H3728" s="753">
        <v>52504</v>
      </c>
      <c r="I3728" s="754">
        <v>20694.2</v>
      </c>
      <c r="J3728" s="754">
        <v>0</v>
      </c>
      <c r="K3728" s="754">
        <v>0</v>
      </c>
      <c r="L3728" s="754">
        <v>5900.45</v>
      </c>
      <c r="M3728" s="754">
        <f t="shared" si="141"/>
        <v>5900.45</v>
      </c>
      <c r="N3728" s="756">
        <v>20694.2</v>
      </c>
      <c r="O3728" s="720">
        <f t="shared" si="142"/>
        <v>0</v>
      </c>
    </row>
    <row r="3729" spans="1:15" x14ac:dyDescent="0.25">
      <c r="A3729" s="207" t="str">
        <f>VLOOKUP(RIGHT(E3729,3)+0,SchLocTable!$A$2:$B$47,2,FALSE)</f>
        <v>Park City Magnet</v>
      </c>
      <c r="B3729" s="207" t="str">
        <f>VLOOKUP(VALUE(D3729),$D$3:F$106,3,FALSE)</f>
        <v>Custodians</v>
      </c>
      <c r="C3729" s="751" t="s">
        <v>246</v>
      </c>
      <c r="D3729" s="751" t="s">
        <v>991</v>
      </c>
      <c r="E3729" s="751" t="s">
        <v>1006</v>
      </c>
      <c r="F3729" s="751" t="s">
        <v>259</v>
      </c>
      <c r="G3729" s="752" t="s">
        <v>1681</v>
      </c>
      <c r="H3729" s="753">
        <v>52917</v>
      </c>
      <c r="I3729" s="754">
        <v>35252.36</v>
      </c>
      <c r="J3729" s="754">
        <v>0</v>
      </c>
      <c r="K3729" s="754">
        <v>0</v>
      </c>
      <c r="L3729" s="754">
        <v>9110.17</v>
      </c>
      <c r="M3729" s="754">
        <f t="shared" si="141"/>
        <v>9110.17</v>
      </c>
      <c r="N3729" s="756">
        <v>35252.36</v>
      </c>
      <c r="O3729" s="720">
        <f t="shared" si="142"/>
        <v>0</v>
      </c>
    </row>
    <row r="3730" spans="1:15" x14ac:dyDescent="0.25">
      <c r="A3730" s="207" t="str">
        <f>VLOOKUP(RIGHT(E3730,3)+0,SchLocTable!$A$2:$B$47,2,FALSE)</f>
        <v>Madison</v>
      </c>
      <c r="B3730" s="207" t="str">
        <f>VLOOKUP(VALUE(D3730),$D$3:F$106,3,FALSE)</f>
        <v>Custodians</v>
      </c>
      <c r="C3730" s="751" t="s">
        <v>246</v>
      </c>
      <c r="D3730" s="751" t="s">
        <v>991</v>
      </c>
      <c r="E3730" s="751" t="s">
        <v>1007</v>
      </c>
      <c r="F3730" s="751" t="s">
        <v>248</v>
      </c>
      <c r="G3730" s="752">
        <v>3</v>
      </c>
      <c r="H3730" s="753">
        <v>51000</v>
      </c>
      <c r="I3730" s="754">
        <v>165793.79</v>
      </c>
      <c r="J3730" s="754">
        <v>0</v>
      </c>
      <c r="K3730" s="754">
        <v>0</v>
      </c>
      <c r="L3730" s="754">
        <v>52545.71</v>
      </c>
      <c r="M3730" s="754">
        <f t="shared" si="141"/>
        <v>52545.71</v>
      </c>
      <c r="N3730" s="756">
        <v>165793.79</v>
      </c>
      <c r="O3730" s="720">
        <f t="shared" si="142"/>
        <v>0</v>
      </c>
    </row>
    <row r="3731" spans="1:15" x14ac:dyDescent="0.25">
      <c r="A3731" s="207" t="str">
        <f>VLOOKUP(RIGHT(E3731,3)+0,SchLocTable!$A$2:$B$47,2,FALSE)</f>
        <v>Madison</v>
      </c>
      <c r="B3731" s="207" t="str">
        <f>VLOOKUP(VALUE(D3731),$D$3:F$106,3,FALSE)</f>
        <v>Custodians</v>
      </c>
      <c r="C3731" s="751" t="s">
        <v>246</v>
      </c>
      <c r="D3731" s="751" t="s">
        <v>991</v>
      </c>
      <c r="E3731" s="751" t="s">
        <v>1007</v>
      </c>
      <c r="F3731" s="751" t="s">
        <v>919</v>
      </c>
      <c r="G3731" s="752" t="s">
        <v>1681</v>
      </c>
      <c r="H3731" s="753">
        <v>51102</v>
      </c>
      <c r="I3731" s="754">
        <v>0</v>
      </c>
      <c r="J3731" s="754">
        <v>0</v>
      </c>
      <c r="K3731" s="754">
        <v>0</v>
      </c>
      <c r="L3731" s="754">
        <v>0</v>
      </c>
      <c r="M3731" s="754">
        <f t="shared" si="141"/>
        <v>0</v>
      </c>
      <c r="N3731" s="756">
        <v>0</v>
      </c>
      <c r="O3731" s="720">
        <f t="shared" si="142"/>
        <v>0</v>
      </c>
    </row>
    <row r="3732" spans="1:15" x14ac:dyDescent="0.25">
      <c r="A3732" s="207" t="str">
        <f>VLOOKUP(RIGHT(E3732,3)+0,SchLocTable!$A$2:$B$47,2,FALSE)</f>
        <v>Madison</v>
      </c>
      <c r="B3732" s="207" t="str">
        <f>VLOOKUP(VALUE(D3732),$D$3:F$106,3,FALSE)</f>
        <v>Custodians</v>
      </c>
      <c r="C3732" s="751" t="s">
        <v>246</v>
      </c>
      <c r="D3732" s="751" t="s">
        <v>991</v>
      </c>
      <c r="E3732" s="751" t="s">
        <v>1007</v>
      </c>
      <c r="F3732" s="751" t="s">
        <v>378</v>
      </c>
      <c r="G3732" s="752" t="s">
        <v>1681</v>
      </c>
      <c r="H3732" s="753">
        <v>51108</v>
      </c>
      <c r="I3732" s="754">
        <v>15189.29</v>
      </c>
      <c r="J3732" s="754">
        <v>0</v>
      </c>
      <c r="K3732" s="754">
        <v>0</v>
      </c>
      <c r="L3732" s="754">
        <v>2572.14</v>
      </c>
      <c r="M3732" s="754">
        <f t="shared" si="141"/>
        <v>2572.14</v>
      </c>
      <c r="N3732" s="756">
        <v>15189.29</v>
      </c>
      <c r="O3732" s="720">
        <f t="shared" si="142"/>
        <v>0</v>
      </c>
    </row>
    <row r="3733" spans="1:15" x14ac:dyDescent="0.25">
      <c r="A3733" s="207" t="str">
        <f>VLOOKUP(RIGHT(E3733,3)+0,SchLocTable!$A$2:$B$47,2,FALSE)</f>
        <v>Madison</v>
      </c>
      <c r="B3733" s="207" t="str">
        <f>VLOOKUP(VALUE(D3733),$D$3:F$106,3,FALSE)</f>
        <v>Custodians</v>
      </c>
      <c r="C3733" s="751" t="s">
        <v>246</v>
      </c>
      <c r="D3733" s="751" t="s">
        <v>991</v>
      </c>
      <c r="E3733" s="751" t="s">
        <v>1007</v>
      </c>
      <c r="F3733" s="751" t="s">
        <v>915</v>
      </c>
      <c r="G3733" s="752" t="s">
        <v>1681</v>
      </c>
      <c r="H3733" s="753">
        <v>51116</v>
      </c>
      <c r="I3733" s="754">
        <v>0</v>
      </c>
      <c r="J3733" s="754">
        <v>0</v>
      </c>
      <c r="K3733" s="754">
        <v>0</v>
      </c>
      <c r="L3733" s="754">
        <v>0</v>
      </c>
      <c r="M3733" s="754">
        <f t="shared" si="141"/>
        <v>0</v>
      </c>
      <c r="N3733" s="756">
        <v>0</v>
      </c>
      <c r="O3733" s="720">
        <f t="shared" si="142"/>
        <v>0</v>
      </c>
    </row>
    <row r="3734" spans="1:15" x14ac:dyDescent="0.25">
      <c r="A3734" s="207" t="str">
        <f>VLOOKUP(RIGHT(E3734,3)+0,SchLocTable!$A$2:$B$47,2,FALSE)</f>
        <v>Madison</v>
      </c>
      <c r="B3734" s="207" t="str">
        <f>VLOOKUP(VALUE(D3734),$D$3:F$106,3,FALSE)</f>
        <v>Custodians</v>
      </c>
      <c r="C3734" s="751" t="s">
        <v>246</v>
      </c>
      <c r="D3734" s="751" t="s">
        <v>991</v>
      </c>
      <c r="E3734" s="751" t="s">
        <v>1007</v>
      </c>
      <c r="F3734" s="751" t="s">
        <v>380</v>
      </c>
      <c r="G3734" s="752" t="s">
        <v>1681</v>
      </c>
      <c r="H3734" s="753">
        <v>51122</v>
      </c>
      <c r="I3734" s="754">
        <v>983.99</v>
      </c>
      <c r="J3734" s="754">
        <v>0</v>
      </c>
      <c r="K3734" s="754">
        <v>0</v>
      </c>
      <c r="L3734" s="754">
        <v>983.99</v>
      </c>
      <c r="M3734" s="754">
        <f t="shared" si="141"/>
        <v>983.99</v>
      </c>
      <c r="N3734" s="756">
        <v>983.99</v>
      </c>
      <c r="O3734" s="720">
        <f t="shared" si="142"/>
        <v>0</v>
      </c>
    </row>
    <row r="3735" spans="1:15" x14ac:dyDescent="0.25">
      <c r="A3735" s="207" t="str">
        <f>VLOOKUP(RIGHT(E3735,3)+0,SchLocTable!$A$2:$B$47,2,FALSE)</f>
        <v>Madison</v>
      </c>
      <c r="B3735" s="207" t="str">
        <f>VLOOKUP(VALUE(D3735),$D$3:F$106,3,FALSE)</f>
        <v>Custodians</v>
      </c>
      <c r="C3735" s="751" t="s">
        <v>246</v>
      </c>
      <c r="D3735" s="751" t="s">
        <v>991</v>
      </c>
      <c r="E3735" s="751" t="s">
        <v>1007</v>
      </c>
      <c r="F3735" s="751" t="s">
        <v>944</v>
      </c>
      <c r="G3735" s="752" t="s">
        <v>1681</v>
      </c>
      <c r="H3735" s="753">
        <v>51124</v>
      </c>
      <c r="I3735" s="754">
        <v>0</v>
      </c>
      <c r="J3735" s="754">
        <v>0</v>
      </c>
      <c r="K3735" s="754">
        <v>0</v>
      </c>
      <c r="L3735" s="754">
        <v>0</v>
      </c>
      <c r="M3735" s="754">
        <f t="shared" si="141"/>
        <v>0</v>
      </c>
      <c r="N3735" s="756">
        <v>0</v>
      </c>
      <c r="O3735" s="720">
        <f t="shared" si="142"/>
        <v>0</v>
      </c>
    </row>
    <row r="3736" spans="1:15" x14ac:dyDescent="0.25">
      <c r="A3736" s="207" t="str">
        <f>VLOOKUP(RIGHT(E3736,3)+0,SchLocTable!$A$2:$B$47,2,FALSE)</f>
        <v>Madison</v>
      </c>
      <c r="B3736" s="207" t="str">
        <f>VLOOKUP(VALUE(D3736),$D$3:F$106,3,FALSE)</f>
        <v>Custodians</v>
      </c>
      <c r="C3736" s="751" t="s">
        <v>246</v>
      </c>
      <c r="D3736" s="751" t="s">
        <v>991</v>
      </c>
      <c r="E3736" s="751" t="s">
        <v>1007</v>
      </c>
      <c r="F3736" s="751" t="s">
        <v>993</v>
      </c>
      <c r="G3736" s="752" t="s">
        <v>1681</v>
      </c>
      <c r="H3736" s="753">
        <v>51138</v>
      </c>
      <c r="I3736" s="754">
        <v>4237.29</v>
      </c>
      <c r="J3736" s="754">
        <v>0</v>
      </c>
      <c r="K3736" s="754">
        <v>0</v>
      </c>
      <c r="L3736" s="754">
        <v>802.27</v>
      </c>
      <c r="M3736" s="754">
        <f t="shared" si="141"/>
        <v>802.27</v>
      </c>
      <c r="N3736" s="756">
        <v>4237.29</v>
      </c>
      <c r="O3736" s="720">
        <f t="shared" si="142"/>
        <v>0</v>
      </c>
    </row>
    <row r="3737" spans="1:15" x14ac:dyDescent="0.25">
      <c r="A3737" s="207" t="str">
        <f>VLOOKUP(RIGHT(E3737,3)+0,SchLocTable!$A$2:$B$47,2,FALSE)</f>
        <v>Madison</v>
      </c>
      <c r="B3737" s="207" t="str">
        <f>VLOOKUP(VALUE(D3737),$D$3:F$106,3,FALSE)</f>
        <v>Custodians</v>
      </c>
      <c r="C3737" s="751" t="s">
        <v>246</v>
      </c>
      <c r="D3737" s="751" t="s">
        <v>991</v>
      </c>
      <c r="E3737" s="751" t="s">
        <v>1007</v>
      </c>
      <c r="F3737" s="751" t="s">
        <v>257</v>
      </c>
      <c r="G3737" s="752" t="s">
        <v>1681</v>
      </c>
      <c r="H3737" s="753">
        <v>51140</v>
      </c>
      <c r="I3737" s="754">
        <v>4337.5</v>
      </c>
      <c r="J3737" s="754">
        <v>0</v>
      </c>
      <c r="K3737" s="754">
        <v>0</v>
      </c>
      <c r="L3737" s="754">
        <v>1200</v>
      </c>
      <c r="M3737" s="754">
        <f t="shared" si="141"/>
        <v>1200</v>
      </c>
      <c r="N3737" s="756">
        <v>4337.5</v>
      </c>
      <c r="O3737" s="720">
        <f t="shared" si="142"/>
        <v>0</v>
      </c>
    </row>
    <row r="3738" spans="1:15" x14ac:dyDescent="0.25">
      <c r="A3738" s="207" t="str">
        <f>VLOOKUP(RIGHT(E3738,3)+0,SchLocTable!$A$2:$B$47,2,FALSE)</f>
        <v>Madison</v>
      </c>
      <c r="B3738" s="207" t="str">
        <f>VLOOKUP(VALUE(D3738),$D$3:F$106,3,FALSE)</f>
        <v>Custodians</v>
      </c>
      <c r="C3738" s="751" t="s">
        <v>246</v>
      </c>
      <c r="D3738" s="751" t="s">
        <v>991</v>
      </c>
      <c r="E3738" s="751" t="s">
        <v>1007</v>
      </c>
      <c r="F3738" s="751" t="s">
        <v>797</v>
      </c>
      <c r="G3738" s="752" t="s">
        <v>1681</v>
      </c>
      <c r="H3738" s="753">
        <v>51156</v>
      </c>
      <c r="I3738" s="754">
        <v>0</v>
      </c>
      <c r="J3738" s="754">
        <v>0</v>
      </c>
      <c r="K3738" s="754">
        <v>0</v>
      </c>
      <c r="L3738" s="754">
        <v>0</v>
      </c>
      <c r="M3738" s="754">
        <f t="shared" si="141"/>
        <v>0</v>
      </c>
      <c r="N3738" s="756">
        <v>0</v>
      </c>
      <c r="O3738" s="720">
        <f t="shared" si="142"/>
        <v>0</v>
      </c>
    </row>
    <row r="3739" spans="1:15" x14ac:dyDescent="0.25">
      <c r="A3739" s="207" t="str">
        <f>VLOOKUP(RIGHT(E3739,3)+0,SchLocTable!$A$2:$B$47,2,FALSE)</f>
        <v>Madison</v>
      </c>
      <c r="B3739" s="207" t="str">
        <f>VLOOKUP(VALUE(D3739),$D$3:F$106,3,FALSE)</f>
        <v>Custodians</v>
      </c>
      <c r="C3739" s="751" t="s">
        <v>246</v>
      </c>
      <c r="D3739" s="751" t="s">
        <v>991</v>
      </c>
      <c r="E3739" s="751" t="s">
        <v>1007</v>
      </c>
      <c r="F3739" s="751" t="s">
        <v>254</v>
      </c>
      <c r="G3739" s="752" t="s">
        <v>1681</v>
      </c>
      <c r="H3739" s="753">
        <v>52360</v>
      </c>
      <c r="I3739" s="754">
        <v>2643.02</v>
      </c>
      <c r="J3739" s="754">
        <v>0</v>
      </c>
      <c r="K3739" s="754">
        <v>0</v>
      </c>
      <c r="L3739" s="754">
        <v>768.17</v>
      </c>
      <c r="M3739" s="754">
        <f t="shared" si="141"/>
        <v>768.17</v>
      </c>
      <c r="N3739" s="756">
        <v>2643.02</v>
      </c>
      <c r="O3739" s="720">
        <f t="shared" si="142"/>
        <v>0</v>
      </c>
    </row>
    <row r="3740" spans="1:15" x14ac:dyDescent="0.25">
      <c r="A3740" s="207" t="str">
        <f>VLOOKUP(RIGHT(E3740,3)+0,SchLocTable!$A$2:$B$47,2,FALSE)</f>
        <v>Madison</v>
      </c>
      <c r="B3740" s="207" t="str">
        <f>VLOOKUP(VALUE(D3740),$D$3:F$106,3,FALSE)</f>
        <v>Custodians</v>
      </c>
      <c r="C3740" s="751" t="s">
        <v>246</v>
      </c>
      <c r="D3740" s="751" t="s">
        <v>991</v>
      </c>
      <c r="E3740" s="751" t="s">
        <v>1007</v>
      </c>
      <c r="F3740" s="751" t="s">
        <v>292</v>
      </c>
      <c r="G3740" s="752" t="s">
        <v>1681</v>
      </c>
      <c r="H3740" s="753">
        <v>52385</v>
      </c>
      <c r="I3740" s="754">
        <v>0</v>
      </c>
      <c r="J3740" s="754">
        <v>0</v>
      </c>
      <c r="K3740" s="754">
        <v>0</v>
      </c>
      <c r="L3740" s="754">
        <v>0</v>
      </c>
      <c r="M3740" s="754">
        <f t="shared" si="141"/>
        <v>0</v>
      </c>
      <c r="N3740" s="756">
        <v>0</v>
      </c>
      <c r="O3740" s="720">
        <f t="shared" si="142"/>
        <v>0</v>
      </c>
    </row>
    <row r="3741" spans="1:15" x14ac:dyDescent="0.25">
      <c r="A3741" s="207" t="str">
        <f>VLOOKUP(RIGHT(E3741,3)+0,SchLocTable!$A$2:$B$47,2,FALSE)</f>
        <v>Madison</v>
      </c>
      <c r="B3741" s="207" t="str">
        <f>VLOOKUP(VALUE(D3741),$D$3:F$106,3,FALSE)</f>
        <v>Custodians</v>
      </c>
      <c r="C3741" s="751" t="s">
        <v>246</v>
      </c>
      <c r="D3741" s="751" t="s">
        <v>991</v>
      </c>
      <c r="E3741" s="751" t="s">
        <v>1007</v>
      </c>
      <c r="F3741" s="751" t="s">
        <v>331</v>
      </c>
      <c r="G3741" s="752" t="s">
        <v>1681</v>
      </c>
      <c r="H3741" s="753">
        <v>52504</v>
      </c>
      <c r="I3741" s="754">
        <v>38586.6</v>
      </c>
      <c r="J3741" s="754">
        <v>0</v>
      </c>
      <c r="K3741" s="754">
        <v>0</v>
      </c>
      <c r="L3741" s="754">
        <v>11963.68</v>
      </c>
      <c r="M3741" s="754">
        <f t="shared" si="141"/>
        <v>11963.68</v>
      </c>
      <c r="N3741" s="756">
        <v>38586.6</v>
      </c>
      <c r="O3741" s="720">
        <f t="shared" si="142"/>
        <v>0</v>
      </c>
    </row>
    <row r="3742" spans="1:15" x14ac:dyDescent="0.25">
      <c r="A3742" s="207" t="str">
        <f>VLOOKUP(RIGHT(E3742,3)+0,SchLocTable!$A$2:$B$47,2,FALSE)</f>
        <v>Madison</v>
      </c>
      <c r="B3742" s="207" t="str">
        <f>VLOOKUP(VALUE(D3742),$D$3:F$106,3,FALSE)</f>
        <v>Custodians</v>
      </c>
      <c r="C3742" s="751" t="s">
        <v>246</v>
      </c>
      <c r="D3742" s="751" t="s">
        <v>991</v>
      </c>
      <c r="E3742" s="751" t="s">
        <v>1007</v>
      </c>
      <c r="F3742" s="751" t="s">
        <v>259</v>
      </c>
      <c r="G3742" s="752" t="s">
        <v>1681</v>
      </c>
      <c r="H3742" s="753">
        <v>52917</v>
      </c>
      <c r="I3742" s="754">
        <v>51230.65</v>
      </c>
      <c r="J3742" s="754">
        <v>0</v>
      </c>
      <c r="K3742" s="754">
        <v>0</v>
      </c>
      <c r="L3742" s="754">
        <v>15702.88</v>
      </c>
      <c r="M3742" s="754">
        <f t="shared" si="141"/>
        <v>15702.88</v>
      </c>
      <c r="N3742" s="756">
        <v>51230.65</v>
      </c>
      <c r="O3742" s="720">
        <f t="shared" si="142"/>
        <v>0</v>
      </c>
    </row>
    <row r="3743" spans="1:15" x14ac:dyDescent="0.25">
      <c r="A3743" s="207" t="str">
        <f>VLOOKUP(RIGHT(E3743,3)+0,SchLocTable!$A$2:$B$47,2,FALSE)</f>
        <v>Classical Studies Academy</v>
      </c>
      <c r="B3743" s="207" t="str">
        <f>VLOOKUP(VALUE(D3743),$D$3:F$106,3,FALSE)</f>
        <v>Custodians</v>
      </c>
      <c r="C3743" s="751" t="s">
        <v>246</v>
      </c>
      <c r="D3743" s="751" t="s">
        <v>991</v>
      </c>
      <c r="E3743" s="751" t="s">
        <v>1008</v>
      </c>
      <c r="F3743" s="751" t="s">
        <v>248</v>
      </c>
      <c r="G3743" s="752">
        <v>4</v>
      </c>
      <c r="H3743" s="753">
        <v>51000</v>
      </c>
      <c r="I3743" s="754">
        <v>208589.59</v>
      </c>
      <c r="J3743" s="754">
        <v>0</v>
      </c>
      <c r="K3743" s="754">
        <v>0</v>
      </c>
      <c r="L3743" s="754">
        <v>64725.27</v>
      </c>
      <c r="M3743" s="754">
        <f t="shared" si="141"/>
        <v>64725.27</v>
      </c>
      <c r="N3743" s="756">
        <v>208589.59</v>
      </c>
      <c r="O3743" s="720">
        <f t="shared" si="142"/>
        <v>0</v>
      </c>
    </row>
    <row r="3744" spans="1:15" ht="19.149999999999999" customHeight="1" x14ac:dyDescent="0.25">
      <c r="A3744" s="207" t="str">
        <f>VLOOKUP(RIGHT(E3744,3)+0,SchLocTable!$A$2:$B$47,2,FALSE)</f>
        <v>Classical Studies Academy</v>
      </c>
      <c r="B3744" s="207" t="str">
        <f>VLOOKUP(VALUE(D3744),$D$3:F$106,3,FALSE)</f>
        <v>Custodians</v>
      </c>
      <c r="C3744" s="751" t="s">
        <v>246</v>
      </c>
      <c r="D3744" s="751" t="s">
        <v>991</v>
      </c>
      <c r="E3744" s="751" t="s">
        <v>1008</v>
      </c>
      <c r="F3744" s="751" t="s">
        <v>919</v>
      </c>
      <c r="G3744" s="752" t="s">
        <v>1681</v>
      </c>
      <c r="H3744" s="753">
        <v>51102</v>
      </c>
      <c r="I3744" s="754">
        <v>0</v>
      </c>
      <c r="J3744" s="754">
        <v>0</v>
      </c>
      <c r="K3744" s="754">
        <v>0</v>
      </c>
      <c r="L3744" s="754">
        <v>0</v>
      </c>
      <c r="M3744" s="754">
        <f t="shared" si="141"/>
        <v>0</v>
      </c>
      <c r="N3744" s="756">
        <v>0</v>
      </c>
      <c r="O3744" s="720">
        <f t="shared" si="142"/>
        <v>0</v>
      </c>
    </row>
    <row r="3745" spans="1:15" x14ac:dyDescent="0.25">
      <c r="A3745" s="207" t="str">
        <f>VLOOKUP(RIGHT(E3745,3)+0,SchLocTable!$A$2:$B$47,2,FALSE)</f>
        <v>Classical Studies Academy</v>
      </c>
      <c r="B3745" s="207" t="str">
        <f>VLOOKUP(VALUE(D3745),$D$3:F$106,3,FALSE)</f>
        <v>Custodians</v>
      </c>
      <c r="C3745" s="751" t="s">
        <v>246</v>
      </c>
      <c r="D3745" s="751" t="s">
        <v>991</v>
      </c>
      <c r="E3745" s="751" t="s">
        <v>1008</v>
      </c>
      <c r="F3745" s="751" t="s">
        <v>378</v>
      </c>
      <c r="G3745" s="752" t="s">
        <v>1681</v>
      </c>
      <c r="H3745" s="753">
        <v>51108</v>
      </c>
      <c r="I3745" s="754">
        <v>1546.51</v>
      </c>
      <c r="J3745" s="754">
        <v>0</v>
      </c>
      <c r="K3745" s="754">
        <v>0</v>
      </c>
      <c r="L3745" s="754">
        <v>1546.51</v>
      </c>
      <c r="M3745" s="754">
        <f t="shared" si="141"/>
        <v>1546.51</v>
      </c>
      <c r="N3745" s="756">
        <v>1546.51</v>
      </c>
      <c r="O3745" s="720">
        <f t="shared" si="142"/>
        <v>0</v>
      </c>
    </row>
    <row r="3746" spans="1:15" x14ac:dyDescent="0.25">
      <c r="A3746" s="207" t="str">
        <f>VLOOKUP(RIGHT(E3746,3)+0,SchLocTable!$A$2:$B$47,2,FALSE)</f>
        <v>Classical Studies Academy</v>
      </c>
      <c r="B3746" s="207" t="str">
        <f>VLOOKUP(VALUE(D3746),$D$3:F$106,3,FALSE)</f>
        <v>Custodians</v>
      </c>
      <c r="C3746" s="751" t="s">
        <v>246</v>
      </c>
      <c r="D3746" s="751" t="s">
        <v>991</v>
      </c>
      <c r="E3746" s="751" t="s">
        <v>1008</v>
      </c>
      <c r="F3746" s="751" t="s">
        <v>380</v>
      </c>
      <c r="G3746" s="752" t="s">
        <v>1681</v>
      </c>
      <c r="H3746" s="753">
        <v>51122</v>
      </c>
      <c r="I3746" s="754">
        <v>66197.97</v>
      </c>
      <c r="J3746" s="754">
        <v>0</v>
      </c>
      <c r="K3746" s="754">
        <v>0</v>
      </c>
      <c r="L3746" s="754">
        <v>5505.77</v>
      </c>
      <c r="M3746" s="754">
        <f t="shared" si="141"/>
        <v>5505.77</v>
      </c>
      <c r="N3746" s="756">
        <v>66197.97</v>
      </c>
      <c r="O3746" s="720">
        <f t="shared" si="142"/>
        <v>0</v>
      </c>
    </row>
    <row r="3747" spans="1:15" x14ac:dyDescent="0.25">
      <c r="A3747" s="207" t="str">
        <f>VLOOKUP(RIGHT(E3747,3)+0,SchLocTable!$A$2:$B$47,2,FALSE)</f>
        <v>Classical Studies Academy</v>
      </c>
      <c r="B3747" s="207" t="str">
        <f>VLOOKUP(VALUE(D3747),$D$3:F$106,3,FALSE)</f>
        <v>Custodians</v>
      </c>
      <c r="C3747" s="751" t="s">
        <v>246</v>
      </c>
      <c r="D3747" s="751" t="s">
        <v>991</v>
      </c>
      <c r="E3747" s="751" t="s">
        <v>1008</v>
      </c>
      <c r="F3747" s="751" t="s">
        <v>993</v>
      </c>
      <c r="G3747" s="752" t="s">
        <v>1681</v>
      </c>
      <c r="H3747" s="753">
        <v>51138</v>
      </c>
      <c r="I3747" s="754">
        <v>6453.93</v>
      </c>
      <c r="J3747" s="754">
        <v>0</v>
      </c>
      <c r="K3747" s="754">
        <v>0</v>
      </c>
      <c r="L3747" s="754">
        <v>1213.94</v>
      </c>
      <c r="M3747" s="754">
        <f t="shared" si="141"/>
        <v>1213.94</v>
      </c>
      <c r="N3747" s="756">
        <v>6453.93</v>
      </c>
      <c r="O3747" s="720">
        <f t="shared" si="142"/>
        <v>0</v>
      </c>
    </row>
    <row r="3748" spans="1:15" x14ac:dyDescent="0.25">
      <c r="A3748" s="207" t="str">
        <f>VLOOKUP(RIGHT(E3748,3)+0,SchLocTable!$A$2:$B$47,2,FALSE)</f>
        <v>Classical Studies Academy</v>
      </c>
      <c r="B3748" s="207" t="str">
        <f>VLOOKUP(VALUE(D3748),$D$3:F$106,3,FALSE)</f>
        <v>Custodians</v>
      </c>
      <c r="C3748" s="751" t="s">
        <v>246</v>
      </c>
      <c r="D3748" s="751" t="s">
        <v>991</v>
      </c>
      <c r="E3748" s="751" t="s">
        <v>1008</v>
      </c>
      <c r="F3748" s="751" t="s">
        <v>257</v>
      </c>
      <c r="G3748" s="752" t="s">
        <v>1681</v>
      </c>
      <c r="H3748" s="753">
        <v>51140</v>
      </c>
      <c r="I3748" s="754">
        <v>4747.5</v>
      </c>
      <c r="J3748" s="754">
        <v>0</v>
      </c>
      <c r="K3748" s="754">
        <v>0</v>
      </c>
      <c r="L3748" s="754">
        <v>3075</v>
      </c>
      <c r="M3748" s="754">
        <f t="shared" si="141"/>
        <v>3075</v>
      </c>
      <c r="N3748" s="756">
        <v>4747.5</v>
      </c>
      <c r="O3748" s="720">
        <f t="shared" si="142"/>
        <v>0</v>
      </c>
    </row>
    <row r="3749" spans="1:15" x14ac:dyDescent="0.25">
      <c r="A3749" s="207" t="str">
        <f>VLOOKUP(RIGHT(E3749,3)+0,SchLocTable!$A$2:$B$47,2,FALSE)</f>
        <v>Classical Studies Academy</v>
      </c>
      <c r="B3749" s="207" t="str">
        <f>VLOOKUP(VALUE(D3749),$D$3:F$106,3,FALSE)</f>
        <v>Custodians</v>
      </c>
      <c r="C3749" s="751" t="s">
        <v>246</v>
      </c>
      <c r="D3749" s="751" t="s">
        <v>991</v>
      </c>
      <c r="E3749" s="751" t="s">
        <v>1008</v>
      </c>
      <c r="F3749" s="751" t="s">
        <v>797</v>
      </c>
      <c r="G3749" s="752" t="s">
        <v>1681</v>
      </c>
      <c r="H3749" s="753">
        <v>51156</v>
      </c>
      <c r="I3749" s="754">
        <v>0</v>
      </c>
      <c r="J3749" s="754">
        <v>0</v>
      </c>
      <c r="K3749" s="754">
        <v>0</v>
      </c>
      <c r="L3749" s="754">
        <v>0</v>
      </c>
      <c r="M3749" s="754">
        <f t="shared" si="141"/>
        <v>0</v>
      </c>
      <c r="N3749" s="756">
        <v>0</v>
      </c>
      <c r="O3749" s="720">
        <f t="shared" si="142"/>
        <v>0</v>
      </c>
    </row>
    <row r="3750" spans="1:15" x14ac:dyDescent="0.25">
      <c r="A3750" s="207" t="str">
        <f>VLOOKUP(RIGHT(E3750,3)+0,SchLocTable!$A$2:$B$47,2,FALSE)</f>
        <v>Classical Studies Academy</v>
      </c>
      <c r="B3750" s="207" t="str">
        <f>VLOOKUP(VALUE(D3750),$D$3:F$106,3,FALSE)</f>
        <v>Custodians</v>
      </c>
      <c r="C3750" s="751" t="s">
        <v>246</v>
      </c>
      <c r="D3750" s="751" t="s">
        <v>991</v>
      </c>
      <c r="E3750" s="751" t="s">
        <v>1008</v>
      </c>
      <c r="F3750" s="751" t="s">
        <v>254</v>
      </c>
      <c r="G3750" s="752" t="s">
        <v>1681</v>
      </c>
      <c r="H3750" s="753">
        <v>52360</v>
      </c>
      <c r="I3750" s="754">
        <v>4091.34</v>
      </c>
      <c r="J3750" s="754">
        <v>0</v>
      </c>
      <c r="K3750" s="754">
        <v>0</v>
      </c>
      <c r="L3750" s="754">
        <v>1049.29</v>
      </c>
      <c r="M3750" s="754">
        <f t="shared" si="141"/>
        <v>1049.29</v>
      </c>
      <c r="N3750" s="756">
        <v>4091.34</v>
      </c>
      <c r="O3750" s="720">
        <f t="shared" si="142"/>
        <v>0</v>
      </c>
    </row>
    <row r="3751" spans="1:15" x14ac:dyDescent="0.25">
      <c r="A3751" s="207" t="str">
        <f>VLOOKUP(RIGHT(E3751,3)+0,SchLocTable!$A$2:$B$47,2,FALSE)</f>
        <v>Classical Studies Academy</v>
      </c>
      <c r="B3751" s="207" t="str">
        <f>VLOOKUP(VALUE(D3751),$D$3:F$106,3,FALSE)</f>
        <v>Custodians</v>
      </c>
      <c r="C3751" s="751" t="s">
        <v>246</v>
      </c>
      <c r="D3751" s="751" t="s">
        <v>991</v>
      </c>
      <c r="E3751" s="751" t="s">
        <v>1008</v>
      </c>
      <c r="F3751" s="751" t="s">
        <v>331</v>
      </c>
      <c r="G3751" s="752" t="s">
        <v>1681</v>
      </c>
      <c r="H3751" s="753">
        <v>52504</v>
      </c>
      <c r="I3751" s="754">
        <v>58859.27</v>
      </c>
      <c r="J3751" s="754">
        <v>0</v>
      </c>
      <c r="K3751" s="754">
        <v>0</v>
      </c>
      <c r="L3751" s="754">
        <v>15662.17</v>
      </c>
      <c r="M3751" s="754">
        <f t="shared" si="141"/>
        <v>15662.17</v>
      </c>
      <c r="N3751" s="756">
        <v>58859.27</v>
      </c>
      <c r="O3751" s="720">
        <f t="shared" si="142"/>
        <v>0</v>
      </c>
    </row>
    <row r="3752" spans="1:15" x14ac:dyDescent="0.25">
      <c r="A3752" s="207" t="str">
        <f>VLOOKUP(RIGHT(E3752,3)+0,SchLocTable!$A$2:$B$47,2,FALSE)</f>
        <v>Classical Studies Academy</v>
      </c>
      <c r="B3752" s="207" t="str">
        <f>VLOOKUP(VALUE(D3752),$D$3:F$106,3,FALSE)</f>
        <v>Custodians</v>
      </c>
      <c r="C3752" s="751" t="s">
        <v>246</v>
      </c>
      <c r="D3752" s="751" t="s">
        <v>991</v>
      </c>
      <c r="E3752" s="751" t="s">
        <v>1008</v>
      </c>
      <c r="F3752" s="751" t="s">
        <v>259</v>
      </c>
      <c r="G3752" s="752" t="s">
        <v>1681</v>
      </c>
      <c r="H3752" s="753">
        <v>52917</v>
      </c>
      <c r="I3752" s="754">
        <v>45956.36</v>
      </c>
      <c r="J3752" s="754">
        <v>0</v>
      </c>
      <c r="K3752" s="754">
        <v>0</v>
      </c>
      <c r="L3752" s="754">
        <v>14086.24</v>
      </c>
      <c r="M3752" s="754">
        <f t="shared" si="141"/>
        <v>14086.24</v>
      </c>
      <c r="N3752" s="756">
        <v>45956.36</v>
      </c>
      <c r="O3752" s="720">
        <f t="shared" si="142"/>
        <v>0</v>
      </c>
    </row>
    <row r="3753" spans="1:15" x14ac:dyDescent="0.25">
      <c r="A3753" s="207" t="str">
        <f>VLOOKUP(RIGHT(E3753,3)+0,SchLocTable!$A$2:$B$47,2,FALSE)</f>
        <v>Classical Studies Academy</v>
      </c>
      <c r="B3753" s="207" t="str">
        <f>VLOOKUP(VALUE(D3753),$D$3:F$106,3,FALSE)</f>
        <v>Custodians</v>
      </c>
      <c r="C3753" s="751" t="s">
        <v>246</v>
      </c>
      <c r="D3753" s="751" t="s">
        <v>991</v>
      </c>
      <c r="E3753" s="751" t="s">
        <v>1008</v>
      </c>
      <c r="F3753" s="751" t="s">
        <v>333</v>
      </c>
      <c r="G3753" s="752" t="s">
        <v>1681</v>
      </c>
      <c r="H3753" s="753">
        <v>52920</v>
      </c>
      <c r="I3753" s="754">
        <v>2833.34</v>
      </c>
      <c r="J3753" s="754">
        <v>0</v>
      </c>
      <c r="K3753" s="754">
        <v>0</v>
      </c>
      <c r="L3753" s="754">
        <v>0</v>
      </c>
      <c r="M3753" s="754">
        <f t="shared" si="141"/>
        <v>0</v>
      </c>
      <c r="N3753" s="756">
        <v>2833.34</v>
      </c>
      <c r="O3753" s="720">
        <f t="shared" si="142"/>
        <v>0</v>
      </c>
    </row>
    <row r="3754" spans="1:15" x14ac:dyDescent="0.25">
      <c r="A3754" s="207" t="str">
        <f>VLOOKUP(RIGHT(E3754,3)+0,SchLocTable!$A$2:$B$47,2,FALSE)</f>
        <v>Tisdale</v>
      </c>
      <c r="B3754" s="207" t="str">
        <f>VLOOKUP(VALUE(D3754),$D$3:F$106,3,FALSE)</f>
        <v>Custodians</v>
      </c>
      <c r="C3754" s="751" t="s">
        <v>246</v>
      </c>
      <c r="D3754" s="751" t="s">
        <v>991</v>
      </c>
      <c r="E3754" s="751" t="s">
        <v>1009</v>
      </c>
      <c r="F3754" s="751" t="s">
        <v>248</v>
      </c>
      <c r="G3754" s="752">
        <v>6</v>
      </c>
      <c r="H3754" s="753">
        <v>51000</v>
      </c>
      <c r="I3754" s="754">
        <v>255379.65</v>
      </c>
      <c r="J3754" s="754">
        <v>0</v>
      </c>
      <c r="K3754" s="754">
        <v>0</v>
      </c>
      <c r="L3754" s="754">
        <v>70604.89</v>
      </c>
      <c r="M3754" s="754">
        <f t="shared" si="141"/>
        <v>70604.89</v>
      </c>
      <c r="N3754" s="756">
        <v>255379.65</v>
      </c>
      <c r="O3754" s="720">
        <f t="shared" si="142"/>
        <v>0</v>
      </c>
    </row>
    <row r="3755" spans="1:15" x14ac:dyDescent="0.25">
      <c r="A3755" s="207" t="str">
        <f>VLOOKUP(RIGHT(E3755,3)+0,SchLocTable!$A$2:$B$47,2,FALSE)</f>
        <v>Tisdale</v>
      </c>
      <c r="B3755" s="207" t="str">
        <f>VLOOKUP(VALUE(D3755),$D$3:F$106,3,FALSE)</f>
        <v>Custodians</v>
      </c>
      <c r="C3755" s="751" t="s">
        <v>246</v>
      </c>
      <c r="D3755" s="751" t="s">
        <v>991</v>
      </c>
      <c r="E3755" s="751" t="s">
        <v>1009</v>
      </c>
      <c r="F3755" s="751" t="s">
        <v>919</v>
      </c>
      <c r="G3755" s="752" t="s">
        <v>1681</v>
      </c>
      <c r="H3755" s="753">
        <v>51102</v>
      </c>
      <c r="I3755" s="754">
        <v>0</v>
      </c>
      <c r="J3755" s="754">
        <v>0</v>
      </c>
      <c r="K3755" s="754">
        <v>0</v>
      </c>
      <c r="L3755" s="754">
        <v>0</v>
      </c>
      <c r="M3755" s="754">
        <f t="shared" si="141"/>
        <v>0</v>
      </c>
      <c r="N3755" s="756">
        <v>0</v>
      </c>
      <c r="O3755" s="720">
        <f t="shared" si="142"/>
        <v>0</v>
      </c>
    </row>
    <row r="3756" spans="1:15" x14ac:dyDescent="0.25">
      <c r="A3756" s="207" t="str">
        <f>VLOOKUP(RIGHT(E3756,3)+0,SchLocTable!$A$2:$B$47,2,FALSE)</f>
        <v>Tisdale</v>
      </c>
      <c r="B3756" s="207" t="str">
        <f>VLOOKUP(VALUE(D3756),$D$3:F$106,3,FALSE)</f>
        <v>Custodians</v>
      </c>
      <c r="C3756" s="751" t="s">
        <v>246</v>
      </c>
      <c r="D3756" s="751" t="s">
        <v>991</v>
      </c>
      <c r="E3756" s="751" t="s">
        <v>1009</v>
      </c>
      <c r="F3756" s="751" t="s">
        <v>378</v>
      </c>
      <c r="G3756" s="752" t="s">
        <v>1681</v>
      </c>
      <c r="H3756" s="753">
        <v>51108</v>
      </c>
      <c r="I3756" s="754">
        <v>582.27</v>
      </c>
      <c r="J3756" s="754">
        <v>0</v>
      </c>
      <c r="K3756" s="754">
        <v>0</v>
      </c>
      <c r="L3756" s="754">
        <v>582.27</v>
      </c>
      <c r="M3756" s="754">
        <f t="shared" si="141"/>
        <v>582.27</v>
      </c>
      <c r="N3756" s="756">
        <v>582.27</v>
      </c>
      <c r="O3756" s="720">
        <f t="shared" si="142"/>
        <v>0</v>
      </c>
    </row>
    <row r="3757" spans="1:15" x14ac:dyDescent="0.25">
      <c r="A3757" s="207" t="str">
        <f>VLOOKUP(RIGHT(E3757,3)+0,SchLocTable!$A$2:$B$47,2,FALSE)</f>
        <v>Tisdale</v>
      </c>
      <c r="B3757" s="207" t="str">
        <f>VLOOKUP(VALUE(D3757),$D$3:F$106,3,FALSE)</f>
        <v>Custodians</v>
      </c>
      <c r="C3757" s="751" t="s">
        <v>246</v>
      </c>
      <c r="D3757" s="751" t="s">
        <v>991</v>
      </c>
      <c r="E3757" s="751" t="s">
        <v>1009</v>
      </c>
      <c r="F3757" s="751" t="s">
        <v>380</v>
      </c>
      <c r="G3757" s="752" t="s">
        <v>1681</v>
      </c>
      <c r="H3757" s="753">
        <v>51122</v>
      </c>
      <c r="I3757" s="754">
        <v>32236.45</v>
      </c>
      <c r="J3757" s="754">
        <v>0</v>
      </c>
      <c r="K3757" s="754">
        <v>0</v>
      </c>
      <c r="L3757" s="754">
        <v>5547.64</v>
      </c>
      <c r="M3757" s="754">
        <f t="shared" si="141"/>
        <v>5547.64</v>
      </c>
      <c r="N3757" s="756">
        <v>32236.45</v>
      </c>
      <c r="O3757" s="720">
        <f t="shared" si="142"/>
        <v>0</v>
      </c>
    </row>
    <row r="3758" spans="1:15" x14ac:dyDescent="0.25">
      <c r="A3758" s="207" t="str">
        <f>VLOOKUP(RIGHT(E3758,3)+0,SchLocTable!$A$2:$B$47,2,FALSE)</f>
        <v>Tisdale</v>
      </c>
      <c r="B3758" s="207" t="str">
        <f>VLOOKUP(VALUE(D3758),$D$3:F$106,3,FALSE)</f>
        <v>Custodians</v>
      </c>
      <c r="C3758" s="751" t="s">
        <v>246</v>
      </c>
      <c r="D3758" s="751" t="s">
        <v>991</v>
      </c>
      <c r="E3758" s="751" t="s">
        <v>1009</v>
      </c>
      <c r="F3758" s="751" t="s">
        <v>993</v>
      </c>
      <c r="G3758" s="752" t="s">
        <v>1681</v>
      </c>
      <c r="H3758" s="753">
        <v>51138</v>
      </c>
      <c r="I3758" s="754">
        <v>12123.87</v>
      </c>
      <c r="J3758" s="754">
        <v>0</v>
      </c>
      <c r="K3758" s="754">
        <v>0</v>
      </c>
      <c r="L3758" s="754">
        <v>2093.04</v>
      </c>
      <c r="M3758" s="754">
        <f t="shared" si="141"/>
        <v>2093.04</v>
      </c>
      <c r="N3758" s="756">
        <v>12123.87</v>
      </c>
      <c r="O3758" s="720">
        <f t="shared" si="142"/>
        <v>0</v>
      </c>
    </row>
    <row r="3759" spans="1:15" x14ac:dyDescent="0.25">
      <c r="A3759" s="207" t="str">
        <f>VLOOKUP(RIGHT(E3759,3)+0,SchLocTable!$A$2:$B$47,2,FALSE)</f>
        <v>Tisdale</v>
      </c>
      <c r="B3759" s="207" t="str">
        <f>VLOOKUP(VALUE(D3759),$D$3:F$106,3,FALSE)</f>
        <v>Custodians</v>
      </c>
      <c r="C3759" s="751" t="s">
        <v>246</v>
      </c>
      <c r="D3759" s="751" t="s">
        <v>991</v>
      </c>
      <c r="E3759" s="751" t="s">
        <v>1009</v>
      </c>
      <c r="F3759" s="751" t="s">
        <v>257</v>
      </c>
      <c r="G3759" s="752" t="s">
        <v>1681</v>
      </c>
      <c r="H3759" s="753">
        <v>51140</v>
      </c>
      <c r="I3759" s="754">
        <v>2625</v>
      </c>
      <c r="J3759" s="754">
        <v>0</v>
      </c>
      <c r="K3759" s="754">
        <v>0</v>
      </c>
      <c r="L3759" s="754">
        <v>1200</v>
      </c>
      <c r="M3759" s="754">
        <f t="shared" si="141"/>
        <v>1200</v>
      </c>
      <c r="N3759" s="756">
        <v>2625</v>
      </c>
      <c r="O3759" s="720">
        <f t="shared" si="142"/>
        <v>0</v>
      </c>
    </row>
    <row r="3760" spans="1:15" x14ac:dyDescent="0.25">
      <c r="A3760" s="207" t="str">
        <f>VLOOKUP(RIGHT(E3760,3)+0,SchLocTable!$A$2:$B$47,2,FALSE)</f>
        <v>Tisdale</v>
      </c>
      <c r="B3760" s="207" t="str">
        <f>VLOOKUP(VALUE(D3760),$D$3:F$106,3,FALSE)</f>
        <v>Custodians</v>
      </c>
      <c r="C3760" s="751" t="s">
        <v>246</v>
      </c>
      <c r="D3760" s="751" t="s">
        <v>991</v>
      </c>
      <c r="E3760" s="751" t="s">
        <v>1009</v>
      </c>
      <c r="F3760" s="751" t="s">
        <v>797</v>
      </c>
      <c r="G3760" s="752" t="s">
        <v>1681</v>
      </c>
      <c r="H3760" s="753">
        <v>51156</v>
      </c>
      <c r="I3760" s="754">
        <v>0</v>
      </c>
      <c r="J3760" s="754">
        <v>0</v>
      </c>
      <c r="K3760" s="754">
        <v>0</v>
      </c>
      <c r="L3760" s="754">
        <v>0</v>
      </c>
      <c r="M3760" s="754">
        <f t="shared" si="141"/>
        <v>0</v>
      </c>
      <c r="N3760" s="756">
        <v>0</v>
      </c>
      <c r="O3760" s="720">
        <f t="shared" si="142"/>
        <v>0</v>
      </c>
    </row>
    <row r="3761" spans="1:15" x14ac:dyDescent="0.25">
      <c r="A3761" s="207" t="str">
        <f>VLOOKUP(RIGHT(E3761,3)+0,SchLocTable!$A$2:$B$47,2,FALSE)</f>
        <v>Tisdale</v>
      </c>
      <c r="B3761" s="207" t="str">
        <f>VLOOKUP(VALUE(D3761),$D$3:F$106,3,FALSE)</f>
        <v>Custodians</v>
      </c>
      <c r="C3761" s="751" t="s">
        <v>246</v>
      </c>
      <c r="D3761" s="751" t="s">
        <v>991</v>
      </c>
      <c r="E3761" s="751" t="s">
        <v>1009</v>
      </c>
      <c r="F3761" s="751" t="s">
        <v>254</v>
      </c>
      <c r="G3761" s="752" t="s">
        <v>1681</v>
      </c>
      <c r="H3761" s="753">
        <v>52360</v>
      </c>
      <c r="I3761" s="754">
        <v>4253.6000000000004</v>
      </c>
      <c r="J3761" s="754">
        <v>0</v>
      </c>
      <c r="K3761" s="754">
        <v>0</v>
      </c>
      <c r="L3761" s="754">
        <v>1041.93</v>
      </c>
      <c r="M3761" s="754">
        <f t="shared" si="141"/>
        <v>1041.93</v>
      </c>
      <c r="N3761" s="756">
        <v>4253.6000000000004</v>
      </c>
      <c r="O3761" s="720">
        <f t="shared" si="142"/>
        <v>0</v>
      </c>
    </row>
    <row r="3762" spans="1:15" x14ac:dyDescent="0.25">
      <c r="A3762" s="207" t="str">
        <f>VLOOKUP(RIGHT(E3762,3)+0,SchLocTable!$A$2:$B$47,2,FALSE)</f>
        <v>Tisdale</v>
      </c>
      <c r="B3762" s="207" t="str">
        <f>VLOOKUP(VALUE(D3762),$D$3:F$106,3,FALSE)</f>
        <v>Custodians</v>
      </c>
      <c r="C3762" s="751" t="s">
        <v>246</v>
      </c>
      <c r="D3762" s="751" t="s">
        <v>991</v>
      </c>
      <c r="E3762" s="751" t="s">
        <v>1009</v>
      </c>
      <c r="F3762" s="751" t="s">
        <v>292</v>
      </c>
      <c r="G3762" s="752" t="s">
        <v>1681</v>
      </c>
      <c r="H3762" s="753">
        <v>52385</v>
      </c>
      <c r="I3762" s="754">
        <v>2379.35</v>
      </c>
      <c r="J3762" s="754">
        <v>0</v>
      </c>
      <c r="K3762" s="754">
        <v>0</v>
      </c>
      <c r="L3762" s="754">
        <v>723.56</v>
      </c>
      <c r="M3762" s="754">
        <f t="shared" si="141"/>
        <v>723.56</v>
      </c>
      <c r="N3762" s="756">
        <v>2379.35</v>
      </c>
      <c r="O3762" s="720">
        <f t="shared" si="142"/>
        <v>0</v>
      </c>
    </row>
    <row r="3763" spans="1:15" x14ac:dyDescent="0.25">
      <c r="A3763" s="207" t="str">
        <f>VLOOKUP(RIGHT(E3763,3)+0,SchLocTable!$A$2:$B$47,2,FALSE)</f>
        <v>Tisdale</v>
      </c>
      <c r="B3763" s="207" t="str">
        <f>VLOOKUP(VALUE(D3763),$D$3:F$106,3,FALSE)</f>
        <v>Custodians</v>
      </c>
      <c r="C3763" s="751" t="s">
        <v>246</v>
      </c>
      <c r="D3763" s="751" t="s">
        <v>991</v>
      </c>
      <c r="E3763" s="751" t="s">
        <v>1009</v>
      </c>
      <c r="F3763" s="751" t="s">
        <v>331</v>
      </c>
      <c r="G3763" s="752" t="s">
        <v>1681</v>
      </c>
      <c r="H3763" s="753">
        <v>52504</v>
      </c>
      <c r="I3763" s="754">
        <v>59398.37</v>
      </c>
      <c r="J3763" s="754">
        <v>0</v>
      </c>
      <c r="K3763" s="754">
        <v>0</v>
      </c>
      <c r="L3763" s="754">
        <v>13792.67</v>
      </c>
      <c r="M3763" s="754">
        <f t="shared" si="141"/>
        <v>13792.67</v>
      </c>
      <c r="N3763" s="756">
        <v>59398.37</v>
      </c>
      <c r="O3763" s="720">
        <f t="shared" si="142"/>
        <v>0</v>
      </c>
    </row>
    <row r="3764" spans="1:15" x14ac:dyDescent="0.25">
      <c r="A3764" s="207" t="str">
        <f>VLOOKUP(RIGHT(E3764,3)+0,SchLocTable!$A$2:$B$47,2,FALSE)</f>
        <v>Tisdale</v>
      </c>
      <c r="B3764" s="207" t="str">
        <f>VLOOKUP(VALUE(D3764),$D$3:F$106,3,FALSE)</f>
        <v>Custodians</v>
      </c>
      <c r="C3764" s="751" t="s">
        <v>246</v>
      </c>
      <c r="D3764" s="751" t="s">
        <v>991</v>
      </c>
      <c r="E3764" s="751" t="s">
        <v>1009</v>
      </c>
      <c r="F3764" s="751" t="s">
        <v>259</v>
      </c>
      <c r="G3764" s="752" t="s">
        <v>1681</v>
      </c>
      <c r="H3764" s="753">
        <v>52917</v>
      </c>
      <c r="I3764" s="754">
        <v>60147</v>
      </c>
      <c r="J3764" s="754">
        <v>0</v>
      </c>
      <c r="K3764" s="754">
        <v>0</v>
      </c>
      <c r="L3764" s="754">
        <v>19360.46</v>
      </c>
      <c r="M3764" s="754">
        <f t="shared" si="141"/>
        <v>19360.46</v>
      </c>
      <c r="N3764" s="756">
        <v>60147</v>
      </c>
      <c r="O3764" s="720">
        <f t="shared" si="142"/>
        <v>0</v>
      </c>
    </row>
    <row r="3765" spans="1:15" x14ac:dyDescent="0.25">
      <c r="A3765" s="207" t="str">
        <f>VLOOKUP(RIGHT(E3765,3)+0,SchLocTable!$A$2:$B$47,2,FALSE)</f>
        <v>Read</v>
      </c>
      <c r="B3765" s="207" t="str">
        <f>VLOOKUP(VALUE(D3765),$D$3:F$106,3,FALSE)</f>
        <v>Custodians</v>
      </c>
      <c r="C3765" s="751" t="s">
        <v>246</v>
      </c>
      <c r="D3765" s="751" t="s">
        <v>991</v>
      </c>
      <c r="E3765" s="751" t="s">
        <v>1010</v>
      </c>
      <c r="F3765" s="751" t="s">
        <v>248</v>
      </c>
      <c r="G3765" s="752">
        <v>5</v>
      </c>
      <c r="H3765" s="753">
        <v>51000</v>
      </c>
      <c r="I3765" s="754">
        <v>246882.48</v>
      </c>
      <c r="J3765" s="754">
        <v>0</v>
      </c>
      <c r="K3765" s="754">
        <v>0</v>
      </c>
      <c r="L3765" s="754">
        <v>76683.149999999994</v>
      </c>
      <c r="M3765" s="754">
        <f t="shared" si="141"/>
        <v>76683.149999999994</v>
      </c>
      <c r="N3765" s="756">
        <v>246882.48</v>
      </c>
      <c r="O3765" s="720">
        <f t="shared" si="142"/>
        <v>0</v>
      </c>
    </row>
    <row r="3766" spans="1:15" x14ac:dyDescent="0.25">
      <c r="A3766" s="207" t="str">
        <f>VLOOKUP(RIGHT(E3766,3)+0,SchLocTable!$A$2:$B$47,2,FALSE)</f>
        <v>Read</v>
      </c>
      <c r="B3766" s="207" t="str">
        <f>VLOOKUP(VALUE(D3766),$D$3:F$106,3,FALSE)</f>
        <v>Custodians</v>
      </c>
      <c r="C3766" s="751" t="s">
        <v>246</v>
      </c>
      <c r="D3766" s="751" t="s">
        <v>991</v>
      </c>
      <c r="E3766" s="751" t="s">
        <v>1010</v>
      </c>
      <c r="F3766" s="751" t="s">
        <v>919</v>
      </c>
      <c r="G3766" s="752" t="s">
        <v>1681</v>
      </c>
      <c r="H3766" s="753">
        <v>51102</v>
      </c>
      <c r="I3766" s="754">
        <v>0</v>
      </c>
      <c r="J3766" s="754">
        <v>0</v>
      </c>
      <c r="K3766" s="754">
        <v>0</v>
      </c>
      <c r="L3766" s="754">
        <v>0</v>
      </c>
      <c r="M3766" s="754">
        <f t="shared" si="141"/>
        <v>0</v>
      </c>
      <c r="N3766" s="756">
        <v>0</v>
      </c>
      <c r="O3766" s="720">
        <f t="shared" si="142"/>
        <v>0</v>
      </c>
    </row>
    <row r="3767" spans="1:15" x14ac:dyDescent="0.25">
      <c r="A3767" s="207" t="str">
        <f>VLOOKUP(RIGHT(E3767,3)+0,SchLocTable!$A$2:$B$47,2,FALSE)</f>
        <v>Read</v>
      </c>
      <c r="B3767" s="207" t="str">
        <f>VLOOKUP(VALUE(D3767),$D$3:F$106,3,FALSE)</f>
        <v>Custodians</v>
      </c>
      <c r="C3767" s="751" t="s">
        <v>246</v>
      </c>
      <c r="D3767" s="751" t="s">
        <v>991</v>
      </c>
      <c r="E3767" s="751" t="s">
        <v>1010</v>
      </c>
      <c r="F3767" s="751" t="s">
        <v>378</v>
      </c>
      <c r="G3767" s="752" t="s">
        <v>1681</v>
      </c>
      <c r="H3767" s="753">
        <v>51108</v>
      </c>
      <c r="I3767" s="754">
        <v>561.70000000000005</v>
      </c>
      <c r="J3767" s="754">
        <v>0</v>
      </c>
      <c r="K3767" s="754">
        <v>0</v>
      </c>
      <c r="L3767" s="754">
        <v>561.70000000000005</v>
      </c>
      <c r="M3767" s="754">
        <f t="shared" si="141"/>
        <v>561.70000000000005</v>
      </c>
      <c r="N3767" s="756">
        <v>561.70000000000005</v>
      </c>
      <c r="O3767" s="720">
        <f t="shared" si="142"/>
        <v>0</v>
      </c>
    </row>
    <row r="3768" spans="1:15" x14ac:dyDescent="0.25">
      <c r="A3768" s="207" t="str">
        <f>VLOOKUP(RIGHT(E3768,3)+0,SchLocTable!$A$2:$B$47,2,FALSE)</f>
        <v>Read</v>
      </c>
      <c r="B3768" s="207" t="str">
        <f>VLOOKUP(VALUE(D3768),$D$3:F$106,3,FALSE)</f>
        <v>Custodians</v>
      </c>
      <c r="C3768" s="751" t="s">
        <v>246</v>
      </c>
      <c r="D3768" s="751" t="s">
        <v>991</v>
      </c>
      <c r="E3768" s="751" t="s">
        <v>1010</v>
      </c>
      <c r="F3768" s="751" t="s">
        <v>380</v>
      </c>
      <c r="G3768" s="752" t="s">
        <v>1681</v>
      </c>
      <c r="H3768" s="753">
        <v>51122</v>
      </c>
      <c r="I3768" s="754">
        <v>42287.65</v>
      </c>
      <c r="J3768" s="754">
        <v>0</v>
      </c>
      <c r="K3768" s="754">
        <v>0</v>
      </c>
      <c r="L3768" s="754">
        <v>7489.68</v>
      </c>
      <c r="M3768" s="754">
        <f t="shared" si="141"/>
        <v>7489.68</v>
      </c>
      <c r="N3768" s="756">
        <v>42287.65</v>
      </c>
      <c r="O3768" s="720">
        <f t="shared" si="142"/>
        <v>0</v>
      </c>
    </row>
    <row r="3769" spans="1:15" x14ac:dyDescent="0.25">
      <c r="A3769" s="207" t="str">
        <f>VLOOKUP(RIGHT(E3769,3)+0,SchLocTable!$A$2:$B$47,2,FALSE)</f>
        <v>Read</v>
      </c>
      <c r="B3769" s="207" t="str">
        <f>VLOOKUP(VALUE(D3769),$D$3:F$106,3,FALSE)</f>
        <v>Custodians</v>
      </c>
      <c r="C3769" s="751" t="s">
        <v>246</v>
      </c>
      <c r="D3769" s="751" t="s">
        <v>991</v>
      </c>
      <c r="E3769" s="751" t="s">
        <v>1010</v>
      </c>
      <c r="F3769" s="751" t="s">
        <v>993</v>
      </c>
      <c r="G3769" s="752" t="s">
        <v>1681</v>
      </c>
      <c r="H3769" s="753">
        <v>51138</v>
      </c>
      <c r="I3769" s="754">
        <v>8260.01</v>
      </c>
      <c r="J3769" s="754">
        <v>0</v>
      </c>
      <c r="K3769" s="754">
        <v>0</v>
      </c>
      <c r="L3769" s="754">
        <v>1771.12</v>
      </c>
      <c r="M3769" s="754">
        <f t="shared" si="141"/>
        <v>1771.12</v>
      </c>
      <c r="N3769" s="756">
        <v>8260.01</v>
      </c>
      <c r="O3769" s="720">
        <f t="shared" si="142"/>
        <v>0</v>
      </c>
    </row>
    <row r="3770" spans="1:15" x14ac:dyDescent="0.25">
      <c r="A3770" s="207" t="str">
        <f>VLOOKUP(RIGHT(E3770,3)+0,SchLocTable!$A$2:$B$47,2,FALSE)</f>
        <v>Read</v>
      </c>
      <c r="B3770" s="207" t="str">
        <f>VLOOKUP(VALUE(D3770),$D$3:F$106,3,FALSE)</f>
        <v>Custodians</v>
      </c>
      <c r="C3770" s="751" t="s">
        <v>246</v>
      </c>
      <c r="D3770" s="751" t="s">
        <v>991</v>
      </c>
      <c r="E3770" s="751" t="s">
        <v>1010</v>
      </c>
      <c r="F3770" s="751" t="s">
        <v>257</v>
      </c>
      <c r="G3770" s="752" t="s">
        <v>1681</v>
      </c>
      <c r="H3770" s="753">
        <v>51140</v>
      </c>
      <c r="I3770" s="754">
        <v>4200</v>
      </c>
      <c r="J3770" s="754">
        <v>0</v>
      </c>
      <c r="K3770" s="754">
        <v>0</v>
      </c>
      <c r="L3770" s="754">
        <v>4200</v>
      </c>
      <c r="M3770" s="754">
        <f t="shared" si="141"/>
        <v>4200</v>
      </c>
      <c r="N3770" s="756">
        <v>4200</v>
      </c>
      <c r="O3770" s="720">
        <f t="shared" si="142"/>
        <v>0</v>
      </c>
    </row>
    <row r="3771" spans="1:15" x14ac:dyDescent="0.25">
      <c r="A3771" s="207" t="str">
        <f>VLOOKUP(RIGHT(E3771,3)+0,SchLocTable!$A$2:$B$47,2,FALSE)</f>
        <v>Read</v>
      </c>
      <c r="B3771" s="207" t="str">
        <f>VLOOKUP(VALUE(D3771),$D$3:F$106,3,FALSE)</f>
        <v>Custodians</v>
      </c>
      <c r="C3771" s="751" t="s">
        <v>246</v>
      </c>
      <c r="D3771" s="751" t="s">
        <v>991</v>
      </c>
      <c r="E3771" s="751" t="s">
        <v>1010</v>
      </c>
      <c r="F3771" s="751" t="s">
        <v>797</v>
      </c>
      <c r="G3771" s="752" t="s">
        <v>1681</v>
      </c>
      <c r="H3771" s="753">
        <v>51156</v>
      </c>
      <c r="I3771" s="754">
        <v>0</v>
      </c>
      <c r="J3771" s="754">
        <v>0</v>
      </c>
      <c r="K3771" s="754">
        <v>0</v>
      </c>
      <c r="L3771" s="754">
        <v>0</v>
      </c>
      <c r="M3771" s="754">
        <f t="shared" si="141"/>
        <v>0</v>
      </c>
      <c r="N3771" s="756">
        <v>0</v>
      </c>
      <c r="O3771" s="720">
        <f t="shared" si="142"/>
        <v>0</v>
      </c>
    </row>
    <row r="3772" spans="1:15" x14ac:dyDescent="0.25">
      <c r="A3772" s="207" t="str">
        <f>VLOOKUP(RIGHT(E3772,3)+0,SchLocTable!$A$2:$B$47,2,FALSE)</f>
        <v>Read</v>
      </c>
      <c r="B3772" s="207" t="str">
        <f>VLOOKUP(VALUE(D3772),$D$3:F$106,3,FALSE)</f>
        <v>Custodians</v>
      </c>
      <c r="C3772" s="751" t="s">
        <v>246</v>
      </c>
      <c r="D3772" s="751" t="s">
        <v>991</v>
      </c>
      <c r="E3772" s="751" t="s">
        <v>1010</v>
      </c>
      <c r="F3772" s="751" t="s">
        <v>254</v>
      </c>
      <c r="G3772" s="752" t="s">
        <v>1681</v>
      </c>
      <c r="H3772" s="753">
        <v>52360</v>
      </c>
      <c r="I3772" s="754">
        <v>4358.5200000000004</v>
      </c>
      <c r="J3772" s="754">
        <v>0</v>
      </c>
      <c r="K3772" s="754">
        <v>0</v>
      </c>
      <c r="L3772" s="754">
        <v>1291.97</v>
      </c>
      <c r="M3772" s="754">
        <f t="shared" si="141"/>
        <v>1291.97</v>
      </c>
      <c r="N3772" s="756">
        <v>4358.5200000000004</v>
      </c>
      <c r="O3772" s="720">
        <f t="shared" si="142"/>
        <v>0</v>
      </c>
    </row>
    <row r="3773" spans="1:15" x14ac:dyDescent="0.25">
      <c r="A3773" s="207" t="str">
        <f>VLOOKUP(RIGHT(E3773,3)+0,SchLocTable!$A$2:$B$47,2,FALSE)</f>
        <v>Read</v>
      </c>
      <c r="B3773" s="207" t="str">
        <f>VLOOKUP(VALUE(D3773),$D$3:F$106,3,FALSE)</f>
        <v>Custodians</v>
      </c>
      <c r="C3773" s="751" t="s">
        <v>246</v>
      </c>
      <c r="D3773" s="751" t="s">
        <v>991</v>
      </c>
      <c r="E3773" s="751" t="s">
        <v>1010</v>
      </c>
      <c r="F3773" s="751" t="s">
        <v>292</v>
      </c>
      <c r="G3773" s="752" t="s">
        <v>1681</v>
      </c>
      <c r="H3773" s="753">
        <v>52385</v>
      </c>
      <c r="I3773" s="754">
        <v>0</v>
      </c>
      <c r="J3773" s="754">
        <v>0</v>
      </c>
      <c r="K3773" s="754">
        <v>0</v>
      </c>
      <c r="L3773" s="754">
        <v>0</v>
      </c>
      <c r="M3773" s="754">
        <f t="shared" si="141"/>
        <v>0</v>
      </c>
      <c r="N3773" s="756">
        <v>0</v>
      </c>
      <c r="O3773" s="720">
        <f t="shared" si="142"/>
        <v>0</v>
      </c>
    </row>
    <row r="3774" spans="1:15" x14ac:dyDescent="0.25">
      <c r="A3774" s="207" t="str">
        <f>VLOOKUP(RIGHT(E3774,3)+0,SchLocTable!$A$2:$B$47,2,FALSE)</f>
        <v>Read</v>
      </c>
      <c r="B3774" s="207" t="str">
        <f>VLOOKUP(VALUE(D3774),$D$3:F$106,3,FALSE)</f>
        <v>Custodians</v>
      </c>
      <c r="C3774" s="751" t="s">
        <v>246</v>
      </c>
      <c r="D3774" s="751" t="s">
        <v>991</v>
      </c>
      <c r="E3774" s="751" t="s">
        <v>1010</v>
      </c>
      <c r="F3774" s="751" t="s">
        <v>806</v>
      </c>
      <c r="G3774" s="752" t="s">
        <v>1681</v>
      </c>
      <c r="H3774" s="753">
        <v>52397</v>
      </c>
      <c r="I3774" s="754">
        <v>0</v>
      </c>
      <c r="J3774" s="754">
        <v>0</v>
      </c>
      <c r="K3774" s="754">
        <v>0</v>
      </c>
      <c r="L3774" s="754">
        <v>0</v>
      </c>
      <c r="M3774" s="754">
        <f t="shared" si="141"/>
        <v>0</v>
      </c>
      <c r="N3774" s="756">
        <v>0</v>
      </c>
      <c r="O3774" s="720">
        <f t="shared" si="142"/>
        <v>0</v>
      </c>
    </row>
    <row r="3775" spans="1:15" x14ac:dyDescent="0.25">
      <c r="A3775" s="207" t="str">
        <f>VLOOKUP(RIGHT(E3775,3)+0,SchLocTable!$A$2:$B$47,2,FALSE)</f>
        <v>Read</v>
      </c>
      <c r="B3775" s="207" t="str">
        <f>VLOOKUP(VALUE(D3775),$D$3:F$106,3,FALSE)</f>
        <v>Custodians</v>
      </c>
      <c r="C3775" s="751" t="s">
        <v>246</v>
      </c>
      <c r="D3775" s="751" t="s">
        <v>991</v>
      </c>
      <c r="E3775" s="751" t="s">
        <v>1010</v>
      </c>
      <c r="F3775" s="751" t="s">
        <v>331</v>
      </c>
      <c r="G3775" s="752" t="s">
        <v>1681</v>
      </c>
      <c r="H3775" s="753">
        <v>52504</v>
      </c>
      <c r="I3775" s="754">
        <v>62221.25</v>
      </c>
      <c r="J3775" s="754">
        <v>0</v>
      </c>
      <c r="K3775" s="754">
        <v>0</v>
      </c>
      <c r="L3775" s="754">
        <v>18676.240000000002</v>
      </c>
      <c r="M3775" s="754">
        <f t="shared" ref="M3775:M3838" si="143">SUM(J3775:L3775)</f>
        <v>18676.240000000002</v>
      </c>
      <c r="N3775" s="756">
        <v>62221.25</v>
      </c>
      <c r="O3775" s="720">
        <f t="shared" ref="O3775:O3838" si="144">I3775-N3775</f>
        <v>0</v>
      </c>
    </row>
    <row r="3776" spans="1:15" x14ac:dyDescent="0.25">
      <c r="A3776" s="207" t="str">
        <f>VLOOKUP(RIGHT(E3776,3)+0,SchLocTable!$A$2:$B$47,2,FALSE)</f>
        <v>Read</v>
      </c>
      <c r="B3776" s="207" t="str">
        <f>VLOOKUP(VALUE(D3776),$D$3:F$106,3,FALSE)</f>
        <v>Custodians</v>
      </c>
      <c r="C3776" s="751" t="s">
        <v>246</v>
      </c>
      <c r="D3776" s="751" t="s">
        <v>991</v>
      </c>
      <c r="E3776" s="751" t="s">
        <v>1010</v>
      </c>
      <c r="F3776" s="751" t="s">
        <v>259</v>
      </c>
      <c r="G3776" s="752" t="s">
        <v>1681</v>
      </c>
      <c r="H3776" s="753">
        <v>52917</v>
      </c>
      <c r="I3776" s="754">
        <v>52099.25</v>
      </c>
      <c r="J3776" s="754">
        <v>0</v>
      </c>
      <c r="K3776" s="754">
        <v>0</v>
      </c>
      <c r="L3776" s="754">
        <v>15969.12</v>
      </c>
      <c r="M3776" s="754">
        <f t="shared" si="143"/>
        <v>15969.12</v>
      </c>
      <c r="N3776" s="756">
        <v>52099.25</v>
      </c>
      <c r="O3776" s="720">
        <f t="shared" si="144"/>
        <v>0</v>
      </c>
    </row>
    <row r="3777" spans="1:15" x14ac:dyDescent="0.25">
      <c r="A3777" s="207" t="str">
        <f>VLOOKUP(RIGHT(E3777,3)+0,SchLocTable!$A$2:$B$47,2,FALSE)</f>
        <v>Read</v>
      </c>
      <c r="B3777" s="207" t="str">
        <f>VLOOKUP(VALUE(D3777),$D$3:F$106,3,FALSE)</f>
        <v>Custodians</v>
      </c>
      <c r="C3777" s="751" t="s">
        <v>246</v>
      </c>
      <c r="D3777" s="751" t="s">
        <v>991</v>
      </c>
      <c r="E3777" s="751" t="s">
        <v>1010</v>
      </c>
      <c r="F3777" s="751" t="s">
        <v>333</v>
      </c>
      <c r="G3777" s="752" t="s">
        <v>1681</v>
      </c>
      <c r="H3777" s="753">
        <v>52920</v>
      </c>
      <c r="I3777" s="754">
        <v>2000</v>
      </c>
      <c r="J3777" s="754">
        <v>0</v>
      </c>
      <c r="K3777" s="754">
        <v>0</v>
      </c>
      <c r="L3777" s="754">
        <v>1000</v>
      </c>
      <c r="M3777" s="754">
        <f t="shared" si="143"/>
        <v>1000</v>
      </c>
      <c r="N3777" s="756">
        <v>2000</v>
      </c>
      <c r="O3777" s="720">
        <f t="shared" si="144"/>
        <v>0</v>
      </c>
    </row>
    <row r="3778" spans="1:15" x14ac:dyDescent="0.25">
      <c r="A3778" s="207" t="str">
        <f>VLOOKUP(RIGHT(E3778,3)+0,SchLocTable!$A$2:$B$47,2,FALSE)</f>
        <v>Roosevelt</v>
      </c>
      <c r="B3778" s="207" t="str">
        <f>VLOOKUP(VALUE(D3778),$D$3:F$106,3,FALSE)</f>
        <v>Custodians</v>
      </c>
      <c r="C3778" s="751" t="s">
        <v>246</v>
      </c>
      <c r="D3778" s="751" t="s">
        <v>991</v>
      </c>
      <c r="E3778" s="751" t="s">
        <v>1011</v>
      </c>
      <c r="F3778" s="751" t="s">
        <v>248</v>
      </c>
      <c r="G3778" s="752">
        <v>4</v>
      </c>
      <c r="H3778" s="753">
        <v>51000</v>
      </c>
      <c r="I3778" s="754">
        <v>206640.15</v>
      </c>
      <c r="J3778" s="754">
        <v>0</v>
      </c>
      <c r="K3778" s="754">
        <v>0</v>
      </c>
      <c r="L3778" s="754">
        <v>62578.52</v>
      </c>
      <c r="M3778" s="754">
        <f t="shared" si="143"/>
        <v>62578.52</v>
      </c>
      <c r="N3778" s="756">
        <v>206640.15</v>
      </c>
      <c r="O3778" s="720">
        <f t="shared" si="144"/>
        <v>0</v>
      </c>
    </row>
    <row r="3779" spans="1:15" x14ac:dyDescent="0.25">
      <c r="A3779" s="207" t="str">
        <f>VLOOKUP(RIGHT(E3779,3)+0,SchLocTable!$A$2:$B$47,2,FALSE)</f>
        <v>Roosevelt</v>
      </c>
      <c r="B3779" s="207" t="str">
        <f>VLOOKUP(VALUE(D3779),$D$3:F$106,3,FALSE)</f>
        <v>Custodians</v>
      </c>
      <c r="C3779" s="751" t="s">
        <v>246</v>
      </c>
      <c r="D3779" s="751" t="s">
        <v>991</v>
      </c>
      <c r="E3779" s="751" t="s">
        <v>1011</v>
      </c>
      <c r="F3779" s="751" t="s">
        <v>919</v>
      </c>
      <c r="G3779" s="752" t="s">
        <v>1681</v>
      </c>
      <c r="H3779" s="753">
        <v>51102</v>
      </c>
      <c r="I3779" s="754">
        <v>0</v>
      </c>
      <c r="J3779" s="754">
        <v>0</v>
      </c>
      <c r="K3779" s="754">
        <v>0</v>
      </c>
      <c r="L3779" s="754">
        <v>0</v>
      </c>
      <c r="M3779" s="754">
        <f t="shared" si="143"/>
        <v>0</v>
      </c>
      <c r="N3779" s="756">
        <v>0</v>
      </c>
      <c r="O3779" s="720">
        <f t="shared" si="144"/>
        <v>0</v>
      </c>
    </row>
    <row r="3780" spans="1:15" x14ac:dyDescent="0.25">
      <c r="A3780" s="207" t="str">
        <f>VLOOKUP(RIGHT(E3780,3)+0,SchLocTable!$A$2:$B$47,2,FALSE)</f>
        <v>Roosevelt</v>
      </c>
      <c r="B3780" s="207" t="str">
        <f>VLOOKUP(VALUE(D3780),$D$3:F$106,3,FALSE)</f>
        <v>Custodians</v>
      </c>
      <c r="C3780" s="751" t="s">
        <v>246</v>
      </c>
      <c r="D3780" s="751" t="s">
        <v>991</v>
      </c>
      <c r="E3780" s="751" t="s">
        <v>1011</v>
      </c>
      <c r="F3780" s="751" t="s">
        <v>378</v>
      </c>
      <c r="G3780" s="752" t="s">
        <v>1681</v>
      </c>
      <c r="H3780" s="753">
        <v>51108</v>
      </c>
      <c r="I3780" s="754">
        <v>4669.47</v>
      </c>
      <c r="J3780" s="754">
        <v>0</v>
      </c>
      <c r="K3780" s="754">
        <v>0</v>
      </c>
      <c r="L3780" s="754">
        <v>733.81</v>
      </c>
      <c r="M3780" s="754">
        <f t="shared" si="143"/>
        <v>733.81</v>
      </c>
      <c r="N3780" s="756">
        <v>4669.47</v>
      </c>
      <c r="O3780" s="720">
        <f t="shared" si="144"/>
        <v>0</v>
      </c>
    </row>
    <row r="3781" spans="1:15" x14ac:dyDescent="0.25">
      <c r="A3781" s="207" t="str">
        <f>VLOOKUP(RIGHT(E3781,3)+0,SchLocTable!$A$2:$B$47,2,FALSE)</f>
        <v>Roosevelt</v>
      </c>
      <c r="B3781" s="207" t="str">
        <f>VLOOKUP(VALUE(D3781),$D$3:F$106,3,FALSE)</f>
        <v>Custodians</v>
      </c>
      <c r="C3781" s="751" t="s">
        <v>246</v>
      </c>
      <c r="D3781" s="751" t="s">
        <v>991</v>
      </c>
      <c r="E3781" s="751" t="s">
        <v>1011</v>
      </c>
      <c r="F3781" s="751" t="s">
        <v>915</v>
      </c>
      <c r="G3781" s="752" t="s">
        <v>1681</v>
      </c>
      <c r="H3781" s="753">
        <v>51116</v>
      </c>
      <c r="I3781" s="754">
        <v>0</v>
      </c>
      <c r="J3781" s="754">
        <v>0</v>
      </c>
      <c r="K3781" s="754">
        <v>0</v>
      </c>
      <c r="L3781" s="754">
        <v>0</v>
      </c>
      <c r="M3781" s="754">
        <f t="shared" si="143"/>
        <v>0</v>
      </c>
      <c r="N3781" s="756">
        <v>0</v>
      </c>
      <c r="O3781" s="720">
        <f t="shared" si="144"/>
        <v>0</v>
      </c>
    </row>
    <row r="3782" spans="1:15" x14ac:dyDescent="0.25">
      <c r="A3782" s="207" t="str">
        <f>VLOOKUP(RIGHT(E3782,3)+0,SchLocTable!$A$2:$B$47,2,FALSE)</f>
        <v>Roosevelt</v>
      </c>
      <c r="B3782" s="207" t="str">
        <f>VLOOKUP(VALUE(D3782),$D$3:F$106,3,FALSE)</f>
        <v>Custodians</v>
      </c>
      <c r="C3782" s="751" t="s">
        <v>246</v>
      </c>
      <c r="D3782" s="751" t="s">
        <v>991</v>
      </c>
      <c r="E3782" s="751" t="s">
        <v>1011</v>
      </c>
      <c r="F3782" s="751" t="s">
        <v>380</v>
      </c>
      <c r="G3782" s="752" t="s">
        <v>1681</v>
      </c>
      <c r="H3782" s="753">
        <v>51122</v>
      </c>
      <c r="I3782" s="754">
        <v>37131.39</v>
      </c>
      <c r="J3782" s="754">
        <v>0</v>
      </c>
      <c r="K3782" s="754">
        <v>0</v>
      </c>
      <c r="L3782" s="754">
        <v>5148.04</v>
      </c>
      <c r="M3782" s="754">
        <f t="shared" si="143"/>
        <v>5148.04</v>
      </c>
      <c r="N3782" s="756">
        <v>37131.39</v>
      </c>
      <c r="O3782" s="720">
        <f t="shared" si="144"/>
        <v>0</v>
      </c>
    </row>
    <row r="3783" spans="1:15" x14ac:dyDescent="0.25">
      <c r="A3783" s="207" t="str">
        <f>VLOOKUP(RIGHT(E3783,3)+0,SchLocTable!$A$2:$B$47,2,FALSE)</f>
        <v>Roosevelt</v>
      </c>
      <c r="B3783" s="207" t="str">
        <f>VLOOKUP(VALUE(D3783),$D$3:F$106,3,FALSE)</f>
        <v>Custodians</v>
      </c>
      <c r="C3783" s="751" t="s">
        <v>246</v>
      </c>
      <c r="D3783" s="751" t="s">
        <v>991</v>
      </c>
      <c r="E3783" s="751" t="s">
        <v>1011</v>
      </c>
      <c r="F3783" s="751" t="s">
        <v>993</v>
      </c>
      <c r="G3783" s="752" t="s">
        <v>1681</v>
      </c>
      <c r="H3783" s="753">
        <v>51138</v>
      </c>
      <c r="I3783" s="754">
        <v>8176.19</v>
      </c>
      <c r="J3783" s="754">
        <v>0</v>
      </c>
      <c r="K3783" s="754">
        <v>0</v>
      </c>
      <c r="L3783" s="754">
        <v>1479.51</v>
      </c>
      <c r="M3783" s="754">
        <f t="shared" si="143"/>
        <v>1479.51</v>
      </c>
      <c r="N3783" s="756">
        <v>8176.19</v>
      </c>
      <c r="O3783" s="720">
        <f t="shared" si="144"/>
        <v>0</v>
      </c>
    </row>
    <row r="3784" spans="1:15" x14ac:dyDescent="0.25">
      <c r="A3784" s="207" t="str">
        <f>VLOOKUP(RIGHT(E3784,3)+0,SchLocTable!$A$2:$B$47,2,FALSE)</f>
        <v>Roosevelt</v>
      </c>
      <c r="B3784" s="207" t="str">
        <f>VLOOKUP(VALUE(D3784),$D$3:F$106,3,FALSE)</f>
        <v>Custodians</v>
      </c>
      <c r="C3784" s="751" t="s">
        <v>246</v>
      </c>
      <c r="D3784" s="751" t="s">
        <v>991</v>
      </c>
      <c r="E3784" s="751" t="s">
        <v>1011</v>
      </c>
      <c r="F3784" s="751" t="s">
        <v>257</v>
      </c>
      <c r="G3784" s="752" t="s">
        <v>1681</v>
      </c>
      <c r="H3784" s="753">
        <v>51140</v>
      </c>
      <c r="I3784" s="754">
        <v>2625</v>
      </c>
      <c r="J3784" s="754">
        <v>0</v>
      </c>
      <c r="K3784" s="754">
        <v>0</v>
      </c>
      <c r="L3784" s="754">
        <v>2625</v>
      </c>
      <c r="M3784" s="754">
        <f t="shared" si="143"/>
        <v>2625</v>
      </c>
      <c r="N3784" s="756">
        <v>2625</v>
      </c>
      <c r="O3784" s="720">
        <f t="shared" si="144"/>
        <v>0</v>
      </c>
    </row>
    <row r="3785" spans="1:15" x14ac:dyDescent="0.25">
      <c r="A3785" s="207" t="str">
        <f>VLOOKUP(RIGHT(E3785,3)+0,SchLocTable!$A$2:$B$47,2,FALSE)</f>
        <v>Roosevelt</v>
      </c>
      <c r="B3785" s="207" t="str">
        <f>VLOOKUP(VALUE(D3785),$D$3:F$106,3,FALSE)</f>
        <v>Custodians</v>
      </c>
      <c r="C3785" s="751" t="s">
        <v>246</v>
      </c>
      <c r="D3785" s="751" t="s">
        <v>991</v>
      </c>
      <c r="E3785" s="751" t="s">
        <v>1011</v>
      </c>
      <c r="F3785" s="751" t="s">
        <v>797</v>
      </c>
      <c r="G3785" s="752" t="s">
        <v>1681</v>
      </c>
      <c r="H3785" s="753">
        <v>51156</v>
      </c>
      <c r="I3785" s="754">
        <v>0</v>
      </c>
      <c r="J3785" s="754">
        <v>0</v>
      </c>
      <c r="K3785" s="754">
        <v>0</v>
      </c>
      <c r="L3785" s="754">
        <v>0</v>
      </c>
      <c r="M3785" s="754">
        <f t="shared" si="143"/>
        <v>0</v>
      </c>
      <c r="N3785" s="756">
        <v>0</v>
      </c>
      <c r="O3785" s="720">
        <f t="shared" si="144"/>
        <v>0</v>
      </c>
    </row>
    <row r="3786" spans="1:15" x14ac:dyDescent="0.25">
      <c r="A3786" s="207" t="str">
        <f>VLOOKUP(RIGHT(E3786,3)+0,SchLocTable!$A$2:$B$47,2,FALSE)</f>
        <v>Roosevelt</v>
      </c>
      <c r="B3786" s="207" t="str">
        <f>VLOOKUP(VALUE(D3786),$D$3:F$106,3,FALSE)</f>
        <v>Custodians</v>
      </c>
      <c r="C3786" s="751" t="s">
        <v>246</v>
      </c>
      <c r="D3786" s="751" t="s">
        <v>991</v>
      </c>
      <c r="E3786" s="751" t="s">
        <v>1011</v>
      </c>
      <c r="F3786" s="751" t="s">
        <v>254</v>
      </c>
      <c r="G3786" s="752" t="s">
        <v>1681</v>
      </c>
      <c r="H3786" s="753">
        <v>52360</v>
      </c>
      <c r="I3786" s="754">
        <v>3663.48</v>
      </c>
      <c r="J3786" s="754">
        <v>0</v>
      </c>
      <c r="K3786" s="754">
        <v>0</v>
      </c>
      <c r="L3786" s="754">
        <v>956.66</v>
      </c>
      <c r="M3786" s="754">
        <f t="shared" si="143"/>
        <v>956.66</v>
      </c>
      <c r="N3786" s="756">
        <v>3663.48</v>
      </c>
      <c r="O3786" s="720">
        <f t="shared" si="144"/>
        <v>0</v>
      </c>
    </row>
    <row r="3787" spans="1:15" x14ac:dyDescent="0.25">
      <c r="A3787" s="207" t="str">
        <f>VLOOKUP(RIGHT(E3787,3)+0,SchLocTable!$A$2:$B$47,2,FALSE)</f>
        <v>Roosevelt</v>
      </c>
      <c r="B3787" s="207" t="str">
        <f>VLOOKUP(VALUE(D3787),$D$3:F$106,3,FALSE)</f>
        <v>Custodians</v>
      </c>
      <c r="C3787" s="751" t="s">
        <v>246</v>
      </c>
      <c r="D3787" s="751" t="s">
        <v>991</v>
      </c>
      <c r="E3787" s="751" t="s">
        <v>1011</v>
      </c>
      <c r="F3787" s="751" t="s">
        <v>292</v>
      </c>
      <c r="G3787" s="752" t="s">
        <v>1681</v>
      </c>
      <c r="H3787" s="753">
        <v>52385</v>
      </c>
      <c r="I3787" s="754">
        <v>0</v>
      </c>
      <c r="J3787" s="754">
        <v>0</v>
      </c>
      <c r="K3787" s="754">
        <v>0</v>
      </c>
      <c r="L3787" s="754">
        <v>0</v>
      </c>
      <c r="M3787" s="754">
        <f t="shared" si="143"/>
        <v>0</v>
      </c>
      <c r="N3787" s="756">
        <v>0</v>
      </c>
      <c r="O3787" s="720">
        <f t="shared" si="144"/>
        <v>0</v>
      </c>
    </row>
    <row r="3788" spans="1:15" x14ac:dyDescent="0.25">
      <c r="A3788" s="207" t="str">
        <f>VLOOKUP(RIGHT(E3788,3)+0,SchLocTable!$A$2:$B$47,2,FALSE)</f>
        <v>Roosevelt</v>
      </c>
      <c r="B3788" s="207" t="str">
        <f>VLOOKUP(VALUE(D3788),$D$3:F$106,3,FALSE)</f>
        <v>Custodians</v>
      </c>
      <c r="C3788" s="751" t="s">
        <v>246</v>
      </c>
      <c r="D3788" s="751" t="s">
        <v>991</v>
      </c>
      <c r="E3788" s="751" t="s">
        <v>1011</v>
      </c>
      <c r="F3788" s="751" t="s">
        <v>331</v>
      </c>
      <c r="G3788" s="752" t="s">
        <v>1681</v>
      </c>
      <c r="H3788" s="753">
        <v>52504</v>
      </c>
      <c r="I3788" s="754">
        <v>53377.99</v>
      </c>
      <c r="J3788" s="754">
        <v>0</v>
      </c>
      <c r="K3788" s="754">
        <v>0</v>
      </c>
      <c r="L3788" s="754">
        <v>14941.13</v>
      </c>
      <c r="M3788" s="754">
        <f t="shared" si="143"/>
        <v>14941.13</v>
      </c>
      <c r="N3788" s="756">
        <v>53377.99</v>
      </c>
      <c r="O3788" s="720">
        <f t="shared" si="144"/>
        <v>0</v>
      </c>
    </row>
    <row r="3789" spans="1:15" x14ac:dyDescent="0.25">
      <c r="A3789" s="207" t="str">
        <f>VLOOKUP(RIGHT(E3789,3)+0,SchLocTable!$A$2:$B$47,2,FALSE)</f>
        <v>Roosevelt</v>
      </c>
      <c r="B3789" s="207" t="str">
        <f>VLOOKUP(VALUE(D3789),$D$3:F$106,3,FALSE)</f>
        <v>Custodians</v>
      </c>
      <c r="C3789" s="751" t="s">
        <v>246</v>
      </c>
      <c r="D3789" s="751" t="s">
        <v>991</v>
      </c>
      <c r="E3789" s="751" t="s">
        <v>1011</v>
      </c>
      <c r="F3789" s="751" t="s">
        <v>259</v>
      </c>
      <c r="G3789" s="752" t="s">
        <v>1681</v>
      </c>
      <c r="H3789" s="753">
        <v>52917</v>
      </c>
      <c r="I3789" s="754">
        <v>67073.350000000006</v>
      </c>
      <c r="J3789" s="754">
        <v>0</v>
      </c>
      <c r="K3789" s="754">
        <v>0</v>
      </c>
      <c r="L3789" s="754">
        <v>20558.88</v>
      </c>
      <c r="M3789" s="754">
        <f t="shared" si="143"/>
        <v>20558.88</v>
      </c>
      <c r="N3789" s="756">
        <v>67073.350000000006</v>
      </c>
      <c r="O3789" s="720">
        <f t="shared" si="144"/>
        <v>0</v>
      </c>
    </row>
    <row r="3790" spans="1:15" x14ac:dyDescent="0.25">
      <c r="A3790" s="207" t="str">
        <f>VLOOKUP(RIGHT(E3790,3)+0,SchLocTable!$A$2:$B$47,2,FALSE)</f>
        <v>Roosevelt</v>
      </c>
      <c r="B3790" s="207" t="str">
        <f>VLOOKUP(VALUE(D3790),$D$3:F$106,3,FALSE)</f>
        <v>Custodians</v>
      </c>
      <c r="C3790" s="751" t="s">
        <v>246</v>
      </c>
      <c r="D3790" s="751" t="s">
        <v>991</v>
      </c>
      <c r="E3790" s="751" t="s">
        <v>1011</v>
      </c>
      <c r="F3790" s="751" t="s">
        <v>333</v>
      </c>
      <c r="G3790" s="752" t="s">
        <v>1681</v>
      </c>
      <c r="H3790" s="753">
        <v>52920</v>
      </c>
      <c r="I3790" s="754">
        <v>1000</v>
      </c>
      <c r="J3790" s="754">
        <v>0</v>
      </c>
      <c r="K3790" s="754">
        <v>0</v>
      </c>
      <c r="L3790" s="754">
        <v>0</v>
      </c>
      <c r="M3790" s="754">
        <f t="shared" si="143"/>
        <v>0</v>
      </c>
      <c r="N3790" s="756">
        <v>1000</v>
      </c>
      <c r="O3790" s="720">
        <f t="shared" si="144"/>
        <v>0</v>
      </c>
    </row>
    <row r="3791" spans="1:15" x14ac:dyDescent="0.25">
      <c r="A3791" s="207" t="str">
        <f>VLOOKUP(RIGHT(E3791,3)+0,SchLocTable!$A$2:$B$47,2,FALSE)</f>
        <v>Bridgeport Learning Center</v>
      </c>
      <c r="B3791" s="207" t="str">
        <f>VLOOKUP(VALUE(D3791),$D$3:F$106,3,FALSE)</f>
        <v>Custodians</v>
      </c>
      <c r="C3791" s="751" t="s">
        <v>246</v>
      </c>
      <c r="D3791" s="751" t="s">
        <v>991</v>
      </c>
      <c r="E3791" s="751" t="s">
        <v>1012</v>
      </c>
      <c r="F3791" s="751" t="s">
        <v>248</v>
      </c>
      <c r="G3791" s="752">
        <v>1</v>
      </c>
      <c r="H3791" s="753">
        <v>51000</v>
      </c>
      <c r="I3791" s="754">
        <v>49991.91</v>
      </c>
      <c r="J3791" s="754">
        <v>0</v>
      </c>
      <c r="K3791" s="754">
        <v>0</v>
      </c>
      <c r="L3791" s="754">
        <v>15219.28</v>
      </c>
      <c r="M3791" s="754">
        <f t="shared" si="143"/>
        <v>15219.28</v>
      </c>
      <c r="N3791" s="756">
        <v>49991.91</v>
      </c>
      <c r="O3791" s="720">
        <f t="shared" si="144"/>
        <v>0</v>
      </c>
    </row>
    <row r="3792" spans="1:15" x14ac:dyDescent="0.25">
      <c r="A3792" s="207" t="str">
        <f>VLOOKUP(RIGHT(E3792,3)+0,SchLocTable!$A$2:$B$47,2,FALSE)</f>
        <v>Bridgeport Learning Center</v>
      </c>
      <c r="B3792" s="207" t="str">
        <f>VLOOKUP(VALUE(D3792),$D$3:F$106,3,FALSE)</f>
        <v>Custodians</v>
      </c>
      <c r="C3792" s="751" t="s">
        <v>246</v>
      </c>
      <c r="D3792" s="751" t="s">
        <v>991</v>
      </c>
      <c r="E3792" s="751" t="s">
        <v>1012</v>
      </c>
      <c r="F3792" s="751" t="s">
        <v>378</v>
      </c>
      <c r="G3792" s="752" t="s">
        <v>1681</v>
      </c>
      <c r="H3792" s="753">
        <v>51108</v>
      </c>
      <c r="I3792" s="754">
        <v>10584.66</v>
      </c>
      <c r="J3792" s="754">
        <v>0</v>
      </c>
      <c r="K3792" s="754">
        <v>0</v>
      </c>
      <c r="L3792" s="754">
        <v>334.63</v>
      </c>
      <c r="M3792" s="754">
        <f t="shared" si="143"/>
        <v>334.63</v>
      </c>
      <c r="N3792" s="756">
        <v>10584.66</v>
      </c>
      <c r="O3792" s="720">
        <f t="shared" si="144"/>
        <v>0</v>
      </c>
    </row>
    <row r="3793" spans="1:15" x14ac:dyDescent="0.25">
      <c r="A3793" s="207" t="str">
        <f>VLOOKUP(RIGHT(E3793,3)+0,SchLocTable!$A$2:$B$47,2,FALSE)</f>
        <v>Bridgeport Learning Center</v>
      </c>
      <c r="B3793" s="207" t="str">
        <f>VLOOKUP(VALUE(D3793),$D$3:F$106,3,FALSE)</f>
        <v>Custodians</v>
      </c>
      <c r="C3793" s="751" t="s">
        <v>246</v>
      </c>
      <c r="D3793" s="751" t="s">
        <v>991</v>
      </c>
      <c r="E3793" s="751" t="s">
        <v>1012</v>
      </c>
      <c r="F3793" s="751" t="s">
        <v>380</v>
      </c>
      <c r="G3793" s="752" t="s">
        <v>1681</v>
      </c>
      <c r="H3793" s="753">
        <v>51122</v>
      </c>
      <c r="I3793" s="754">
        <v>16617.490000000002</v>
      </c>
      <c r="J3793" s="754">
        <v>0</v>
      </c>
      <c r="K3793" s="754">
        <v>0</v>
      </c>
      <c r="L3793" s="754">
        <v>1359.55</v>
      </c>
      <c r="M3793" s="754">
        <f t="shared" si="143"/>
        <v>1359.55</v>
      </c>
      <c r="N3793" s="756">
        <v>16617.490000000002</v>
      </c>
      <c r="O3793" s="720">
        <f t="shared" si="144"/>
        <v>0</v>
      </c>
    </row>
    <row r="3794" spans="1:15" x14ac:dyDescent="0.25">
      <c r="A3794" s="207" t="str">
        <f>VLOOKUP(RIGHT(E3794,3)+0,SchLocTable!$A$2:$B$47,2,FALSE)</f>
        <v>Bridgeport Learning Center</v>
      </c>
      <c r="B3794" s="207" t="str">
        <f>VLOOKUP(VALUE(D3794),$D$3:F$106,3,FALSE)</f>
        <v>Custodians</v>
      </c>
      <c r="C3794" s="751" t="s">
        <v>246</v>
      </c>
      <c r="D3794" s="751" t="s">
        <v>991</v>
      </c>
      <c r="E3794" s="751" t="s">
        <v>1012</v>
      </c>
      <c r="F3794" s="751" t="s">
        <v>257</v>
      </c>
      <c r="G3794" s="752" t="s">
        <v>1681</v>
      </c>
      <c r="H3794" s="753">
        <v>51140</v>
      </c>
      <c r="I3794" s="754">
        <v>2250</v>
      </c>
      <c r="J3794" s="754">
        <v>0</v>
      </c>
      <c r="K3794" s="754">
        <v>0</v>
      </c>
      <c r="L3794" s="754">
        <v>0</v>
      </c>
      <c r="M3794" s="754">
        <f t="shared" si="143"/>
        <v>0</v>
      </c>
      <c r="N3794" s="756">
        <v>2250</v>
      </c>
      <c r="O3794" s="720">
        <f t="shared" si="144"/>
        <v>0</v>
      </c>
    </row>
    <row r="3795" spans="1:15" x14ac:dyDescent="0.25">
      <c r="A3795" s="207" t="str">
        <f>VLOOKUP(RIGHT(E3795,3)+0,SchLocTable!$A$2:$B$47,2,FALSE)</f>
        <v>Bridgeport Learning Center</v>
      </c>
      <c r="B3795" s="207" t="str">
        <f>VLOOKUP(VALUE(D3795),$D$3:F$106,3,FALSE)</f>
        <v>Custodians</v>
      </c>
      <c r="C3795" s="751" t="s">
        <v>246</v>
      </c>
      <c r="D3795" s="751" t="s">
        <v>991</v>
      </c>
      <c r="E3795" s="751" t="s">
        <v>1012</v>
      </c>
      <c r="F3795" s="751" t="s">
        <v>254</v>
      </c>
      <c r="G3795" s="752" t="s">
        <v>1681</v>
      </c>
      <c r="H3795" s="753">
        <v>52360</v>
      </c>
      <c r="I3795" s="754">
        <v>1101.46</v>
      </c>
      <c r="J3795" s="754">
        <v>0</v>
      </c>
      <c r="K3795" s="754">
        <v>0</v>
      </c>
      <c r="L3795" s="754">
        <v>227.39</v>
      </c>
      <c r="M3795" s="754">
        <f t="shared" si="143"/>
        <v>227.39</v>
      </c>
      <c r="N3795" s="756">
        <v>1101.46</v>
      </c>
      <c r="O3795" s="720">
        <f t="shared" si="144"/>
        <v>0</v>
      </c>
    </row>
    <row r="3796" spans="1:15" x14ac:dyDescent="0.25">
      <c r="A3796" s="207" t="str">
        <f>VLOOKUP(RIGHT(E3796,3)+0,SchLocTable!$A$2:$B$47,2,FALSE)</f>
        <v>Bridgeport Learning Center</v>
      </c>
      <c r="B3796" s="207" t="str">
        <f>VLOOKUP(VALUE(D3796),$D$3:F$106,3,FALSE)</f>
        <v>Custodians</v>
      </c>
      <c r="C3796" s="751" t="s">
        <v>246</v>
      </c>
      <c r="D3796" s="751" t="s">
        <v>991</v>
      </c>
      <c r="E3796" s="751" t="s">
        <v>1012</v>
      </c>
      <c r="F3796" s="751" t="s">
        <v>331</v>
      </c>
      <c r="G3796" s="752" t="s">
        <v>1681</v>
      </c>
      <c r="H3796" s="753">
        <v>52504</v>
      </c>
      <c r="I3796" s="754">
        <v>15894.25</v>
      </c>
      <c r="J3796" s="754">
        <v>0</v>
      </c>
      <c r="K3796" s="754">
        <v>0</v>
      </c>
      <c r="L3796" s="754">
        <v>3482.47</v>
      </c>
      <c r="M3796" s="754">
        <f t="shared" si="143"/>
        <v>3482.47</v>
      </c>
      <c r="N3796" s="756">
        <v>15894.25</v>
      </c>
      <c r="O3796" s="720">
        <f t="shared" si="144"/>
        <v>0</v>
      </c>
    </row>
    <row r="3797" spans="1:15" x14ac:dyDescent="0.25">
      <c r="A3797" s="207" t="str">
        <f>VLOOKUP(RIGHT(E3797,3)+0,SchLocTable!$A$2:$B$47,2,FALSE)</f>
        <v>Bridgeport Learning Center</v>
      </c>
      <c r="B3797" s="207" t="str">
        <f>VLOOKUP(VALUE(D3797),$D$3:F$106,3,FALSE)</f>
        <v>Custodians</v>
      </c>
      <c r="C3797" s="751" t="s">
        <v>246</v>
      </c>
      <c r="D3797" s="751" t="s">
        <v>991</v>
      </c>
      <c r="E3797" s="751" t="s">
        <v>1012</v>
      </c>
      <c r="F3797" s="751" t="s">
        <v>259</v>
      </c>
      <c r="G3797" s="752" t="s">
        <v>1681</v>
      </c>
      <c r="H3797" s="753">
        <v>52917</v>
      </c>
      <c r="I3797" s="754">
        <v>11274.68</v>
      </c>
      <c r="J3797" s="754">
        <v>0</v>
      </c>
      <c r="K3797" s="754">
        <v>0</v>
      </c>
      <c r="L3797" s="754">
        <v>3455.84</v>
      </c>
      <c r="M3797" s="754">
        <f t="shared" si="143"/>
        <v>3455.84</v>
      </c>
      <c r="N3797" s="756">
        <v>11274.68</v>
      </c>
      <c r="O3797" s="720">
        <f t="shared" si="144"/>
        <v>0</v>
      </c>
    </row>
    <row r="3798" spans="1:15" x14ac:dyDescent="0.25">
      <c r="A3798" s="207" t="str">
        <f>VLOOKUP(RIGHT(E3798,3)+0,SchLocTable!$A$2:$B$47,2,FALSE)</f>
        <v>Waltersville</v>
      </c>
      <c r="B3798" s="207" t="str">
        <f>VLOOKUP(VALUE(D3798),$D$3:F$106,3,FALSE)</f>
        <v>Custodians</v>
      </c>
      <c r="C3798" s="751" t="s">
        <v>246</v>
      </c>
      <c r="D3798" s="751" t="s">
        <v>991</v>
      </c>
      <c r="E3798" s="751" t="s">
        <v>1013</v>
      </c>
      <c r="F3798" s="751" t="s">
        <v>248</v>
      </c>
      <c r="G3798" s="752">
        <v>4</v>
      </c>
      <c r="H3798" s="753">
        <v>51000</v>
      </c>
      <c r="I3798" s="754">
        <v>213038.24</v>
      </c>
      <c r="J3798" s="754">
        <v>0</v>
      </c>
      <c r="K3798" s="754">
        <v>0</v>
      </c>
      <c r="L3798" s="754">
        <v>65127.44</v>
      </c>
      <c r="M3798" s="754">
        <f t="shared" si="143"/>
        <v>65127.44</v>
      </c>
      <c r="N3798" s="756">
        <v>213038.24</v>
      </c>
      <c r="O3798" s="720">
        <f t="shared" si="144"/>
        <v>0</v>
      </c>
    </row>
    <row r="3799" spans="1:15" x14ac:dyDescent="0.25">
      <c r="A3799" s="207" t="str">
        <f>VLOOKUP(RIGHT(E3799,3)+0,SchLocTable!$A$2:$B$47,2,FALSE)</f>
        <v>Waltersville</v>
      </c>
      <c r="B3799" s="207" t="str">
        <f>VLOOKUP(VALUE(D3799),$D$3:F$106,3,FALSE)</f>
        <v>Custodians</v>
      </c>
      <c r="C3799" s="751" t="s">
        <v>246</v>
      </c>
      <c r="D3799" s="751" t="s">
        <v>991</v>
      </c>
      <c r="E3799" s="751" t="s">
        <v>1013</v>
      </c>
      <c r="F3799" s="751" t="s">
        <v>919</v>
      </c>
      <c r="G3799" s="752" t="s">
        <v>1681</v>
      </c>
      <c r="H3799" s="753">
        <v>51102</v>
      </c>
      <c r="I3799" s="754">
        <v>0</v>
      </c>
      <c r="J3799" s="754">
        <v>0</v>
      </c>
      <c r="K3799" s="754">
        <v>0</v>
      </c>
      <c r="L3799" s="754">
        <v>0</v>
      </c>
      <c r="M3799" s="754">
        <f t="shared" si="143"/>
        <v>0</v>
      </c>
      <c r="N3799" s="756">
        <v>0</v>
      </c>
      <c r="O3799" s="720">
        <f t="shared" si="144"/>
        <v>0</v>
      </c>
    </row>
    <row r="3800" spans="1:15" x14ac:dyDescent="0.25">
      <c r="A3800" s="207" t="str">
        <f>VLOOKUP(RIGHT(E3800,3)+0,SchLocTable!$A$2:$B$47,2,FALSE)</f>
        <v>Waltersville</v>
      </c>
      <c r="B3800" s="207" t="str">
        <f>VLOOKUP(VALUE(D3800),$D$3:F$106,3,FALSE)</f>
        <v>Custodians</v>
      </c>
      <c r="C3800" s="751" t="s">
        <v>246</v>
      </c>
      <c r="D3800" s="751" t="s">
        <v>991</v>
      </c>
      <c r="E3800" s="751" t="s">
        <v>1013</v>
      </c>
      <c r="F3800" s="751" t="s">
        <v>378</v>
      </c>
      <c r="G3800" s="752" t="s">
        <v>1681</v>
      </c>
      <c r="H3800" s="753">
        <v>51108</v>
      </c>
      <c r="I3800" s="754">
        <v>898.55</v>
      </c>
      <c r="J3800" s="754">
        <v>0</v>
      </c>
      <c r="K3800" s="754">
        <v>0</v>
      </c>
      <c r="L3800" s="754">
        <v>898.55</v>
      </c>
      <c r="M3800" s="754">
        <f t="shared" si="143"/>
        <v>898.55</v>
      </c>
      <c r="N3800" s="756">
        <v>898.55</v>
      </c>
      <c r="O3800" s="720">
        <f t="shared" si="144"/>
        <v>0</v>
      </c>
    </row>
    <row r="3801" spans="1:15" x14ac:dyDescent="0.25">
      <c r="A3801" s="207" t="str">
        <f>VLOOKUP(RIGHT(E3801,3)+0,SchLocTable!$A$2:$B$47,2,FALSE)</f>
        <v>Waltersville</v>
      </c>
      <c r="B3801" s="207" t="str">
        <f>VLOOKUP(VALUE(D3801),$D$3:F$106,3,FALSE)</f>
        <v>Custodians</v>
      </c>
      <c r="C3801" s="751" t="s">
        <v>246</v>
      </c>
      <c r="D3801" s="751" t="s">
        <v>991</v>
      </c>
      <c r="E3801" s="751" t="s">
        <v>1013</v>
      </c>
      <c r="F3801" s="751" t="s">
        <v>915</v>
      </c>
      <c r="G3801" s="752" t="s">
        <v>1681</v>
      </c>
      <c r="H3801" s="753">
        <v>51116</v>
      </c>
      <c r="I3801" s="754">
        <v>0</v>
      </c>
      <c r="J3801" s="754">
        <v>0</v>
      </c>
      <c r="K3801" s="754">
        <v>0</v>
      </c>
      <c r="L3801" s="754">
        <v>0</v>
      </c>
      <c r="M3801" s="754">
        <f t="shared" si="143"/>
        <v>0</v>
      </c>
      <c r="N3801" s="756">
        <v>0</v>
      </c>
      <c r="O3801" s="720">
        <f t="shared" si="144"/>
        <v>0</v>
      </c>
    </row>
    <row r="3802" spans="1:15" x14ac:dyDescent="0.25">
      <c r="A3802" s="207" t="str">
        <f>VLOOKUP(RIGHT(E3802,3)+0,SchLocTable!$A$2:$B$47,2,FALSE)</f>
        <v>Waltersville</v>
      </c>
      <c r="B3802" s="207" t="str">
        <f>VLOOKUP(VALUE(D3802),$D$3:F$106,3,FALSE)</f>
        <v>Custodians</v>
      </c>
      <c r="C3802" s="751" t="s">
        <v>246</v>
      </c>
      <c r="D3802" s="751" t="s">
        <v>991</v>
      </c>
      <c r="E3802" s="751" t="s">
        <v>1013</v>
      </c>
      <c r="F3802" s="751" t="s">
        <v>380</v>
      </c>
      <c r="G3802" s="752" t="s">
        <v>1681</v>
      </c>
      <c r="H3802" s="753">
        <v>51122</v>
      </c>
      <c r="I3802" s="754">
        <v>10242.52</v>
      </c>
      <c r="J3802" s="754">
        <v>0</v>
      </c>
      <c r="K3802" s="754">
        <v>0</v>
      </c>
      <c r="L3802" s="754">
        <v>2598.5300000000002</v>
      </c>
      <c r="M3802" s="754">
        <f t="shared" si="143"/>
        <v>2598.5300000000002</v>
      </c>
      <c r="N3802" s="756">
        <v>10242.52</v>
      </c>
      <c r="O3802" s="720">
        <f t="shared" si="144"/>
        <v>0</v>
      </c>
    </row>
    <row r="3803" spans="1:15" x14ac:dyDescent="0.25">
      <c r="A3803" s="207" t="str">
        <f>VLOOKUP(RIGHT(E3803,3)+0,SchLocTable!$A$2:$B$47,2,FALSE)</f>
        <v>Waltersville</v>
      </c>
      <c r="B3803" s="207" t="str">
        <f>VLOOKUP(VALUE(D3803),$D$3:F$106,3,FALSE)</f>
        <v>Custodians</v>
      </c>
      <c r="C3803" s="751" t="s">
        <v>246</v>
      </c>
      <c r="D3803" s="751" t="s">
        <v>991</v>
      </c>
      <c r="E3803" s="751" t="s">
        <v>1013</v>
      </c>
      <c r="F3803" s="751" t="s">
        <v>993</v>
      </c>
      <c r="G3803" s="752" t="s">
        <v>1681</v>
      </c>
      <c r="H3803" s="753">
        <v>51138</v>
      </c>
      <c r="I3803" s="754">
        <v>4425.91</v>
      </c>
      <c r="J3803" s="754">
        <v>0</v>
      </c>
      <c r="K3803" s="754">
        <v>0</v>
      </c>
      <c r="L3803" s="754">
        <v>851.12</v>
      </c>
      <c r="M3803" s="754">
        <f t="shared" si="143"/>
        <v>851.12</v>
      </c>
      <c r="N3803" s="756">
        <v>4425.91</v>
      </c>
      <c r="O3803" s="720">
        <f t="shared" si="144"/>
        <v>0</v>
      </c>
    </row>
    <row r="3804" spans="1:15" x14ac:dyDescent="0.25">
      <c r="A3804" s="207" t="str">
        <f>VLOOKUP(RIGHT(E3804,3)+0,SchLocTable!$A$2:$B$47,2,FALSE)</f>
        <v>Waltersville</v>
      </c>
      <c r="B3804" s="207" t="str">
        <f>VLOOKUP(VALUE(D3804),$D$3:F$106,3,FALSE)</f>
        <v>Custodians</v>
      </c>
      <c r="C3804" s="751" t="s">
        <v>246</v>
      </c>
      <c r="D3804" s="751" t="s">
        <v>991</v>
      </c>
      <c r="E3804" s="751" t="s">
        <v>1013</v>
      </c>
      <c r="F3804" s="751" t="s">
        <v>257</v>
      </c>
      <c r="G3804" s="752" t="s">
        <v>1681</v>
      </c>
      <c r="H3804" s="753">
        <v>51140</v>
      </c>
      <c r="I3804" s="754">
        <v>1200</v>
      </c>
      <c r="J3804" s="754">
        <v>0</v>
      </c>
      <c r="K3804" s="754">
        <v>0</v>
      </c>
      <c r="L3804" s="754">
        <v>0</v>
      </c>
      <c r="M3804" s="754">
        <f t="shared" si="143"/>
        <v>0</v>
      </c>
      <c r="N3804" s="756">
        <v>1200</v>
      </c>
      <c r="O3804" s="720">
        <f t="shared" si="144"/>
        <v>0</v>
      </c>
    </row>
    <row r="3805" spans="1:15" x14ac:dyDescent="0.25">
      <c r="A3805" s="207" t="str">
        <f>VLOOKUP(RIGHT(E3805,3)+0,SchLocTable!$A$2:$B$47,2,FALSE)</f>
        <v>Waltersville</v>
      </c>
      <c r="B3805" s="207" t="str">
        <f>VLOOKUP(VALUE(D3805),$D$3:F$106,3,FALSE)</f>
        <v>Custodians</v>
      </c>
      <c r="C3805" s="751" t="s">
        <v>246</v>
      </c>
      <c r="D3805" s="751" t="s">
        <v>991</v>
      </c>
      <c r="E3805" s="751" t="s">
        <v>1013</v>
      </c>
      <c r="F3805" s="751" t="s">
        <v>254</v>
      </c>
      <c r="G3805" s="752" t="s">
        <v>1681</v>
      </c>
      <c r="H3805" s="753">
        <v>52360</v>
      </c>
      <c r="I3805" s="754">
        <v>3181.16</v>
      </c>
      <c r="J3805" s="754">
        <v>0</v>
      </c>
      <c r="K3805" s="754">
        <v>0</v>
      </c>
      <c r="L3805" s="754">
        <v>873.78</v>
      </c>
      <c r="M3805" s="754">
        <f t="shared" si="143"/>
        <v>873.78</v>
      </c>
      <c r="N3805" s="756">
        <v>3181.16</v>
      </c>
      <c r="O3805" s="720">
        <f t="shared" si="144"/>
        <v>0</v>
      </c>
    </row>
    <row r="3806" spans="1:15" x14ac:dyDescent="0.25">
      <c r="A3806" s="207" t="str">
        <f>VLOOKUP(RIGHT(E3806,3)+0,SchLocTable!$A$2:$B$47,2,FALSE)</f>
        <v>Waltersville</v>
      </c>
      <c r="B3806" s="207" t="str">
        <f>VLOOKUP(VALUE(D3806),$D$3:F$106,3,FALSE)</f>
        <v>Custodians</v>
      </c>
      <c r="C3806" s="751" t="s">
        <v>246</v>
      </c>
      <c r="D3806" s="751" t="s">
        <v>991</v>
      </c>
      <c r="E3806" s="751" t="s">
        <v>1013</v>
      </c>
      <c r="F3806" s="751" t="s">
        <v>292</v>
      </c>
      <c r="G3806" s="752" t="s">
        <v>1681</v>
      </c>
      <c r="H3806" s="753">
        <v>52385</v>
      </c>
      <c r="I3806" s="754">
        <v>0</v>
      </c>
      <c r="J3806" s="754">
        <v>0</v>
      </c>
      <c r="K3806" s="754">
        <v>0</v>
      </c>
      <c r="L3806" s="754">
        <v>0</v>
      </c>
      <c r="M3806" s="754">
        <f t="shared" si="143"/>
        <v>0</v>
      </c>
      <c r="N3806" s="756">
        <v>0</v>
      </c>
      <c r="O3806" s="720">
        <f t="shared" si="144"/>
        <v>0</v>
      </c>
    </row>
    <row r="3807" spans="1:15" x14ac:dyDescent="0.25">
      <c r="A3807" s="207" t="str">
        <f>VLOOKUP(RIGHT(E3807,3)+0,SchLocTable!$A$2:$B$47,2,FALSE)</f>
        <v>Waltersville</v>
      </c>
      <c r="B3807" s="207" t="str">
        <f>VLOOKUP(VALUE(D3807),$D$3:F$106,3,FALSE)</f>
        <v>Custodians</v>
      </c>
      <c r="C3807" s="751" t="s">
        <v>246</v>
      </c>
      <c r="D3807" s="751" t="s">
        <v>991</v>
      </c>
      <c r="E3807" s="751" t="s">
        <v>1013</v>
      </c>
      <c r="F3807" s="751" t="s">
        <v>331</v>
      </c>
      <c r="G3807" s="752" t="s">
        <v>1681</v>
      </c>
      <c r="H3807" s="753">
        <v>52504</v>
      </c>
      <c r="I3807" s="754">
        <v>47069.8</v>
      </c>
      <c r="J3807" s="754">
        <v>0</v>
      </c>
      <c r="K3807" s="754">
        <v>0</v>
      </c>
      <c r="L3807" s="754">
        <v>14305.02</v>
      </c>
      <c r="M3807" s="754">
        <f t="shared" si="143"/>
        <v>14305.02</v>
      </c>
      <c r="N3807" s="756">
        <v>47069.8</v>
      </c>
      <c r="O3807" s="720">
        <f t="shared" si="144"/>
        <v>0</v>
      </c>
    </row>
    <row r="3808" spans="1:15" x14ac:dyDescent="0.25">
      <c r="A3808" s="207" t="str">
        <f>VLOOKUP(RIGHT(E3808,3)+0,SchLocTable!$A$2:$B$47,2,FALSE)</f>
        <v>Waltersville</v>
      </c>
      <c r="B3808" s="207" t="str">
        <f>VLOOKUP(VALUE(D3808),$D$3:F$106,3,FALSE)</f>
        <v>Custodians</v>
      </c>
      <c r="C3808" s="751" t="s">
        <v>246</v>
      </c>
      <c r="D3808" s="751" t="s">
        <v>991</v>
      </c>
      <c r="E3808" s="751" t="s">
        <v>1013</v>
      </c>
      <c r="F3808" s="751" t="s">
        <v>259</v>
      </c>
      <c r="G3808" s="752" t="s">
        <v>1681</v>
      </c>
      <c r="H3808" s="753">
        <v>52917</v>
      </c>
      <c r="I3808" s="754">
        <v>68734.350000000006</v>
      </c>
      <c r="J3808" s="754">
        <v>0</v>
      </c>
      <c r="K3808" s="754">
        <v>0</v>
      </c>
      <c r="L3808" s="754">
        <v>21068</v>
      </c>
      <c r="M3808" s="754">
        <f t="shared" si="143"/>
        <v>21068</v>
      </c>
      <c r="N3808" s="756">
        <v>68734.350000000006</v>
      </c>
      <c r="O3808" s="720">
        <f t="shared" si="144"/>
        <v>0</v>
      </c>
    </row>
    <row r="3809" spans="1:15" x14ac:dyDescent="0.25">
      <c r="A3809" s="207" t="str">
        <f>VLOOKUP(RIGHT(E3809,3)+0,SchLocTable!$A$2:$B$47,2,FALSE)</f>
        <v>Waltersville</v>
      </c>
      <c r="B3809" s="207" t="str">
        <f>VLOOKUP(VALUE(D3809),$D$3:F$106,3,FALSE)</f>
        <v>Custodians</v>
      </c>
      <c r="C3809" s="751" t="s">
        <v>246</v>
      </c>
      <c r="D3809" s="751" t="s">
        <v>991</v>
      </c>
      <c r="E3809" s="751" t="s">
        <v>1013</v>
      </c>
      <c r="F3809" s="751" t="s">
        <v>333</v>
      </c>
      <c r="G3809" s="752" t="s">
        <v>1681</v>
      </c>
      <c r="H3809" s="753">
        <v>52920</v>
      </c>
      <c r="I3809" s="754">
        <v>0</v>
      </c>
      <c r="J3809" s="754">
        <v>0</v>
      </c>
      <c r="K3809" s="754">
        <v>0</v>
      </c>
      <c r="L3809" s="754">
        <v>0</v>
      </c>
      <c r="M3809" s="754">
        <f t="shared" si="143"/>
        <v>0</v>
      </c>
      <c r="N3809" s="756">
        <v>0</v>
      </c>
      <c r="O3809" s="720">
        <f t="shared" si="144"/>
        <v>0</v>
      </c>
    </row>
    <row r="3810" spans="1:15" x14ac:dyDescent="0.25">
      <c r="A3810" s="207" t="str">
        <f>VLOOKUP(RIGHT(E3810,3)+0,SchLocTable!$A$2:$B$47,2,FALSE)</f>
        <v>Claytor</v>
      </c>
      <c r="B3810" s="207" t="str">
        <f>VLOOKUP(VALUE(D3810),$D$3:F$106,3,FALSE)</f>
        <v>Custodians</v>
      </c>
      <c r="C3810" s="751" t="s">
        <v>246</v>
      </c>
      <c r="D3810" s="751" t="s">
        <v>991</v>
      </c>
      <c r="E3810" s="751" t="s">
        <v>1014</v>
      </c>
      <c r="F3810" s="751" t="s">
        <v>248</v>
      </c>
      <c r="G3810" s="752">
        <v>4</v>
      </c>
      <c r="H3810" s="753">
        <v>51000</v>
      </c>
      <c r="I3810" s="754">
        <v>165791.54999999999</v>
      </c>
      <c r="J3810" s="754">
        <v>0</v>
      </c>
      <c r="K3810" s="754">
        <v>0</v>
      </c>
      <c r="L3810" s="754">
        <v>64205.15</v>
      </c>
      <c r="M3810" s="754">
        <f t="shared" si="143"/>
        <v>64205.15</v>
      </c>
      <c r="N3810" s="756">
        <v>165791.54999999999</v>
      </c>
      <c r="O3810" s="720">
        <f t="shared" si="144"/>
        <v>0</v>
      </c>
    </row>
    <row r="3811" spans="1:15" x14ac:dyDescent="0.25">
      <c r="A3811" s="207" t="str">
        <f>VLOOKUP(RIGHT(E3811,3)+0,SchLocTable!$A$2:$B$47,2,FALSE)</f>
        <v>Claytor</v>
      </c>
      <c r="B3811" s="207" t="str">
        <f>VLOOKUP(VALUE(D3811),$D$3:F$106,3,FALSE)</f>
        <v>Custodians</v>
      </c>
      <c r="C3811" s="751" t="s">
        <v>246</v>
      </c>
      <c r="D3811" s="751" t="s">
        <v>991</v>
      </c>
      <c r="E3811" s="751" t="s">
        <v>1014</v>
      </c>
      <c r="F3811" s="751" t="s">
        <v>919</v>
      </c>
      <c r="G3811" s="752" t="s">
        <v>1681</v>
      </c>
      <c r="H3811" s="753">
        <v>51102</v>
      </c>
      <c r="I3811" s="754">
        <v>0</v>
      </c>
      <c r="J3811" s="754">
        <v>0</v>
      </c>
      <c r="K3811" s="754">
        <v>0</v>
      </c>
      <c r="L3811" s="754">
        <v>0</v>
      </c>
      <c r="M3811" s="754">
        <f t="shared" si="143"/>
        <v>0</v>
      </c>
      <c r="N3811" s="756">
        <v>0</v>
      </c>
      <c r="O3811" s="720">
        <f t="shared" si="144"/>
        <v>0</v>
      </c>
    </row>
    <row r="3812" spans="1:15" x14ac:dyDescent="0.25">
      <c r="A3812" s="207" t="str">
        <f>VLOOKUP(RIGHT(E3812,3)+0,SchLocTable!$A$2:$B$47,2,FALSE)</f>
        <v>Claytor</v>
      </c>
      <c r="B3812" s="207" t="str">
        <f>VLOOKUP(VALUE(D3812),$D$3:F$106,3,FALSE)</f>
        <v>Custodians</v>
      </c>
      <c r="C3812" s="751" t="s">
        <v>246</v>
      </c>
      <c r="D3812" s="751" t="s">
        <v>991</v>
      </c>
      <c r="E3812" s="751" t="s">
        <v>1014</v>
      </c>
      <c r="F3812" s="751" t="s">
        <v>378</v>
      </c>
      <c r="G3812" s="752" t="s">
        <v>1681</v>
      </c>
      <c r="H3812" s="753">
        <v>51108</v>
      </c>
      <c r="I3812" s="754">
        <v>979.73</v>
      </c>
      <c r="J3812" s="754">
        <v>0</v>
      </c>
      <c r="K3812" s="754">
        <v>0</v>
      </c>
      <c r="L3812" s="754">
        <v>979.73</v>
      </c>
      <c r="M3812" s="754">
        <f t="shared" si="143"/>
        <v>979.73</v>
      </c>
      <c r="N3812" s="756">
        <v>979.73</v>
      </c>
      <c r="O3812" s="720">
        <f t="shared" si="144"/>
        <v>0</v>
      </c>
    </row>
    <row r="3813" spans="1:15" x14ac:dyDescent="0.25">
      <c r="A3813" s="207" t="str">
        <f>VLOOKUP(RIGHT(E3813,3)+0,SchLocTable!$A$2:$B$47,2,FALSE)</f>
        <v>Claytor</v>
      </c>
      <c r="B3813" s="207" t="str">
        <f>VLOOKUP(VALUE(D3813),$D$3:F$106,3,FALSE)</f>
        <v>Custodians</v>
      </c>
      <c r="C3813" s="751" t="s">
        <v>246</v>
      </c>
      <c r="D3813" s="751" t="s">
        <v>991</v>
      </c>
      <c r="E3813" s="751" t="s">
        <v>1014</v>
      </c>
      <c r="F3813" s="751" t="s">
        <v>915</v>
      </c>
      <c r="G3813" s="752" t="s">
        <v>1681</v>
      </c>
      <c r="H3813" s="753">
        <v>51116</v>
      </c>
      <c r="I3813" s="754">
        <v>0</v>
      </c>
      <c r="J3813" s="754">
        <v>0</v>
      </c>
      <c r="K3813" s="754">
        <v>0</v>
      </c>
      <c r="L3813" s="754">
        <v>0</v>
      </c>
      <c r="M3813" s="754">
        <f t="shared" si="143"/>
        <v>0</v>
      </c>
      <c r="N3813" s="756">
        <v>0</v>
      </c>
      <c r="O3813" s="720">
        <f t="shared" si="144"/>
        <v>0</v>
      </c>
    </row>
    <row r="3814" spans="1:15" x14ac:dyDescent="0.25">
      <c r="A3814" s="207" t="str">
        <f>VLOOKUP(RIGHT(E3814,3)+0,SchLocTable!$A$2:$B$47,2,FALSE)</f>
        <v>Claytor</v>
      </c>
      <c r="B3814" s="207" t="str">
        <f>VLOOKUP(VALUE(D3814),$D$3:F$106,3,FALSE)</f>
        <v>Custodians</v>
      </c>
      <c r="C3814" s="751" t="s">
        <v>246</v>
      </c>
      <c r="D3814" s="751" t="s">
        <v>991</v>
      </c>
      <c r="E3814" s="751" t="s">
        <v>1014</v>
      </c>
      <c r="F3814" s="751" t="s">
        <v>380</v>
      </c>
      <c r="G3814" s="752" t="s">
        <v>1681</v>
      </c>
      <c r="H3814" s="753">
        <v>51122</v>
      </c>
      <c r="I3814" s="754">
        <v>57456.05</v>
      </c>
      <c r="J3814" s="754">
        <v>0</v>
      </c>
      <c r="K3814" s="754">
        <v>0</v>
      </c>
      <c r="L3814" s="754">
        <v>8510.39</v>
      </c>
      <c r="M3814" s="754">
        <f t="shared" si="143"/>
        <v>8510.39</v>
      </c>
      <c r="N3814" s="756">
        <v>57456.05</v>
      </c>
      <c r="O3814" s="720">
        <f t="shared" si="144"/>
        <v>0</v>
      </c>
    </row>
    <row r="3815" spans="1:15" x14ac:dyDescent="0.25">
      <c r="A3815" s="207" t="str">
        <f>VLOOKUP(RIGHT(E3815,3)+0,SchLocTable!$A$2:$B$47,2,FALSE)</f>
        <v>Claytor</v>
      </c>
      <c r="B3815" s="207" t="str">
        <f>VLOOKUP(VALUE(D3815),$D$3:F$106,3,FALSE)</f>
        <v>Custodians</v>
      </c>
      <c r="C3815" s="751" t="s">
        <v>246</v>
      </c>
      <c r="D3815" s="751" t="s">
        <v>991</v>
      </c>
      <c r="E3815" s="751" t="s">
        <v>1014</v>
      </c>
      <c r="F3815" s="751" t="s">
        <v>993</v>
      </c>
      <c r="G3815" s="752" t="s">
        <v>1681</v>
      </c>
      <c r="H3815" s="753">
        <v>51138</v>
      </c>
      <c r="I3815" s="754">
        <v>3864.47</v>
      </c>
      <c r="J3815" s="754">
        <v>0</v>
      </c>
      <c r="K3815" s="754">
        <v>0</v>
      </c>
      <c r="L3815" s="754">
        <v>741.86</v>
      </c>
      <c r="M3815" s="754">
        <f t="shared" si="143"/>
        <v>741.86</v>
      </c>
      <c r="N3815" s="756">
        <v>3864.47</v>
      </c>
      <c r="O3815" s="720">
        <f t="shared" si="144"/>
        <v>0</v>
      </c>
    </row>
    <row r="3816" spans="1:15" x14ac:dyDescent="0.25">
      <c r="A3816" s="207" t="str">
        <f>VLOOKUP(RIGHT(E3816,3)+0,SchLocTable!$A$2:$B$47,2,FALSE)</f>
        <v>Claytor</v>
      </c>
      <c r="B3816" s="207" t="str">
        <f>VLOOKUP(VALUE(D3816),$D$3:F$106,3,FALSE)</f>
        <v>Custodians</v>
      </c>
      <c r="C3816" s="751" t="s">
        <v>246</v>
      </c>
      <c r="D3816" s="751" t="s">
        <v>991</v>
      </c>
      <c r="E3816" s="751" t="s">
        <v>1014</v>
      </c>
      <c r="F3816" s="751" t="s">
        <v>257</v>
      </c>
      <c r="G3816" s="752" t="s">
        <v>1681</v>
      </c>
      <c r="H3816" s="753">
        <v>51140</v>
      </c>
      <c r="I3816" s="754">
        <v>1350</v>
      </c>
      <c r="J3816" s="754">
        <v>0</v>
      </c>
      <c r="K3816" s="754">
        <v>0</v>
      </c>
      <c r="L3816" s="754">
        <v>0</v>
      </c>
      <c r="M3816" s="754">
        <f t="shared" si="143"/>
        <v>0</v>
      </c>
      <c r="N3816" s="756">
        <v>1350</v>
      </c>
      <c r="O3816" s="720">
        <f t="shared" si="144"/>
        <v>0</v>
      </c>
    </row>
    <row r="3817" spans="1:15" x14ac:dyDescent="0.25">
      <c r="A3817" s="207" t="str">
        <f>VLOOKUP(RIGHT(E3817,3)+0,SchLocTable!$A$2:$B$47,2,FALSE)</f>
        <v>Claytor</v>
      </c>
      <c r="B3817" s="207" t="str">
        <f>VLOOKUP(VALUE(D3817),$D$3:F$106,3,FALSE)</f>
        <v>Custodians</v>
      </c>
      <c r="C3817" s="751" t="s">
        <v>246</v>
      </c>
      <c r="D3817" s="751" t="s">
        <v>991</v>
      </c>
      <c r="E3817" s="751" t="s">
        <v>1014</v>
      </c>
      <c r="F3817" s="751" t="s">
        <v>797</v>
      </c>
      <c r="G3817" s="752" t="s">
        <v>1681</v>
      </c>
      <c r="H3817" s="753">
        <v>51156</v>
      </c>
      <c r="I3817" s="754">
        <v>0</v>
      </c>
      <c r="J3817" s="754">
        <v>0</v>
      </c>
      <c r="K3817" s="754">
        <v>0</v>
      </c>
      <c r="L3817" s="754">
        <v>0</v>
      </c>
      <c r="M3817" s="754">
        <f t="shared" si="143"/>
        <v>0</v>
      </c>
      <c r="N3817" s="756">
        <v>0</v>
      </c>
      <c r="O3817" s="720">
        <f t="shared" si="144"/>
        <v>0</v>
      </c>
    </row>
    <row r="3818" spans="1:15" x14ac:dyDescent="0.25">
      <c r="A3818" s="207" t="str">
        <f>VLOOKUP(RIGHT(E3818,3)+0,SchLocTable!$A$2:$B$47,2,FALSE)</f>
        <v>Claytor</v>
      </c>
      <c r="B3818" s="207" t="str">
        <f>VLOOKUP(VALUE(D3818),$D$3:F$106,3,FALSE)</f>
        <v>Custodians</v>
      </c>
      <c r="C3818" s="751" t="s">
        <v>246</v>
      </c>
      <c r="D3818" s="751" t="s">
        <v>991</v>
      </c>
      <c r="E3818" s="751" t="s">
        <v>1014</v>
      </c>
      <c r="F3818" s="751" t="s">
        <v>254</v>
      </c>
      <c r="G3818" s="752" t="s">
        <v>1681</v>
      </c>
      <c r="H3818" s="753">
        <v>52360</v>
      </c>
      <c r="I3818" s="754">
        <v>3140.37</v>
      </c>
      <c r="J3818" s="754">
        <v>0</v>
      </c>
      <c r="K3818" s="754">
        <v>0</v>
      </c>
      <c r="L3818" s="754">
        <v>912.38</v>
      </c>
      <c r="M3818" s="754">
        <f t="shared" si="143"/>
        <v>912.38</v>
      </c>
      <c r="N3818" s="756">
        <v>3140.37</v>
      </c>
      <c r="O3818" s="720">
        <f t="shared" si="144"/>
        <v>0</v>
      </c>
    </row>
    <row r="3819" spans="1:15" x14ac:dyDescent="0.25">
      <c r="A3819" s="207" t="str">
        <f>VLOOKUP(RIGHT(E3819,3)+0,SchLocTable!$A$2:$B$47,2,FALSE)</f>
        <v>Claytor</v>
      </c>
      <c r="B3819" s="207" t="str">
        <f>VLOOKUP(VALUE(D3819),$D$3:F$106,3,FALSE)</f>
        <v>Custodians</v>
      </c>
      <c r="C3819" s="751" t="s">
        <v>246</v>
      </c>
      <c r="D3819" s="751" t="s">
        <v>991</v>
      </c>
      <c r="E3819" s="751" t="s">
        <v>1014</v>
      </c>
      <c r="F3819" s="751" t="s">
        <v>292</v>
      </c>
      <c r="G3819" s="752" t="s">
        <v>1681</v>
      </c>
      <c r="H3819" s="753">
        <v>52385</v>
      </c>
      <c r="I3819" s="754">
        <v>1463.51</v>
      </c>
      <c r="J3819" s="754">
        <v>0</v>
      </c>
      <c r="K3819" s="754">
        <v>0</v>
      </c>
      <c r="L3819" s="754">
        <v>483.58</v>
      </c>
      <c r="M3819" s="754">
        <f t="shared" si="143"/>
        <v>483.58</v>
      </c>
      <c r="N3819" s="756">
        <v>1463.51</v>
      </c>
      <c r="O3819" s="720">
        <f t="shared" si="144"/>
        <v>0</v>
      </c>
    </row>
    <row r="3820" spans="1:15" x14ac:dyDescent="0.25">
      <c r="A3820" s="207" t="str">
        <f>VLOOKUP(RIGHT(E3820,3)+0,SchLocTable!$A$2:$B$47,2,FALSE)</f>
        <v>Claytor</v>
      </c>
      <c r="B3820" s="207" t="str">
        <f>VLOOKUP(VALUE(D3820),$D$3:F$106,3,FALSE)</f>
        <v>Custodians</v>
      </c>
      <c r="C3820" s="751" t="s">
        <v>246</v>
      </c>
      <c r="D3820" s="751" t="s">
        <v>991</v>
      </c>
      <c r="E3820" s="751" t="s">
        <v>1014</v>
      </c>
      <c r="F3820" s="751" t="s">
        <v>331</v>
      </c>
      <c r="G3820" s="752" t="s">
        <v>1681</v>
      </c>
      <c r="H3820" s="753">
        <v>52504</v>
      </c>
      <c r="I3820" s="754">
        <v>44641.22</v>
      </c>
      <c r="J3820" s="754">
        <v>0</v>
      </c>
      <c r="K3820" s="754">
        <v>0</v>
      </c>
      <c r="L3820" s="754">
        <v>13003.72</v>
      </c>
      <c r="M3820" s="754">
        <f t="shared" si="143"/>
        <v>13003.72</v>
      </c>
      <c r="N3820" s="756">
        <v>44641.22</v>
      </c>
      <c r="O3820" s="720">
        <f t="shared" si="144"/>
        <v>0</v>
      </c>
    </row>
    <row r="3821" spans="1:15" x14ac:dyDescent="0.25">
      <c r="A3821" s="207" t="str">
        <f>VLOOKUP(RIGHT(E3821,3)+0,SchLocTable!$A$2:$B$47,2,FALSE)</f>
        <v>Claytor</v>
      </c>
      <c r="B3821" s="207" t="str">
        <f>VLOOKUP(VALUE(D3821),$D$3:F$106,3,FALSE)</f>
        <v>Custodians</v>
      </c>
      <c r="C3821" s="751" t="s">
        <v>246</v>
      </c>
      <c r="D3821" s="751" t="s">
        <v>991</v>
      </c>
      <c r="E3821" s="751" t="s">
        <v>1014</v>
      </c>
      <c r="F3821" s="751" t="s">
        <v>259</v>
      </c>
      <c r="G3821" s="752" t="s">
        <v>1681</v>
      </c>
      <c r="H3821" s="753">
        <v>52917</v>
      </c>
      <c r="I3821" s="754">
        <v>76347.73</v>
      </c>
      <c r="J3821" s="754">
        <v>0</v>
      </c>
      <c r="K3821" s="754">
        <v>0</v>
      </c>
      <c r="L3821" s="754">
        <v>29061.119999999999</v>
      </c>
      <c r="M3821" s="754">
        <f t="shared" si="143"/>
        <v>29061.119999999999</v>
      </c>
      <c r="N3821" s="756">
        <v>76347.73</v>
      </c>
      <c r="O3821" s="720">
        <f t="shared" si="144"/>
        <v>0</v>
      </c>
    </row>
    <row r="3822" spans="1:15" x14ac:dyDescent="0.25">
      <c r="A3822" s="207" t="str">
        <f>VLOOKUP(RIGHT(E3822,3)+0,SchLocTable!$A$2:$B$47,2,FALSE)</f>
        <v>Johnson</v>
      </c>
      <c r="B3822" s="207" t="str">
        <f>VLOOKUP(VALUE(D3822),$D$3:F$106,3,FALSE)</f>
        <v>Custodians</v>
      </c>
      <c r="C3822" s="751" t="s">
        <v>246</v>
      </c>
      <c r="D3822" s="751" t="s">
        <v>991</v>
      </c>
      <c r="E3822" s="751" t="s">
        <v>1015</v>
      </c>
      <c r="F3822" s="751" t="s">
        <v>248</v>
      </c>
      <c r="G3822" s="752">
        <v>5</v>
      </c>
      <c r="H3822" s="753">
        <v>51000</v>
      </c>
      <c r="I3822" s="754">
        <v>245784.47</v>
      </c>
      <c r="J3822" s="754">
        <v>0</v>
      </c>
      <c r="K3822" s="754">
        <v>0</v>
      </c>
      <c r="L3822" s="754">
        <v>76422.44</v>
      </c>
      <c r="M3822" s="754">
        <f t="shared" si="143"/>
        <v>76422.44</v>
      </c>
      <c r="N3822" s="756">
        <v>245784.47</v>
      </c>
      <c r="O3822" s="720">
        <f t="shared" si="144"/>
        <v>0</v>
      </c>
    </row>
    <row r="3823" spans="1:15" x14ac:dyDescent="0.25">
      <c r="A3823" s="207" t="str">
        <f>VLOOKUP(RIGHT(E3823,3)+0,SchLocTable!$A$2:$B$47,2,FALSE)</f>
        <v>Johnson</v>
      </c>
      <c r="B3823" s="207" t="str">
        <f>VLOOKUP(VALUE(D3823),$D$3:F$106,3,FALSE)</f>
        <v>Custodians</v>
      </c>
      <c r="C3823" s="751" t="s">
        <v>246</v>
      </c>
      <c r="D3823" s="751" t="s">
        <v>991</v>
      </c>
      <c r="E3823" s="751" t="s">
        <v>1015</v>
      </c>
      <c r="F3823" s="751" t="s">
        <v>919</v>
      </c>
      <c r="G3823" s="752" t="s">
        <v>1681</v>
      </c>
      <c r="H3823" s="753">
        <v>51102</v>
      </c>
      <c r="I3823" s="754">
        <v>0</v>
      </c>
      <c r="J3823" s="754">
        <v>0</v>
      </c>
      <c r="K3823" s="754">
        <v>0</v>
      </c>
      <c r="L3823" s="754">
        <v>0</v>
      </c>
      <c r="M3823" s="754">
        <f t="shared" si="143"/>
        <v>0</v>
      </c>
      <c r="N3823" s="756">
        <v>0</v>
      </c>
      <c r="O3823" s="720">
        <f t="shared" si="144"/>
        <v>0</v>
      </c>
    </row>
    <row r="3824" spans="1:15" x14ac:dyDescent="0.25">
      <c r="A3824" s="207" t="str">
        <f>VLOOKUP(RIGHT(E3824,3)+0,SchLocTable!$A$2:$B$47,2,FALSE)</f>
        <v>Johnson</v>
      </c>
      <c r="B3824" s="207" t="str">
        <f>VLOOKUP(VALUE(D3824),$D$3:F$106,3,FALSE)</f>
        <v>Custodians</v>
      </c>
      <c r="C3824" s="751" t="s">
        <v>246</v>
      </c>
      <c r="D3824" s="751" t="s">
        <v>991</v>
      </c>
      <c r="E3824" s="751" t="s">
        <v>1015</v>
      </c>
      <c r="F3824" s="751" t="s">
        <v>378</v>
      </c>
      <c r="G3824" s="752" t="s">
        <v>1681</v>
      </c>
      <c r="H3824" s="753">
        <v>51108</v>
      </c>
      <c r="I3824" s="754">
        <v>1496.45</v>
      </c>
      <c r="J3824" s="754">
        <v>0</v>
      </c>
      <c r="K3824" s="754">
        <v>0</v>
      </c>
      <c r="L3824" s="754">
        <v>1496.45</v>
      </c>
      <c r="M3824" s="754">
        <f t="shared" si="143"/>
        <v>1496.45</v>
      </c>
      <c r="N3824" s="756">
        <v>1496.45</v>
      </c>
      <c r="O3824" s="720">
        <f t="shared" si="144"/>
        <v>0</v>
      </c>
    </row>
    <row r="3825" spans="1:15" x14ac:dyDescent="0.25">
      <c r="A3825" s="207" t="str">
        <f>VLOOKUP(RIGHT(E3825,3)+0,SchLocTable!$A$2:$B$47,2,FALSE)</f>
        <v>Johnson</v>
      </c>
      <c r="B3825" s="207" t="str">
        <f>VLOOKUP(VALUE(D3825),$D$3:F$106,3,FALSE)</f>
        <v>Custodians</v>
      </c>
      <c r="C3825" s="751" t="s">
        <v>246</v>
      </c>
      <c r="D3825" s="751" t="s">
        <v>991</v>
      </c>
      <c r="E3825" s="751" t="s">
        <v>1015</v>
      </c>
      <c r="F3825" s="751" t="s">
        <v>380</v>
      </c>
      <c r="G3825" s="752" t="s">
        <v>1681</v>
      </c>
      <c r="H3825" s="753">
        <v>51122</v>
      </c>
      <c r="I3825" s="754">
        <v>15291.8</v>
      </c>
      <c r="J3825" s="754">
        <v>0</v>
      </c>
      <c r="K3825" s="754">
        <v>0</v>
      </c>
      <c r="L3825" s="754">
        <v>4537.5</v>
      </c>
      <c r="M3825" s="754">
        <f t="shared" si="143"/>
        <v>4537.5</v>
      </c>
      <c r="N3825" s="756">
        <v>15291.8</v>
      </c>
      <c r="O3825" s="720">
        <f t="shared" si="144"/>
        <v>0</v>
      </c>
    </row>
    <row r="3826" spans="1:15" x14ac:dyDescent="0.25">
      <c r="A3826" s="207" t="str">
        <f>VLOOKUP(RIGHT(E3826,3)+0,SchLocTable!$A$2:$B$47,2,FALSE)</f>
        <v>Johnson</v>
      </c>
      <c r="B3826" s="207" t="str">
        <f>VLOOKUP(VALUE(D3826),$D$3:F$106,3,FALSE)</f>
        <v>Custodians</v>
      </c>
      <c r="C3826" s="751" t="s">
        <v>246</v>
      </c>
      <c r="D3826" s="751" t="s">
        <v>991</v>
      </c>
      <c r="E3826" s="751" t="s">
        <v>1015</v>
      </c>
      <c r="F3826" s="751" t="s">
        <v>993</v>
      </c>
      <c r="G3826" s="752" t="s">
        <v>1681</v>
      </c>
      <c r="H3826" s="751">
        <v>51138</v>
      </c>
      <c r="I3826" s="754">
        <v>9821.32</v>
      </c>
      <c r="J3826" s="754">
        <v>0</v>
      </c>
      <c r="K3826" s="754">
        <v>0</v>
      </c>
      <c r="L3826" s="754">
        <v>1771.12</v>
      </c>
      <c r="M3826" s="754">
        <f t="shared" si="143"/>
        <v>1771.12</v>
      </c>
      <c r="N3826" s="756">
        <v>9821.32</v>
      </c>
      <c r="O3826" s="720">
        <f t="shared" si="144"/>
        <v>0</v>
      </c>
    </row>
    <row r="3827" spans="1:15" x14ac:dyDescent="0.25">
      <c r="A3827" s="207" t="str">
        <f>VLOOKUP(RIGHT(E3827,3)+0,SchLocTable!$A$2:$B$47,2,FALSE)</f>
        <v>Johnson</v>
      </c>
      <c r="B3827" s="207" t="str">
        <f>VLOOKUP(VALUE(D3827),$D$3:F$106,3,FALSE)</f>
        <v>Custodians</v>
      </c>
      <c r="C3827" s="751" t="s">
        <v>246</v>
      </c>
      <c r="D3827" s="751" t="s">
        <v>991</v>
      </c>
      <c r="E3827" s="751" t="s">
        <v>1015</v>
      </c>
      <c r="F3827" s="751" t="s">
        <v>257</v>
      </c>
      <c r="G3827" s="752" t="s">
        <v>1681</v>
      </c>
      <c r="H3827" s="753">
        <v>51140</v>
      </c>
      <c r="I3827" s="754">
        <v>3000</v>
      </c>
      <c r="J3827" s="754">
        <v>0</v>
      </c>
      <c r="K3827" s="754">
        <v>0</v>
      </c>
      <c r="L3827" s="754">
        <v>3000</v>
      </c>
      <c r="M3827" s="754">
        <f t="shared" si="143"/>
        <v>3000</v>
      </c>
      <c r="N3827" s="756">
        <v>3000</v>
      </c>
      <c r="O3827" s="720">
        <f t="shared" si="144"/>
        <v>0</v>
      </c>
    </row>
    <row r="3828" spans="1:15" x14ac:dyDescent="0.25">
      <c r="A3828" s="207" t="str">
        <f>VLOOKUP(RIGHT(E3828,3)+0,SchLocTable!$A$2:$B$47,2,FALSE)</f>
        <v>Johnson</v>
      </c>
      <c r="B3828" s="207" t="str">
        <f>VLOOKUP(VALUE(D3828),$D$3:F$106,3,FALSE)</f>
        <v>Custodians</v>
      </c>
      <c r="C3828" s="751" t="s">
        <v>246</v>
      </c>
      <c r="D3828" s="751" t="s">
        <v>991</v>
      </c>
      <c r="E3828" s="751" t="s">
        <v>1015</v>
      </c>
      <c r="F3828" s="751" t="s">
        <v>254</v>
      </c>
      <c r="G3828" s="752" t="s">
        <v>1681</v>
      </c>
      <c r="H3828" s="753">
        <v>52360</v>
      </c>
      <c r="I3828" s="754">
        <v>3853.19</v>
      </c>
      <c r="J3828" s="754">
        <v>0</v>
      </c>
      <c r="K3828" s="754">
        <v>0</v>
      </c>
      <c r="L3828" s="754">
        <v>1124.78</v>
      </c>
      <c r="M3828" s="754">
        <f t="shared" si="143"/>
        <v>1124.78</v>
      </c>
      <c r="N3828" s="756">
        <v>3853.19</v>
      </c>
      <c r="O3828" s="720">
        <f t="shared" si="144"/>
        <v>0</v>
      </c>
    </row>
    <row r="3829" spans="1:15" x14ac:dyDescent="0.25">
      <c r="A3829" s="207" t="str">
        <f>VLOOKUP(RIGHT(E3829,3)+0,SchLocTable!$A$2:$B$47,2,FALSE)</f>
        <v>Johnson</v>
      </c>
      <c r="B3829" s="207" t="str">
        <f>VLOOKUP(VALUE(D3829),$D$3:F$106,3,FALSE)</f>
        <v>Custodians</v>
      </c>
      <c r="C3829" s="751" t="s">
        <v>246</v>
      </c>
      <c r="D3829" s="751" t="s">
        <v>991</v>
      </c>
      <c r="E3829" s="751" t="s">
        <v>1015</v>
      </c>
      <c r="F3829" s="751" t="s">
        <v>292</v>
      </c>
      <c r="G3829" s="752" t="s">
        <v>1681</v>
      </c>
      <c r="H3829" s="753">
        <v>52385</v>
      </c>
      <c r="I3829" s="754">
        <v>0</v>
      </c>
      <c r="J3829" s="754">
        <v>0</v>
      </c>
      <c r="K3829" s="754">
        <v>0</v>
      </c>
      <c r="L3829" s="754">
        <v>0</v>
      </c>
      <c r="M3829" s="754">
        <f t="shared" si="143"/>
        <v>0</v>
      </c>
      <c r="N3829" s="756">
        <v>0</v>
      </c>
      <c r="O3829" s="720">
        <f t="shared" si="144"/>
        <v>0</v>
      </c>
    </row>
    <row r="3830" spans="1:15" x14ac:dyDescent="0.25">
      <c r="A3830" s="207" t="str">
        <f>VLOOKUP(RIGHT(E3830,3)+0,SchLocTable!$A$2:$B$47,2,FALSE)</f>
        <v>Johnson</v>
      </c>
      <c r="B3830" s="207" t="str">
        <f>VLOOKUP(VALUE(D3830),$D$3:F$106,3,FALSE)</f>
        <v>Custodians</v>
      </c>
      <c r="C3830" s="751" t="s">
        <v>246</v>
      </c>
      <c r="D3830" s="751" t="s">
        <v>991</v>
      </c>
      <c r="E3830" s="751" t="s">
        <v>1015</v>
      </c>
      <c r="F3830" s="751" t="s">
        <v>331</v>
      </c>
      <c r="G3830" s="752" t="s">
        <v>1681</v>
      </c>
      <c r="H3830" s="753">
        <v>52504</v>
      </c>
      <c r="I3830" s="754">
        <v>56703.63</v>
      </c>
      <c r="J3830" s="754">
        <v>0</v>
      </c>
      <c r="K3830" s="754">
        <v>0</v>
      </c>
      <c r="L3830" s="754">
        <v>17960.14</v>
      </c>
      <c r="M3830" s="754">
        <f t="shared" si="143"/>
        <v>17960.14</v>
      </c>
      <c r="N3830" s="756">
        <v>56703.63</v>
      </c>
      <c r="O3830" s="720">
        <f t="shared" si="144"/>
        <v>0</v>
      </c>
    </row>
    <row r="3831" spans="1:15" x14ac:dyDescent="0.25">
      <c r="A3831" s="207" t="str">
        <f>VLOOKUP(RIGHT(E3831,3)+0,SchLocTable!$A$2:$B$47,2,FALSE)</f>
        <v>Johnson</v>
      </c>
      <c r="B3831" s="207" t="str">
        <f>VLOOKUP(VALUE(D3831),$D$3:F$106,3,FALSE)</f>
        <v>Custodians</v>
      </c>
      <c r="C3831" s="751" t="s">
        <v>246</v>
      </c>
      <c r="D3831" s="751" t="s">
        <v>991</v>
      </c>
      <c r="E3831" s="751" t="s">
        <v>1015</v>
      </c>
      <c r="F3831" s="751" t="s">
        <v>259</v>
      </c>
      <c r="G3831" s="752" t="s">
        <v>1681</v>
      </c>
      <c r="H3831" s="753">
        <v>52917</v>
      </c>
      <c r="I3831" s="754">
        <v>90453.73</v>
      </c>
      <c r="J3831" s="754">
        <v>0</v>
      </c>
      <c r="K3831" s="754">
        <v>0</v>
      </c>
      <c r="L3831" s="754">
        <v>27725.279999999999</v>
      </c>
      <c r="M3831" s="754">
        <f t="shared" si="143"/>
        <v>27725.279999999999</v>
      </c>
      <c r="N3831" s="756">
        <v>90453.73</v>
      </c>
      <c r="O3831" s="720">
        <f t="shared" si="144"/>
        <v>0</v>
      </c>
    </row>
    <row r="3832" spans="1:15" x14ac:dyDescent="0.25">
      <c r="A3832" s="207" t="str">
        <f>VLOOKUP(RIGHT(E3832,3)+0,SchLocTable!$A$2:$B$47,2,FALSE)</f>
        <v>Johnson</v>
      </c>
      <c r="B3832" s="207" t="str">
        <f>VLOOKUP(VALUE(D3832),$D$3:F$106,3,FALSE)</f>
        <v>Custodians</v>
      </c>
      <c r="C3832" s="751" t="s">
        <v>246</v>
      </c>
      <c r="D3832" s="751" t="s">
        <v>991</v>
      </c>
      <c r="E3832" s="751" t="s">
        <v>1015</v>
      </c>
      <c r="F3832" s="751" t="s">
        <v>333</v>
      </c>
      <c r="G3832" s="752" t="s">
        <v>1681</v>
      </c>
      <c r="H3832" s="753">
        <v>52920</v>
      </c>
      <c r="I3832" s="754">
        <v>2000</v>
      </c>
      <c r="J3832" s="754">
        <v>0</v>
      </c>
      <c r="K3832" s="754">
        <v>0</v>
      </c>
      <c r="L3832" s="754">
        <v>0</v>
      </c>
      <c r="M3832" s="754">
        <f t="shared" si="143"/>
        <v>0</v>
      </c>
      <c r="N3832" s="756">
        <v>2000</v>
      </c>
      <c r="O3832" s="720">
        <f t="shared" si="144"/>
        <v>0</v>
      </c>
    </row>
    <row r="3833" spans="1:15" x14ac:dyDescent="0.25">
      <c r="A3833" s="207" t="e">
        <f>VLOOKUP(RIGHT(E3833,3)+0,SchLocTable!$A$2:$B$47,2,FALSE)</f>
        <v>#N/A</v>
      </c>
      <c r="B3833" s="207" t="str">
        <f>VLOOKUP(VALUE(D3833),$D$3:F$106,3,FALSE)</f>
        <v>Custodians</v>
      </c>
      <c r="C3833" s="751" t="s">
        <v>246</v>
      </c>
      <c r="D3833" s="751" t="s">
        <v>991</v>
      </c>
      <c r="E3833" s="751" t="s">
        <v>2191</v>
      </c>
      <c r="F3833" s="751" t="s">
        <v>378</v>
      </c>
      <c r="G3833" s="752" t="s">
        <v>1681</v>
      </c>
      <c r="H3833" s="753">
        <v>51108</v>
      </c>
      <c r="I3833" s="754">
        <v>453.36</v>
      </c>
      <c r="J3833" s="754">
        <v>0</v>
      </c>
      <c r="K3833" s="754">
        <v>0</v>
      </c>
      <c r="L3833" s="754">
        <v>453.36</v>
      </c>
      <c r="M3833" s="754">
        <f t="shared" si="143"/>
        <v>453.36</v>
      </c>
      <c r="N3833" s="756">
        <v>453.36</v>
      </c>
      <c r="O3833" s="720">
        <f t="shared" si="144"/>
        <v>0</v>
      </c>
    </row>
    <row r="3834" spans="1:15" x14ac:dyDescent="0.25">
      <c r="A3834" s="207" t="e">
        <f>VLOOKUP(RIGHT(E3834,3)+0,SchLocTable!$A$2:$B$47,2,FALSE)</f>
        <v>#N/A</v>
      </c>
      <c r="B3834" s="207" t="str">
        <f>VLOOKUP(VALUE(D3834),$D$3:F$106,3,FALSE)</f>
        <v>Custodians</v>
      </c>
      <c r="C3834" s="751" t="s">
        <v>246</v>
      </c>
      <c r="D3834" s="751" t="s">
        <v>991</v>
      </c>
      <c r="E3834" s="751" t="s">
        <v>2191</v>
      </c>
      <c r="F3834" s="751" t="s">
        <v>380</v>
      </c>
      <c r="G3834" s="752" t="s">
        <v>1681</v>
      </c>
      <c r="H3834" s="753">
        <v>51122</v>
      </c>
      <c r="I3834" s="754">
        <v>18.98</v>
      </c>
      <c r="J3834" s="754">
        <v>0</v>
      </c>
      <c r="K3834" s="754">
        <v>0</v>
      </c>
      <c r="L3834" s="754">
        <v>18.98</v>
      </c>
      <c r="M3834" s="754">
        <f t="shared" si="143"/>
        <v>18.98</v>
      </c>
      <c r="N3834" s="756">
        <v>18.98</v>
      </c>
      <c r="O3834" s="720">
        <f t="shared" si="144"/>
        <v>0</v>
      </c>
    </row>
    <row r="3835" spans="1:15" x14ac:dyDescent="0.25">
      <c r="A3835" s="207" t="e">
        <f>VLOOKUP(RIGHT(E3835,3)+0,SchLocTable!$A$2:$B$47,2,FALSE)</f>
        <v>#N/A</v>
      </c>
      <c r="B3835" s="207" t="str">
        <f>VLOOKUP(VALUE(D3835),$D$3:F$106,3,FALSE)</f>
        <v>Custodians</v>
      </c>
      <c r="C3835" s="751" t="s">
        <v>246</v>
      </c>
      <c r="D3835" s="751" t="s">
        <v>991</v>
      </c>
      <c r="E3835" s="751" t="s">
        <v>2191</v>
      </c>
      <c r="F3835" s="751" t="s">
        <v>254</v>
      </c>
      <c r="G3835" s="752" t="s">
        <v>1681</v>
      </c>
      <c r="H3835" s="753">
        <v>52360</v>
      </c>
      <c r="I3835" s="754">
        <v>6.85</v>
      </c>
      <c r="J3835" s="754">
        <v>0</v>
      </c>
      <c r="K3835" s="754">
        <v>0</v>
      </c>
      <c r="L3835" s="754">
        <v>6.85</v>
      </c>
      <c r="M3835" s="754">
        <f t="shared" si="143"/>
        <v>6.85</v>
      </c>
      <c r="N3835" s="756">
        <v>6.85</v>
      </c>
      <c r="O3835" s="720">
        <f t="shared" si="144"/>
        <v>0</v>
      </c>
    </row>
    <row r="3836" spans="1:15" x14ac:dyDescent="0.25">
      <c r="A3836" s="207" t="e">
        <f>VLOOKUP(RIGHT(E3836,3)+0,SchLocTable!$A$2:$B$47,2,FALSE)</f>
        <v>#N/A</v>
      </c>
      <c r="B3836" s="207" t="str">
        <f>VLOOKUP(VALUE(D3836),$D$3:F$106,3,FALSE)</f>
        <v>Custodians</v>
      </c>
      <c r="C3836" s="751" t="s">
        <v>246</v>
      </c>
      <c r="D3836" s="751" t="s">
        <v>991</v>
      </c>
      <c r="E3836" s="751" t="s">
        <v>2191</v>
      </c>
      <c r="F3836" s="751" t="s">
        <v>331</v>
      </c>
      <c r="G3836" s="752" t="s">
        <v>1681</v>
      </c>
      <c r="H3836" s="753">
        <v>52504</v>
      </c>
      <c r="I3836" s="754">
        <v>97.25</v>
      </c>
      <c r="J3836" s="754">
        <v>0</v>
      </c>
      <c r="K3836" s="754">
        <v>0</v>
      </c>
      <c r="L3836" s="754">
        <v>97.25</v>
      </c>
      <c r="M3836" s="754">
        <f t="shared" si="143"/>
        <v>97.25</v>
      </c>
      <c r="N3836" s="756">
        <v>97.25</v>
      </c>
      <c r="O3836" s="720">
        <f t="shared" si="144"/>
        <v>0</v>
      </c>
    </row>
    <row r="3837" spans="1:15" x14ac:dyDescent="0.25">
      <c r="A3837" s="207" t="str">
        <f>VLOOKUP(RIGHT(E3837,3)+0,SchLocTable!$A$2:$B$47,2,FALSE)</f>
        <v>Winthrop</v>
      </c>
      <c r="B3837" s="207" t="str">
        <f>VLOOKUP(VALUE(D3837),$D$3:F$106,3,FALSE)</f>
        <v>Custodians</v>
      </c>
      <c r="C3837" s="751" t="s">
        <v>246</v>
      </c>
      <c r="D3837" s="751" t="s">
        <v>991</v>
      </c>
      <c r="E3837" s="751" t="s">
        <v>1016</v>
      </c>
      <c r="F3837" s="751" t="s">
        <v>248</v>
      </c>
      <c r="G3837" s="752">
        <v>4</v>
      </c>
      <c r="H3837" s="753">
        <v>51000</v>
      </c>
      <c r="I3837" s="754">
        <v>218877.2</v>
      </c>
      <c r="J3837" s="754">
        <v>0</v>
      </c>
      <c r="K3837" s="754">
        <v>0</v>
      </c>
      <c r="L3837" s="754">
        <v>70647.61</v>
      </c>
      <c r="M3837" s="754">
        <f t="shared" si="143"/>
        <v>70647.61</v>
      </c>
      <c r="N3837" s="756">
        <v>218877.2</v>
      </c>
      <c r="O3837" s="720">
        <f t="shared" si="144"/>
        <v>0</v>
      </c>
    </row>
    <row r="3838" spans="1:15" x14ac:dyDescent="0.25">
      <c r="A3838" s="207" t="str">
        <f>VLOOKUP(RIGHT(E3838,3)+0,SchLocTable!$A$2:$B$47,2,FALSE)</f>
        <v>Winthrop</v>
      </c>
      <c r="B3838" s="207" t="str">
        <f>VLOOKUP(VALUE(D3838),$D$3:F$106,3,FALSE)</f>
        <v>Custodians</v>
      </c>
      <c r="C3838" s="751" t="s">
        <v>246</v>
      </c>
      <c r="D3838" s="751" t="s">
        <v>991</v>
      </c>
      <c r="E3838" s="751" t="s">
        <v>1016</v>
      </c>
      <c r="F3838" s="751" t="s">
        <v>919</v>
      </c>
      <c r="G3838" s="752" t="s">
        <v>1681</v>
      </c>
      <c r="H3838" s="753">
        <v>51102</v>
      </c>
      <c r="I3838" s="754">
        <v>0</v>
      </c>
      <c r="J3838" s="754">
        <v>0</v>
      </c>
      <c r="K3838" s="754">
        <v>0</v>
      </c>
      <c r="L3838" s="754">
        <v>0</v>
      </c>
      <c r="M3838" s="754">
        <f t="shared" si="143"/>
        <v>0</v>
      </c>
      <c r="N3838" s="756">
        <v>0</v>
      </c>
      <c r="O3838" s="720">
        <f t="shared" si="144"/>
        <v>0</v>
      </c>
    </row>
    <row r="3839" spans="1:15" x14ac:dyDescent="0.25">
      <c r="A3839" s="207" t="str">
        <f>VLOOKUP(RIGHT(E3839,3)+0,SchLocTable!$A$2:$B$47,2,FALSE)</f>
        <v>Winthrop</v>
      </c>
      <c r="B3839" s="207" t="str">
        <f>VLOOKUP(VALUE(D3839),$D$3:F$106,3,FALSE)</f>
        <v>Custodians</v>
      </c>
      <c r="C3839" s="751" t="s">
        <v>246</v>
      </c>
      <c r="D3839" s="751" t="s">
        <v>991</v>
      </c>
      <c r="E3839" s="751" t="s">
        <v>1016</v>
      </c>
      <c r="F3839" s="751" t="s">
        <v>378</v>
      </c>
      <c r="G3839" s="752" t="s">
        <v>1681</v>
      </c>
      <c r="H3839" s="753">
        <v>51108</v>
      </c>
      <c r="I3839" s="754">
        <v>16514.2</v>
      </c>
      <c r="J3839" s="754">
        <v>0</v>
      </c>
      <c r="K3839" s="754">
        <v>0</v>
      </c>
      <c r="L3839" s="754">
        <v>2539.5500000000002</v>
      </c>
      <c r="M3839" s="754">
        <f t="shared" ref="M3839:M3902" si="145">SUM(J3839:L3839)</f>
        <v>2539.5500000000002</v>
      </c>
      <c r="N3839" s="756">
        <v>16514.2</v>
      </c>
      <c r="O3839" s="720">
        <f t="shared" ref="O3839:O3902" si="146">I3839-N3839</f>
        <v>0</v>
      </c>
    </row>
    <row r="3840" spans="1:15" x14ac:dyDescent="0.25">
      <c r="A3840" s="207" t="str">
        <f>VLOOKUP(RIGHT(E3840,3)+0,SchLocTable!$A$2:$B$47,2,FALSE)</f>
        <v>Winthrop</v>
      </c>
      <c r="B3840" s="207" t="str">
        <f>VLOOKUP(VALUE(D3840),$D$3:F$106,3,FALSE)</f>
        <v>Custodians</v>
      </c>
      <c r="C3840" s="751" t="s">
        <v>246</v>
      </c>
      <c r="D3840" s="751" t="s">
        <v>991</v>
      </c>
      <c r="E3840" s="751" t="s">
        <v>1016</v>
      </c>
      <c r="F3840" s="751" t="s">
        <v>915</v>
      </c>
      <c r="G3840" s="752" t="s">
        <v>1681</v>
      </c>
      <c r="H3840" s="753">
        <v>51116</v>
      </c>
      <c r="I3840" s="754">
        <v>64.7</v>
      </c>
      <c r="J3840" s="754">
        <v>0</v>
      </c>
      <c r="K3840" s="754">
        <v>0</v>
      </c>
      <c r="L3840" s="754">
        <v>64.7</v>
      </c>
      <c r="M3840" s="754">
        <f t="shared" si="145"/>
        <v>64.7</v>
      </c>
      <c r="N3840" s="756">
        <v>64.7</v>
      </c>
      <c r="O3840" s="720">
        <f t="shared" si="146"/>
        <v>0</v>
      </c>
    </row>
    <row r="3841" spans="1:15" x14ac:dyDescent="0.25">
      <c r="A3841" s="207" t="str">
        <f>VLOOKUP(RIGHT(E3841,3)+0,SchLocTable!$A$2:$B$47,2,FALSE)</f>
        <v>Winthrop</v>
      </c>
      <c r="B3841" s="207" t="str">
        <f>VLOOKUP(VALUE(D3841),$D$3:F$106,3,FALSE)</f>
        <v>Custodians</v>
      </c>
      <c r="C3841" s="751" t="s">
        <v>246</v>
      </c>
      <c r="D3841" s="751" t="s">
        <v>991</v>
      </c>
      <c r="E3841" s="751" t="s">
        <v>1016</v>
      </c>
      <c r="F3841" s="751" t="s">
        <v>380</v>
      </c>
      <c r="G3841" s="752" t="s">
        <v>1681</v>
      </c>
      <c r="H3841" s="753">
        <v>51122</v>
      </c>
      <c r="I3841" s="754">
        <v>6590.11</v>
      </c>
      <c r="J3841" s="754">
        <v>0</v>
      </c>
      <c r="K3841" s="754">
        <v>0</v>
      </c>
      <c r="L3841" s="754">
        <v>4804.3599999999997</v>
      </c>
      <c r="M3841" s="754">
        <f t="shared" si="145"/>
        <v>4804.3599999999997</v>
      </c>
      <c r="N3841" s="756">
        <v>6590.11</v>
      </c>
      <c r="O3841" s="720">
        <f t="shared" si="146"/>
        <v>0</v>
      </c>
    </row>
    <row r="3842" spans="1:15" x14ac:dyDescent="0.25">
      <c r="A3842" s="207" t="str">
        <f>VLOOKUP(RIGHT(E3842,3)+0,SchLocTable!$A$2:$B$47,2,FALSE)</f>
        <v>Winthrop</v>
      </c>
      <c r="B3842" s="207" t="str">
        <f>VLOOKUP(VALUE(D3842),$D$3:F$106,3,FALSE)</f>
        <v>Custodians</v>
      </c>
      <c r="C3842" s="751" t="s">
        <v>246</v>
      </c>
      <c r="D3842" s="751" t="s">
        <v>991</v>
      </c>
      <c r="E3842" s="751" t="s">
        <v>1016</v>
      </c>
      <c r="F3842" s="751" t="s">
        <v>993</v>
      </c>
      <c r="G3842" s="752" t="s">
        <v>1681</v>
      </c>
      <c r="H3842" s="753">
        <v>51138</v>
      </c>
      <c r="I3842" s="754">
        <v>4714.9799999999996</v>
      </c>
      <c r="J3842" s="754">
        <v>0</v>
      </c>
      <c r="K3842" s="754">
        <v>0</v>
      </c>
      <c r="L3842" s="754">
        <v>1176.07</v>
      </c>
      <c r="M3842" s="754">
        <f t="shared" si="145"/>
        <v>1176.07</v>
      </c>
      <c r="N3842" s="756">
        <v>4714.9799999999996</v>
      </c>
      <c r="O3842" s="720">
        <f t="shared" si="146"/>
        <v>0</v>
      </c>
    </row>
    <row r="3843" spans="1:15" x14ac:dyDescent="0.25">
      <c r="A3843" s="207" t="str">
        <f>VLOOKUP(RIGHT(E3843,3)+0,SchLocTable!$A$2:$B$47,2,FALSE)</f>
        <v>Winthrop</v>
      </c>
      <c r="B3843" s="207" t="str">
        <f>VLOOKUP(VALUE(D3843),$D$3:F$106,3,FALSE)</f>
        <v>Custodians</v>
      </c>
      <c r="C3843" s="751" t="s">
        <v>246</v>
      </c>
      <c r="D3843" s="751" t="s">
        <v>991</v>
      </c>
      <c r="E3843" s="751" t="s">
        <v>1016</v>
      </c>
      <c r="F3843" s="751" t="s">
        <v>257</v>
      </c>
      <c r="G3843" s="752" t="s">
        <v>1681</v>
      </c>
      <c r="H3843" s="753">
        <v>51140</v>
      </c>
      <c r="I3843" s="754">
        <v>2255</v>
      </c>
      <c r="J3843" s="754">
        <v>0</v>
      </c>
      <c r="K3843" s="754">
        <v>0</v>
      </c>
      <c r="L3843" s="754">
        <v>1125</v>
      </c>
      <c r="M3843" s="754">
        <f t="shared" si="145"/>
        <v>1125</v>
      </c>
      <c r="N3843" s="756">
        <v>2255</v>
      </c>
      <c r="O3843" s="720">
        <f t="shared" si="146"/>
        <v>0</v>
      </c>
    </row>
    <row r="3844" spans="1:15" x14ac:dyDescent="0.25">
      <c r="A3844" s="207" t="str">
        <f>VLOOKUP(RIGHT(E3844,3)+0,SchLocTable!$A$2:$B$47,2,FALSE)</f>
        <v>Winthrop</v>
      </c>
      <c r="B3844" s="207" t="str">
        <f>VLOOKUP(VALUE(D3844),$D$3:F$106,3,FALSE)</f>
        <v>Custodians</v>
      </c>
      <c r="C3844" s="751" t="s">
        <v>246</v>
      </c>
      <c r="D3844" s="751" t="s">
        <v>991</v>
      </c>
      <c r="E3844" s="751" t="s">
        <v>1016</v>
      </c>
      <c r="F3844" s="751" t="s">
        <v>326</v>
      </c>
      <c r="G3844" s="752" t="s">
        <v>1681</v>
      </c>
      <c r="H3844" s="753">
        <v>51314</v>
      </c>
      <c r="I3844" s="754">
        <v>280.32</v>
      </c>
      <c r="J3844" s="754">
        <v>0</v>
      </c>
      <c r="K3844" s="754">
        <v>0</v>
      </c>
      <c r="L3844" s="754">
        <v>280.32</v>
      </c>
      <c r="M3844" s="754">
        <f t="shared" si="145"/>
        <v>280.32</v>
      </c>
      <c r="N3844" s="756">
        <v>280.32</v>
      </c>
      <c r="O3844" s="720">
        <f t="shared" si="146"/>
        <v>0</v>
      </c>
    </row>
    <row r="3845" spans="1:15" x14ac:dyDescent="0.25">
      <c r="A3845" s="207" t="str">
        <f>VLOOKUP(RIGHT(E3845,3)+0,SchLocTable!$A$2:$B$47,2,FALSE)</f>
        <v>Winthrop</v>
      </c>
      <c r="B3845" s="207" t="str">
        <f>VLOOKUP(VALUE(D3845),$D$3:F$106,3,FALSE)</f>
        <v>Custodians</v>
      </c>
      <c r="C3845" s="751" t="s">
        <v>246</v>
      </c>
      <c r="D3845" s="751" t="s">
        <v>991</v>
      </c>
      <c r="E3845" s="751" t="s">
        <v>1016</v>
      </c>
      <c r="F3845" s="751" t="s">
        <v>254</v>
      </c>
      <c r="G3845" s="752" t="s">
        <v>1681</v>
      </c>
      <c r="H3845" s="753">
        <v>52360</v>
      </c>
      <c r="I3845" s="754">
        <v>3551.04</v>
      </c>
      <c r="J3845" s="754">
        <v>0</v>
      </c>
      <c r="K3845" s="754">
        <v>0</v>
      </c>
      <c r="L3845" s="754">
        <v>1121.8699999999999</v>
      </c>
      <c r="M3845" s="754">
        <f t="shared" si="145"/>
        <v>1121.8699999999999</v>
      </c>
      <c r="N3845" s="756">
        <v>3551.04</v>
      </c>
      <c r="O3845" s="720">
        <f t="shared" si="146"/>
        <v>0</v>
      </c>
    </row>
    <row r="3846" spans="1:15" x14ac:dyDescent="0.25">
      <c r="A3846" s="207" t="str">
        <f>VLOOKUP(RIGHT(E3846,3)+0,SchLocTable!$A$2:$B$47,2,FALSE)</f>
        <v>Winthrop</v>
      </c>
      <c r="B3846" s="207" t="str">
        <f>VLOOKUP(VALUE(D3846),$D$3:F$106,3,FALSE)</f>
        <v>Custodians</v>
      </c>
      <c r="C3846" s="751" t="s">
        <v>246</v>
      </c>
      <c r="D3846" s="751" t="s">
        <v>991</v>
      </c>
      <c r="E3846" s="751" t="s">
        <v>1016</v>
      </c>
      <c r="F3846" s="751" t="s">
        <v>292</v>
      </c>
      <c r="G3846" s="752" t="s">
        <v>1681</v>
      </c>
      <c r="H3846" s="753">
        <v>52385</v>
      </c>
      <c r="I3846" s="754">
        <v>0</v>
      </c>
      <c r="J3846" s="754">
        <v>0</v>
      </c>
      <c r="K3846" s="754">
        <v>0</v>
      </c>
      <c r="L3846" s="754">
        <v>0</v>
      </c>
      <c r="M3846" s="754">
        <f t="shared" si="145"/>
        <v>0</v>
      </c>
      <c r="N3846" s="756">
        <v>0</v>
      </c>
      <c r="O3846" s="720">
        <f t="shared" si="146"/>
        <v>0</v>
      </c>
    </row>
    <row r="3847" spans="1:15" x14ac:dyDescent="0.25">
      <c r="A3847" s="207" t="str">
        <f>VLOOKUP(RIGHT(E3847,3)+0,SchLocTable!$A$2:$B$47,2,FALSE)</f>
        <v>Winthrop</v>
      </c>
      <c r="B3847" s="207" t="str">
        <f>VLOOKUP(VALUE(D3847),$D$3:F$106,3,FALSE)</f>
        <v>Custodians</v>
      </c>
      <c r="C3847" s="751" t="s">
        <v>246</v>
      </c>
      <c r="D3847" s="751" t="s">
        <v>991</v>
      </c>
      <c r="E3847" s="751" t="s">
        <v>1016</v>
      </c>
      <c r="F3847" s="751" t="s">
        <v>331</v>
      </c>
      <c r="G3847" s="752" t="s">
        <v>1681</v>
      </c>
      <c r="H3847" s="753">
        <v>52504</v>
      </c>
      <c r="I3847" s="754">
        <v>51039.8</v>
      </c>
      <c r="J3847" s="754">
        <v>0</v>
      </c>
      <c r="K3847" s="754">
        <v>0</v>
      </c>
      <c r="L3847" s="754">
        <v>16545.599999999999</v>
      </c>
      <c r="M3847" s="754">
        <f t="shared" si="145"/>
        <v>16545.599999999999</v>
      </c>
      <c r="N3847" s="756">
        <v>51039.8</v>
      </c>
      <c r="O3847" s="720">
        <f t="shared" si="146"/>
        <v>0</v>
      </c>
    </row>
    <row r="3848" spans="1:15" x14ac:dyDescent="0.25">
      <c r="A3848" s="207" t="str">
        <f>VLOOKUP(RIGHT(E3848,3)+0,SchLocTable!$A$2:$B$47,2,FALSE)</f>
        <v>Winthrop</v>
      </c>
      <c r="B3848" s="207" t="str">
        <f>VLOOKUP(VALUE(D3848),$D$3:F$106,3,FALSE)</f>
        <v>Custodians</v>
      </c>
      <c r="C3848" s="751" t="s">
        <v>246</v>
      </c>
      <c r="D3848" s="751" t="s">
        <v>991</v>
      </c>
      <c r="E3848" s="751" t="s">
        <v>1016</v>
      </c>
      <c r="F3848" s="751" t="s">
        <v>259</v>
      </c>
      <c r="G3848" s="752" t="s">
        <v>1681</v>
      </c>
      <c r="H3848" s="753">
        <v>52917</v>
      </c>
      <c r="I3848" s="754">
        <v>24959.24</v>
      </c>
      <c r="J3848" s="754">
        <v>0</v>
      </c>
      <c r="K3848" s="754">
        <v>0</v>
      </c>
      <c r="L3848" s="754">
        <v>8041.53</v>
      </c>
      <c r="M3848" s="754">
        <f t="shared" si="145"/>
        <v>8041.53</v>
      </c>
      <c r="N3848" s="756">
        <v>24959.24</v>
      </c>
      <c r="O3848" s="720">
        <f t="shared" si="146"/>
        <v>0</v>
      </c>
    </row>
    <row r="3849" spans="1:15" x14ac:dyDescent="0.25">
      <c r="A3849" s="207" t="str">
        <f>VLOOKUP(RIGHT(E3849,3)+0,SchLocTable!$A$2:$B$47,2,FALSE)</f>
        <v>Winthrop</v>
      </c>
      <c r="B3849" s="207" t="str">
        <f>VLOOKUP(VALUE(D3849),$D$3:F$106,3,FALSE)</f>
        <v>Custodians</v>
      </c>
      <c r="C3849" s="751" t="s">
        <v>246</v>
      </c>
      <c r="D3849" s="751" t="s">
        <v>991</v>
      </c>
      <c r="E3849" s="751" t="s">
        <v>1016</v>
      </c>
      <c r="F3849" s="751" t="s">
        <v>333</v>
      </c>
      <c r="G3849" s="752" t="s">
        <v>1681</v>
      </c>
      <c r="H3849" s="753">
        <v>52920</v>
      </c>
      <c r="I3849" s="754">
        <v>3500</v>
      </c>
      <c r="J3849" s="754">
        <v>0</v>
      </c>
      <c r="K3849" s="754">
        <v>0</v>
      </c>
      <c r="L3849" s="754">
        <v>0</v>
      </c>
      <c r="M3849" s="754">
        <f t="shared" si="145"/>
        <v>0</v>
      </c>
      <c r="N3849" s="756">
        <v>3500</v>
      </c>
      <c r="O3849" s="720">
        <f t="shared" si="146"/>
        <v>0</v>
      </c>
    </row>
    <row r="3850" spans="1:15" x14ac:dyDescent="0.25">
      <c r="A3850" s="207" t="str">
        <f>VLOOKUP(RIGHT(E3850,3)+0,SchLocTable!$A$2:$B$47,2,FALSE)</f>
        <v>Discovery</v>
      </c>
      <c r="B3850" s="207" t="str">
        <f>VLOOKUP(VALUE(D3850),$D$3:F$106,3,FALSE)</f>
        <v>Custodians</v>
      </c>
      <c r="C3850" s="751" t="s">
        <v>246</v>
      </c>
      <c r="D3850" s="751" t="s">
        <v>991</v>
      </c>
      <c r="E3850" s="751" t="s">
        <v>1017</v>
      </c>
      <c r="F3850" s="751" t="s">
        <v>248</v>
      </c>
      <c r="G3850" s="752">
        <v>3</v>
      </c>
      <c r="H3850" s="753">
        <v>51000</v>
      </c>
      <c r="I3850" s="754">
        <v>167525.54</v>
      </c>
      <c r="J3850" s="754">
        <v>0</v>
      </c>
      <c r="K3850" s="754">
        <v>0</v>
      </c>
      <c r="L3850" s="754">
        <v>52950.73</v>
      </c>
      <c r="M3850" s="754">
        <f t="shared" si="145"/>
        <v>52950.73</v>
      </c>
      <c r="N3850" s="756">
        <v>167525.54</v>
      </c>
      <c r="O3850" s="720">
        <f t="shared" si="146"/>
        <v>0</v>
      </c>
    </row>
    <row r="3851" spans="1:15" x14ac:dyDescent="0.25">
      <c r="A3851" s="207" t="str">
        <f>VLOOKUP(RIGHT(E3851,3)+0,SchLocTable!$A$2:$B$47,2,FALSE)</f>
        <v>Discovery</v>
      </c>
      <c r="B3851" s="207" t="str">
        <f>VLOOKUP(VALUE(D3851),$D$3:F$106,3,FALSE)</f>
        <v>Custodians</v>
      </c>
      <c r="C3851" s="751" t="s">
        <v>246</v>
      </c>
      <c r="D3851" s="751" t="s">
        <v>991</v>
      </c>
      <c r="E3851" s="751" t="s">
        <v>1017</v>
      </c>
      <c r="F3851" s="751" t="s">
        <v>919</v>
      </c>
      <c r="G3851" s="752" t="s">
        <v>1681</v>
      </c>
      <c r="H3851" s="753">
        <v>51102</v>
      </c>
      <c r="I3851" s="754">
        <v>0</v>
      </c>
      <c r="J3851" s="754">
        <v>0</v>
      </c>
      <c r="K3851" s="754">
        <v>0</v>
      </c>
      <c r="L3851" s="754">
        <v>0</v>
      </c>
      <c r="M3851" s="754">
        <f t="shared" si="145"/>
        <v>0</v>
      </c>
      <c r="N3851" s="756">
        <v>0</v>
      </c>
      <c r="O3851" s="720">
        <f t="shared" si="146"/>
        <v>0</v>
      </c>
    </row>
    <row r="3852" spans="1:15" x14ac:dyDescent="0.25">
      <c r="A3852" s="207" t="str">
        <f>VLOOKUP(RIGHT(E3852,3)+0,SchLocTable!$A$2:$B$47,2,FALSE)</f>
        <v>Discovery</v>
      </c>
      <c r="B3852" s="207" t="str">
        <f>VLOOKUP(VALUE(D3852),$D$3:F$106,3,FALSE)</f>
        <v>Custodians</v>
      </c>
      <c r="C3852" s="751" t="s">
        <v>246</v>
      </c>
      <c r="D3852" s="751" t="s">
        <v>991</v>
      </c>
      <c r="E3852" s="751" t="s">
        <v>1017</v>
      </c>
      <c r="F3852" s="751" t="s">
        <v>378</v>
      </c>
      <c r="G3852" s="752" t="s">
        <v>1681</v>
      </c>
      <c r="H3852" s="753">
        <v>51108</v>
      </c>
      <c r="I3852" s="754">
        <v>931.35</v>
      </c>
      <c r="J3852" s="754">
        <v>0</v>
      </c>
      <c r="K3852" s="754">
        <v>0</v>
      </c>
      <c r="L3852" s="754">
        <v>931.35</v>
      </c>
      <c r="M3852" s="754">
        <f t="shared" si="145"/>
        <v>931.35</v>
      </c>
      <c r="N3852" s="756">
        <v>931.35</v>
      </c>
      <c r="O3852" s="720">
        <f t="shared" si="146"/>
        <v>0</v>
      </c>
    </row>
    <row r="3853" spans="1:15" x14ac:dyDescent="0.25">
      <c r="A3853" s="207" t="str">
        <f>VLOOKUP(RIGHT(E3853,3)+0,SchLocTable!$A$2:$B$47,2,FALSE)</f>
        <v>Discovery</v>
      </c>
      <c r="B3853" s="207" t="str">
        <f>VLOOKUP(VALUE(D3853),$D$3:F$106,3,FALSE)</f>
        <v>Custodians</v>
      </c>
      <c r="C3853" s="751" t="s">
        <v>246</v>
      </c>
      <c r="D3853" s="751" t="s">
        <v>991</v>
      </c>
      <c r="E3853" s="751" t="s">
        <v>1017</v>
      </c>
      <c r="F3853" s="751" t="s">
        <v>915</v>
      </c>
      <c r="G3853" s="752" t="s">
        <v>1681</v>
      </c>
      <c r="H3853" s="753">
        <v>51116</v>
      </c>
      <c r="I3853" s="754">
        <v>0</v>
      </c>
      <c r="J3853" s="754">
        <v>0</v>
      </c>
      <c r="K3853" s="754">
        <v>0</v>
      </c>
      <c r="L3853" s="754">
        <v>0</v>
      </c>
      <c r="M3853" s="754">
        <f t="shared" si="145"/>
        <v>0</v>
      </c>
      <c r="N3853" s="756">
        <v>0</v>
      </c>
      <c r="O3853" s="720">
        <f t="shared" si="146"/>
        <v>0</v>
      </c>
    </row>
    <row r="3854" spans="1:15" x14ac:dyDescent="0.25">
      <c r="A3854" s="207" t="str">
        <f>VLOOKUP(RIGHT(E3854,3)+0,SchLocTable!$A$2:$B$47,2,FALSE)</f>
        <v>Discovery</v>
      </c>
      <c r="B3854" s="207" t="str">
        <f>VLOOKUP(VALUE(D3854),$D$3:F$106,3,FALSE)</f>
        <v>Custodians</v>
      </c>
      <c r="C3854" s="751" t="s">
        <v>246</v>
      </c>
      <c r="D3854" s="751" t="s">
        <v>991</v>
      </c>
      <c r="E3854" s="751" t="s">
        <v>1017</v>
      </c>
      <c r="F3854" s="751" t="s">
        <v>380</v>
      </c>
      <c r="G3854" s="752" t="s">
        <v>1681</v>
      </c>
      <c r="H3854" s="753">
        <v>51122</v>
      </c>
      <c r="I3854" s="754">
        <v>14273.39</v>
      </c>
      <c r="J3854" s="754">
        <v>0</v>
      </c>
      <c r="K3854" s="754">
        <v>0</v>
      </c>
      <c r="L3854" s="754">
        <v>3277.28</v>
      </c>
      <c r="M3854" s="754">
        <f t="shared" si="145"/>
        <v>3277.28</v>
      </c>
      <c r="N3854" s="756">
        <v>14273.39</v>
      </c>
      <c r="O3854" s="720">
        <f t="shared" si="146"/>
        <v>0</v>
      </c>
    </row>
    <row r="3855" spans="1:15" x14ac:dyDescent="0.25">
      <c r="A3855" s="207" t="str">
        <f>VLOOKUP(RIGHT(E3855,3)+0,SchLocTable!$A$2:$B$47,2,FALSE)</f>
        <v>Discovery</v>
      </c>
      <c r="B3855" s="207" t="str">
        <f>VLOOKUP(VALUE(D3855),$D$3:F$106,3,FALSE)</f>
        <v>Custodians</v>
      </c>
      <c r="C3855" s="751" t="s">
        <v>246</v>
      </c>
      <c r="D3855" s="751" t="s">
        <v>991</v>
      </c>
      <c r="E3855" s="751" t="s">
        <v>1017</v>
      </c>
      <c r="F3855" s="751" t="s">
        <v>944</v>
      </c>
      <c r="G3855" s="752" t="s">
        <v>1681</v>
      </c>
      <c r="H3855" s="753">
        <v>51124</v>
      </c>
      <c r="I3855" s="754">
        <v>0</v>
      </c>
      <c r="J3855" s="754">
        <v>0</v>
      </c>
      <c r="K3855" s="754">
        <v>0</v>
      </c>
      <c r="L3855" s="754">
        <v>0</v>
      </c>
      <c r="M3855" s="754">
        <f t="shared" si="145"/>
        <v>0</v>
      </c>
      <c r="N3855" s="756">
        <v>0</v>
      </c>
      <c r="O3855" s="720">
        <f t="shared" si="146"/>
        <v>0</v>
      </c>
    </row>
    <row r="3856" spans="1:15" x14ac:dyDescent="0.25">
      <c r="A3856" s="207" t="str">
        <f>VLOOKUP(RIGHT(E3856,3)+0,SchLocTable!$A$2:$B$47,2,FALSE)</f>
        <v>Discovery</v>
      </c>
      <c r="B3856" s="207" t="str">
        <f>VLOOKUP(VALUE(D3856),$D$3:F$106,3,FALSE)</f>
        <v>Custodians</v>
      </c>
      <c r="C3856" s="751" t="s">
        <v>246</v>
      </c>
      <c r="D3856" s="751" t="s">
        <v>991</v>
      </c>
      <c r="E3856" s="751" t="s">
        <v>1017</v>
      </c>
      <c r="F3856" s="751" t="s">
        <v>993</v>
      </c>
      <c r="G3856" s="752" t="s">
        <v>1681</v>
      </c>
      <c r="H3856" s="753">
        <v>51138</v>
      </c>
      <c r="I3856" s="754">
        <v>4263.18</v>
      </c>
      <c r="J3856" s="754">
        <v>0</v>
      </c>
      <c r="K3856" s="754">
        <v>0</v>
      </c>
      <c r="L3856" s="754">
        <v>828.16</v>
      </c>
      <c r="M3856" s="754">
        <f t="shared" si="145"/>
        <v>828.16</v>
      </c>
      <c r="N3856" s="756">
        <v>4263.18</v>
      </c>
      <c r="O3856" s="720">
        <f t="shared" si="146"/>
        <v>0</v>
      </c>
    </row>
    <row r="3857" spans="1:15" x14ac:dyDescent="0.25">
      <c r="A3857" s="207" t="str">
        <f>VLOOKUP(RIGHT(E3857,3)+0,SchLocTable!$A$2:$B$47,2,FALSE)</f>
        <v>Discovery</v>
      </c>
      <c r="B3857" s="207" t="str">
        <f>VLOOKUP(VALUE(D3857),$D$3:F$106,3,FALSE)</f>
        <v>Custodians</v>
      </c>
      <c r="C3857" s="751" t="s">
        <v>246</v>
      </c>
      <c r="D3857" s="751" t="s">
        <v>991</v>
      </c>
      <c r="E3857" s="751" t="s">
        <v>1017</v>
      </c>
      <c r="F3857" s="751" t="s">
        <v>257</v>
      </c>
      <c r="G3857" s="752" t="s">
        <v>1681</v>
      </c>
      <c r="H3857" s="753">
        <v>51140</v>
      </c>
      <c r="I3857" s="754">
        <v>2400</v>
      </c>
      <c r="J3857" s="754">
        <v>0</v>
      </c>
      <c r="K3857" s="754">
        <v>0</v>
      </c>
      <c r="L3857" s="754">
        <v>900</v>
      </c>
      <c r="M3857" s="754">
        <f t="shared" si="145"/>
        <v>900</v>
      </c>
      <c r="N3857" s="756">
        <v>2400</v>
      </c>
      <c r="O3857" s="720">
        <f t="shared" si="146"/>
        <v>0</v>
      </c>
    </row>
    <row r="3858" spans="1:15" x14ac:dyDescent="0.25">
      <c r="A3858" s="207" t="str">
        <f>VLOOKUP(RIGHT(E3858,3)+0,SchLocTable!$A$2:$B$47,2,FALSE)</f>
        <v>Discovery</v>
      </c>
      <c r="B3858" s="207" t="str">
        <f>VLOOKUP(VALUE(D3858),$D$3:F$106,3,FALSE)</f>
        <v>Custodians</v>
      </c>
      <c r="C3858" s="751" t="s">
        <v>246</v>
      </c>
      <c r="D3858" s="751" t="s">
        <v>991</v>
      </c>
      <c r="E3858" s="751" t="s">
        <v>1017</v>
      </c>
      <c r="F3858" s="751" t="s">
        <v>254</v>
      </c>
      <c r="G3858" s="752" t="s">
        <v>1681</v>
      </c>
      <c r="H3858" s="753">
        <v>52360</v>
      </c>
      <c r="I3858" s="754">
        <v>2672.23</v>
      </c>
      <c r="J3858" s="754">
        <v>0</v>
      </c>
      <c r="K3858" s="754">
        <v>0</v>
      </c>
      <c r="L3858" s="754">
        <v>801.64</v>
      </c>
      <c r="M3858" s="754">
        <f t="shared" si="145"/>
        <v>801.64</v>
      </c>
      <c r="N3858" s="756">
        <v>2672.23</v>
      </c>
      <c r="O3858" s="720">
        <f t="shared" si="146"/>
        <v>0</v>
      </c>
    </row>
    <row r="3859" spans="1:15" x14ac:dyDescent="0.25">
      <c r="A3859" s="207" t="str">
        <f>VLOOKUP(RIGHT(E3859,3)+0,SchLocTable!$A$2:$B$47,2,FALSE)</f>
        <v>Discovery</v>
      </c>
      <c r="B3859" s="207" t="str">
        <f>VLOOKUP(VALUE(D3859),$D$3:F$106,3,FALSE)</f>
        <v>Custodians</v>
      </c>
      <c r="C3859" s="751" t="s">
        <v>246</v>
      </c>
      <c r="D3859" s="751" t="s">
        <v>991</v>
      </c>
      <c r="E3859" s="751" t="s">
        <v>1017</v>
      </c>
      <c r="F3859" s="751" t="s">
        <v>292</v>
      </c>
      <c r="G3859" s="752" t="s">
        <v>1681</v>
      </c>
      <c r="H3859" s="753">
        <v>52385</v>
      </c>
      <c r="I3859" s="754">
        <v>0</v>
      </c>
      <c r="J3859" s="754">
        <v>0</v>
      </c>
      <c r="K3859" s="754">
        <v>0</v>
      </c>
      <c r="L3859" s="754">
        <v>0</v>
      </c>
      <c r="M3859" s="754">
        <f t="shared" si="145"/>
        <v>0</v>
      </c>
      <c r="N3859" s="756">
        <v>0</v>
      </c>
      <c r="O3859" s="720">
        <f t="shared" si="146"/>
        <v>0</v>
      </c>
    </row>
    <row r="3860" spans="1:15" x14ac:dyDescent="0.25">
      <c r="A3860" s="207" t="str">
        <f>VLOOKUP(RIGHT(E3860,3)+0,SchLocTable!$A$2:$B$47,2,FALSE)</f>
        <v>Discovery</v>
      </c>
      <c r="B3860" s="207" t="str">
        <f>VLOOKUP(VALUE(D3860),$D$3:F$106,3,FALSE)</f>
        <v>Custodians</v>
      </c>
      <c r="C3860" s="751" t="s">
        <v>246</v>
      </c>
      <c r="D3860" s="751" t="s">
        <v>991</v>
      </c>
      <c r="E3860" s="751" t="s">
        <v>1017</v>
      </c>
      <c r="F3860" s="751" t="s">
        <v>331</v>
      </c>
      <c r="G3860" s="752" t="s">
        <v>1681</v>
      </c>
      <c r="H3860" s="753">
        <v>52504</v>
      </c>
      <c r="I3860" s="754">
        <v>38687.32</v>
      </c>
      <c r="J3860" s="754">
        <v>0</v>
      </c>
      <c r="K3860" s="754">
        <v>0</v>
      </c>
      <c r="L3860" s="754">
        <v>12125</v>
      </c>
      <c r="M3860" s="754">
        <f t="shared" si="145"/>
        <v>12125</v>
      </c>
      <c r="N3860" s="756">
        <v>38687.32</v>
      </c>
      <c r="O3860" s="720">
        <f t="shared" si="146"/>
        <v>0</v>
      </c>
    </row>
    <row r="3861" spans="1:15" x14ac:dyDescent="0.25">
      <c r="A3861" s="207" t="str">
        <f>VLOOKUP(RIGHT(E3861,3)+0,SchLocTable!$A$2:$B$47,2,FALSE)</f>
        <v>Discovery</v>
      </c>
      <c r="B3861" s="207" t="str">
        <f>VLOOKUP(VALUE(D3861),$D$3:F$106,3,FALSE)</f>
        <v>Custodians</v>
      </c>
      <c r="C3861" s="751" t="s">
        <v>246</v>
      </c>
      <c r="D3861" s="751" t="s">
        <v>991</v>
      </c>
      <c r="E3861" s="751" t="s">
        <v>1017</v>
      </c>
      <c r="F3861" s="751" t="s">
        <v>259</v>
      </c>
      <c r="G3861" s="752" t="s">
        <v>1681</v>
      </c>
      <c r="H3861" s="753">
        <v>52917</v>
      </c>
      <c r="I3861" s="754">
        <v>46079.55</v>
      </c>
      <c r="J3861" s="754">
        <v>0</v>
      </c>
      <c r="K3861" s="754">
        <v>0</v>
      </c>
      <c r="L3861" s="754">
        <v>14124</v>
      </c>
      <c r="M3861" s="754">
        <f t="shared" si="145"/>
        <v>14124</v>
      </c>
      <c r="N3861" s="756">
        <v>46079.55</v>
      </c>
      <c r="O3861" s="720">
        <f t="shared" si="146"/>
        <v>0</v>
      </c>
    </row>
    <row r="3862" spans="1:15" x14ac:dyDescent="0.25">
      <c r="A3862" s="207" t="str">
        <f>VLOOKUP(RIGHT(E3862,3)+0,SchLocTable!$A$2:$B$47,2,FALSE)</f>
        <v>Discovery</v>
      </c>
      <c r="B3862" s="207" t="str">
        <f>VLOOKUP(VALUE(D3862),$D$3:F$106,3,FALSE)</f>
        <v>Custodians</v>
      </c>
      <c r="C3862" s="751" t="s">
        <v>246</v>
      </c>
      <c r="D3862" s="751" t="s">
        <v>991</v>
      </c>
      <c r="E3862" s="751" t="s">
        <v>1017</v>
      </c>
      <c r="F3862" s="751" t="s">
        <v>333</v>
      </c>
      <c r="G3862" s="752" t="s">
        <v>1681</v>
      </c>
      <c r="H3862" s="753">
        <v>52920</v>
      </c>
      <c r="I3862" s="754">
        <v>2000</v>
      </c>
      <c r="J3862" s="754">
        <v>0</v>
      </c>
      <c r="K3862" s="754">
        <v>0</v>
      </c>
      <c r="L3862" s="754">
        <v>1000</v>
      </c>
      <c r="M3862" s="754">
        <f t="shared" si="145"/>
        <v>1000</v>
      </c>
      <c r="N3862" s="756">
        <v>2000</v>
      </c>
      <c r="O3862" s="720">
        <f t="shared" si="146"/>
        <v>0</v>
      </c>
    </row>
    <row r="3863" spans="1:15" x14ac:dyDescent="0.25">
      <c r="A3863" s="207" t="str">
        <f>VLOOKUP(RIGHT(E3863,3)+0,SchLocTable!$A$2:$B$47,2,FALSE)</f>
        <v>Cross</v>
      </c>
      <c r="B3863" s="207" t="str">
        <f>VLOOKUP(VALUE(D3863),$D$3:F$106,3,FALSE)</f>
        <v>Custodians</v>
      </c>
      <c r="C3863" s="751" t="s">
        <v>246</v>
      </c>
      <c r="D3863" s="751" t="s">
        <v>991</v>
      </c>
      <c r="E3863" s="751" t="s">
        <v>1018</v>
      </c>
      <c r="F3863" s="751" t="s">
        <v>248</v>
      </c>
      <c r="G3863" s="752">
        <v>5</v>
      </c>
      <c r="H3863" s="753">
        <v>51000</v>
      </c>
      <c r="I3863" s="754">
        <v>263436.51</v>
      </c>
      <c r="J3863" s="754">
        <v>0</v>
      </c>
      <c r="K3863" s="754">
        <v>0</v>
      </c>
      <c r="L3863" s="754">
        <v>82255.87</v>
      </c>
      <c r="M3863" s="754">
        <f t="shared" si="145"/>
        <v>82255.87</v>
      </c>
      <c r="N3863" s="756">
        <v>263436.51</v>
      </c>
      <c r="O3863" s="720">
        <f t="shared" si="146"/>
        <v>0</v>
      </c>
    </row>
    <row r="3864" spans="1:15" x14ac:dyDescent="0.25">
      <c r="A3864" s="207" t="str">
        <f>VLOOKUP(RIGHT(E3864,3)+0,SchLocTable!$A$2:$B$47,2,FALSE)</f>
        <v>Cross</v>
      </c>
      <c r="B3864" s="207" t="str">
        <f>VLOOKUP(VALUE(D3864),$D$3:F$106,3,FALSE)</f>
        <v>Custodians</v>
      </c>
      <c r="C3864" s="751" t="s">
        <v>246</v>
      </c>
      <c r="D3864" s="751" t="s">
        <v>991</v>
      </c>
      <c r="E3864" s="751" t="s">
        <v>1018</v>
      </c>
      <c r="F3864" s="751" t="s">
        <v>919</v>
      </c>
      <c r="G3864" s="752" t="s">
        <v>1681</v>
      </c>
      <c r="H3864" s="753">
        <v>51102</v>
      </c>
      <c r="I3864" s="754">
        <v>0</v>
      </c>
      <c r="J3864" s="754">
        <v>0</v>
      </c>
      <c r="K3864" s="754">
        <v>0</v>
      </c>
      <c r="L3864" s="754">
        <v>0</v>
      </c>
      <c r="M3864" s="754">
        <f t="shared" si="145"/>
        <v>0</v>
      </c>
      <c r="N3864" s="756">
        <v>0</v>
      </c>
      <c r="O3864" s="720">
        <f t="shared" si="146"/>
        <v>0</v>
      </c>
    </row>
    <row r="3865" spans="1:15" x14ac:dyDescent="0.25">
      <c r="A3865" s="207" t="str">
        <f>VLOOKUP(RIGHT(E3865,3)+0,SchLocTable!$A$2:$B$47,2,FALSE)</f>
        <v>Cross</v>
      </c>
      <c r="B3865" s="207" t="str">
        <f>VLOOKUP(VALUE(D3865),$D$3:F$106,3,FALSE)</f>
        <v>Custodians</v>
      </c>
      <c r="C3865" s="751" t="s">
        <v>246</v>
      </c>
      <c r="D3865" s="751" t="s">
        <v>991</v>
      </c>
      <c r="E3865" s="751" t="s">
        <v>1018</v>
      </c>
      <c r="F3865" s="751" t="s">
        <v>378</v>
      </c>
      <c r="G3865" s="752" t="s">
        <v>1681</v>
      </c>
      <c r="H3865" s="753">
        <v>51108</v>
      </c>
      <c r="I3865" s="754">
        <v>3458.67</v>
      </c>
      <c r="J3865" s="754">
        <v>0</v>
      </c>
      <c r="K3865" s="754">
        <v>0</v>
      </c>
      <c r="L3865" s="754">
        <v>3458.67</v>
      </c>
      <c r="M3865" s="754">
        <f t="shared" si="145"/>
        <v>3458.67</v>
      </c>
      <c r="N3865" s="756">
        <v>3458.67</v>
      </c>
      <c r="O3865" s="720">
        <f t="shared" si="146"/>
        <v>0</v>
      </c>
    </row>
    <row r="3866" spans="1:15" x14ac:dyDescent="0.25">
      <c r="A3866" s="207" t="str">
        <f>VLOOKUP(RIGHT(E3866,3)+0,SchLocTable!$A$2:$B$47,2,FALSE)</f>
        <v>Cross</v>
      </c>
      <c r="B3866" s="207" t="str">
        <f>VLOOKUP(VALUE(D3866),$D$3:F$106,3,FALSE)</f>
        <v>Custodians</v>
      </c>
      <c r="C3866" s="751" t="s">
        <v>246</v>
      </c>
      <c r="D3866" s="751" t="s">
        <v>991</v>
      </c>
      <c r="E3866" s="751" t="s">
        <v>1018</v>
      </c>
      <c r="F3866" s="751" t="s">
        <v>380</v>
      </c>
      <c r="G3866" s="752" t="s">
        <v>1681</v>
      </c>
      <c r="H3866" s="753">
        <v>51122</v>
      </c>
      <c r="I3866" s="754">
        <v>8904.16</v>
      </c>
      <c r="J3866" s="754">
        <v>0</v>
      </c>
      <c r="K3866" s="754">
        <v>0</v>
      </c>
      <c r="L3866" s="754">
        <v>3672.54</v>
      </c>
      <c r="M3866" s="754">
        <f t="shared" si="145"/>
        <v>3672.54</v>
      </c>
      <c r="N3866" s="756">
        <v>8904.16</v>
      </c>
      <c r="O3866" s="720">
        <f t="shared" si="146"/>
        <v>0</v>
      </c>
    </row>
    <row r="3867" spans="1:15" x14ac:dyDescent="0.25">
      <c r="A3867" s="207" t="str">
        <f>VLOOKUP(RIGHT(E3867,3)+0,SchLocTable!$A$2:$B$47,2,FALSE)</f>
        <v>Cross</v>
      </c>
      <c r="B3867" s="207" t="str">
        <f>VLOOKUP(VALUE(D3867),$D$3:F$106,3,FALSE)</f>
        <v>Custodians</v>
      </c>
      <c r="C3867" s="751" t="s">
        <v>246</v>
      </c>
      <c r="D3867" s="751" t="s">
        <v>991</v>
      </c>
      <c r="E3867" s="751" t="s">
        <v>1018</v>
      </c>
      <c r="F3867" s="751" t="s">
        <v>993</v>
      </c>
      <c r="G3867" s="752" t="s">
        <v>1681</v>
      </c>
      <c r="H3867" s="753">
        <v>51138</v>
      </c>
      <c r="I3867" s="754">
        <v>4263.18</v>
      </c>
      <c r="J3867" s="754">
        <v>0</v>
      </c>
      <c r="K3867" s="754">
        <v>0</v>
      </c>
      <c r="L3867" s="754">
        <v>828.16</v>
      </c>
      <c r="M3867" s="754">
        <f t="shared" si="145"/>
        <v>828.16</v>
      </c>
      <c r="N3867" s="756">
        <v>4263.18</v>
      </c>
      <c r="O3867" s="720">
        <f t="shared" si="146"/>
        <v>0</v>
      </c>
    </row>
    <row r="3868" spans="1:15" x14ac:dyDescent="0.25">
      <c r="A3868" s="207" t="str">
        <f>VLOOKUP(RIGHT(E3868,3)+0,SchLocTable!$A$2:$B$47,2,FALSE)</f>
        <v>Cross</v>
      </c>
      <c r="B3868" s="207" t="str">
        <f>VLOOKUP(VALUE(D3868),$D$3:F$106,3,FALSE)</f>
        <v>Custodians</v>
      </c>
      <c r="C3868" s="751" t="s">
        <v>246</v>
      </c>
      <c r="D3868" s="751" t="s">
        <v>991</v>
      </c>
      <c r="E3868" s="751" t="s">
        <v>1018</v>
      </c>
      <c r="F3868" s="751" t="s">
        <v>257</v>
      </c>
      <c r="G3868" s="752" t="s">
        <v>1681</v>
      </c>
      <c r="H3868" s="753">
        <v>51140</v>
      </c>
      <c r="I3868" s="754">
        <v>1125</v>
      </c>
      <c r="J3868" s="754">
        <v>0</v>
      </c>
      <c r="K3868" s="754">
        <v>0</v>
      </c>
      <c r="L3868" s="754">
        <v>750</v>
      </c>
      <c r="M3868" s="754">
        <f t="shared" si="145"/>
        <v>750</v>
      </c>
      <c r="N3868" s="756">
        <v>1125</v>
      </c>
      <c r="O3868" s="720">
        <f t="shared" si="146"/>
        <v>0</v>
      </c>
    </row>
    <row r="3869" spans="1:15" x14ac:dyDescent="0.25">
      <c r="A3869" s="207" t="str">
        <f>VLOOKUP(RIGHT(E3869,3)+0,SchLocTable!$A$2:$B$47,2,FALSE)</f>
        <v>Cross</v>
      </c>
      <c r="B3869" s="207" t="str">
        <f>VLOOKUP(VALUE(D3869),$D$3:F$106,3,FALSE)</f>
        <v>Custodians</v>
      </c>
      <c r="C3869" s="751" t="s">
        <v>246</v>
      </c>
      <c r="D3869" s="751" t="s">
        <v>991</v>
      </c>
      <c r="E3869" s="751" t="s">
        <v>1018</v>
      </c>
      <c r="F3869" s="751" t="s">
        <v>797</v>
      </c>
      <c r="G3869" s="752" t="s">
        <v>1681</v>
      </c>
      <c r="H3869" s="753">
        <v>51156</v>
      </c>
      <c r="I3869" s="754">
        <v>0</v>
      </c>
      <c r="J3869" s="754">
        <v>0</v>
      </c>
      <c r="K3869" s="754">
        <v>0</v>
      </c>
      <c r="L3869" s="754">
        <v>0</v>
      </c>
      <c r="M3869" s="754">
        <f t="shared" si="145"/>
        <v>0</v>
      </c>
      <c r="N3869" s="756">
        <v>0</v>
      </c>
      <c r="O3869" s="720">
        <f t="shared" si="146"/>
        <v>0</v>
      </c>
    </row>
    <row r="3870" spans="1:15" x14ac:dyDescent="0.25">
      <c r="A3870" s="207" t="str">
        <f>VLOOKUP(RIGHT(E3870,3)+0,SchLocTable!$A$2:$B$47,2,FALSE)</f>
        <v>Cross</v>
      </c>
      <c r="B3870" s="207" t="str">
        <f>VLOOKUP(VALUE(D3870),$D$3:F$106,3,FALSE)</f>
        <v>Custodians</v>
      </c>
      <c r="C3870" s="751" t="s">
        <v>246</v>
      </c>
      <c r="D3870" s="751" t="s">
        <v>991</v>
      </c>
      <c r="E3870" s="751" t="s">
        <v>1018</v>
      </c>
      <c r="F3870" s="751" t="s">
        <v>254</v>
      </c>
      <c r="G3870" s="752" t="s">
        <v>1681</v>
      </c>
      <c r="H3870" s="753">
        <v>52360</v>
      </c>
      <c r="I3870" s="754">
        <v>4020.78</v>
      </c>
      <c r="J3870" s="754">
        <v>0</v>
      </c>
      <c r="K3870" s="754">
        <v>0</v>
      </c>
      <c r="L3870" s="754">
        <v>1267.99</v>
      </c>
      <c r="M3870" s="754">
        <f t="shared" si="145"/>
        <v>1267.99</v>
      </c>
      <c r="N3870" s="756">
        <v>4020.78</v>
      </c>
      <c r="O3870" s="720">
        <f t="shared" si="146"/>
        <v>0</v>
      </c>
    </row>
    <row r="3871" spans="1:15" x14ac:dyDescent="0.25">
      <c r="A3871" s="207" t="str">
        <f>VLOOKUP(RIGHT(E3871,3)+0,SchLocTable!$A$2:$B$47,2,FALSE)</f>
        <v>Cross</v>
      </c>
      <c r="B3871" s="207" t="str">
        <f>VLOOKUP(VALUE(D3871),$D$3:F$106,3,FALSE)</f>
        <v>Custodians</v>
      </c>
      <c r="C3871" s="751" t="s">
        <v>246</v>
      </c>
      <c r="D3871" s="751" t="s">
        <v>991</v>
      </c>
      <c r="E3871" s="751" t="s">
        <v>1018</v>
      </c>
      <c r="F3871" s="751" t="s">
        <v>292</v>
      </c>
      <c r="G3871" s="752" t="s">
        <v>1681</v>
      </c>
      <c r="H3871" s="753">
        <v>52385</v>
      </c>
      <c r="I3871" s="754">
        <v>0</v>
      </c>
      <c r="J3871" s="754">
        <v>0</v>
      </c>
      <c r="K3871" s="754">
        <v>0</v>
      </c>
      <c r="L3871" s="754">
        <v>0</v>
      </c>
      <c r="M3871" s="754">
        <f t="shared" si="145"/>
        <v>0</v>
      </c>
      <c r="N3871" s="756">
        <v>0</v>
      </c>
      <c r="O3871" s="720">
        <f t="shared" si="146"/>
        <v>0</v>
      </c>
    </row>
    <row r="3872" spans="1:15" x14ac:dyDescent="0.25">
      <c r="A3872" s="207" t="str">
        <f>VLOOKUP(RIGHT(E3872,3)+0,SchLocTable!$A$2:$B$47,2,FALSE)</f>
        <v>Cross</v>
      </c>
      <c r="B3872" s="207" t="str">
        <f>VLOOKUP(VALUE(D3872),$D$3:F$106,3,FALSE)</f>
        <v>Custodians</v>
      </c>
      <c r="C3872" s="751" t="s">
        <v>246</v>
      </c>
      <c r="D3872" s="751" t="s">
        <v>991</v>
      </c>
      <c r="E3872" s="751" t="s">
        <v>1018</v>
      </c>
      <c r="F3872" s="751" t="s">
        <v>331</v>
      </c>
      <c r="G3872" s="752" t="s">
        <v>1681</v>
      </c>
      <c r="H3872" s="753">
        <v>52504</v>
      </c>
      <c r="I3872" s="754">
        <v>57819.33</v>
      </c>
      <c r="J3872" s="754">
        <v>0</v>
      </c>
      <c r="K3872" s="754">
        <v>0</v>
      </c>
      <c r="L3872" s="754">
        <v>18729.78</v>
      </c>
      <c r="M3872" s="754">
        <f t="shared" si="145"/>
        <v>18729.78</v>
      </c>
      <c r="N3872" s="756">
        <v>57819.33</v>
      </c>
      <c r="O3872" s="720">
        <f t="shared" si="146"/>
        <v>0</v>
      </c>
    </row>
    <row r="3873" spans="1:15" x14ac:dyDescent="0.25">
      <c r="A3873" s="207" t="str">
        <f>VLOOKUP(RIGHT(E3873,3)+0,SchLocTable!$A$2:$B$47,2,FALSE)</f>
        <v>Cross</v>
      </c>
      <c r="B3873" s="207" t="str">
        <f>VLOOKUP(VALUE(D3873),$D$3:F$106,3,FALSE)</f>
        <v>Custodians</v>
      </c>
      <c r="C3873" s="751" t="s">
        <v>246</v>
      </c>
      <c r="D3873" s="751" t="s">
        <v>991</v>
      </c>
      <c r="E3873" s="751" t="s">
        <v>1018</v>
      </c>
      <c r="F3873" s="751" t="s">
        <v>259</v>
      </c>
      <c r="G3873" s="752" t="s">
        <v>1681</v>
      </c>
      <c r="H3873" s="753">
        <v>52917</v>
      </c>
      <c r="I3873" s="754">
        <v>50933.11</v>
      </c>
      <c r="J3873" s="754">
        <v>0</v>
      </c>
      <c r="K3873" s="754">
        <v>0</v>
      </c>
      <c r="L3873" s="754">
        <v>15611.68</v>
      </c>
      <c r="M3873" s="754">
        <f t="shared" si="145"/>
        <v>15611.68</v>
      </c>
      <c r="N3873" s="756">
        <v>50933.11</v>
      </c>
      <c r="O3873" s="720">
        <f t="shared" si="146"/>
        <v>0</v>
      </c>
    </row>
    <row r="3874" spans="1:15" x14ac:dyDescent="0.25">
      <c r="A3874" s="207" t="str">
        <f>VLOOKUP(RIGHT(E3874,3)+0,SchLocTable!$A$2:$B$47,2,FALSE)</f>
        <v>Cross</v>
      </c>
      <c r="B3874" s="207" t="str">
        <f>VLOOKUP(VALUE(D3874),$D$3:F$106,3,FALSE)</f>
        <v>Custodians</v>
      </c>
      <c r="C3874" s="751" t="s">
        <v>246</v>
      </c>
      <c r="D3874" s="751" t="s">
        <v>991</v>
      </c>
      <c r="E3874" s="751" t="s">
        <v>1018</v>
      </c>
      <c r="F3874" s="751" t="s">
        <v>333</v>
      </c>
      <c r="G3874" s="752" t="s">
        <v>1681</v>
      </c>
      <c r="H3874" s="753">
        <v>52920</v>
      </c>
      <c r="I3874" s="754">
        <v>4000</v>
      </c>
      <c r="J3874" s="754">
        <v>0</v>
      </c>
      <c r="K3874" s="754">
        <v>0</v>
      </c>
      <c r="L3874" s="754">
        <v>2000</v>
      </c>
      <c r="M3874" s="754">
        <f t="shared" si="145"/>
        <v>2000</v>
      </c>
      <c r="N3874" s="756">
        <v>4000</v>
      </c>
      <c r="O3874" s="720">
        <f t="shared" si="146"/>
        <v>0</v>
      </c>
    </row>
    <row r="3875" spans="1:15" x14ac:dyDescent="0.25">
      <c r="A3875" s="207" t="str">
        <f>VLOOKUP(RIGHT(E3875,3)+0,SchLocTable!$A$2:$B$47,2,FALSE)</f>
        <v>Blackham</v>
      </c>
      <c r="B3875" s="207" t="str">
        <f>VLOOKUP(VALUE(D3875),$D$3:F$106,3,FALSE)</f>
        <v>Custodians</v>
      </c>
      <c r="C3875" s="751" t="s">
        <v>246</v>
      </c>
      <c r="D3875" s="751" t="s">
        <v>991</v>
      </c>
      <c r="E3875" s="751" t="s">
        <v>1019</v>
      </c>
      <c r="F3875" s="751" t="s">
        <v>248</v>
      </c>
      <c r="G3875" s="752">
        <v>5</v>
      </c>
      <c r="H3875" s="753">
        <v>51000</v>
      </c>
      <c r="I3875" s="754">
        <v>314359.64</v>
      </c>
      <c r="J3875" s="754">
        <v>0</v>
      </c>
      <c r="K3875" s="754">
        <v>0</v>
      </c>
      <c r="L3875" s="754">
        <v>97877.33</v>
      </c>
      <c r="M3875" s="754">
        <f t="shared" si="145"/>
        <v>97877.33</v>
      </c>
      <c r="N3875" s="756">
        <v>314359.64</v>
      </c>
      <c r="O3875" s="720">
        <f t="shared" si="146"/>
        <v>0</v>
      </c>
    </row>
    <row r="3876" spans="1:15" x14ac:dyDescent="0.25">
      <c r="A3876" s="207" t="str">
        <f>VLOOKUP(RIGHT(E3876,3)+0,SchLocTable!$A$2:$B$47,2,FALSE)</f>
        <v>Blackham</v>
      </c>
      <c r="B3876" s="207" t="str">
        <f>VLOOKUP(VALUE(D3876),$D$3:F$106,3,FALSE)</f>
        <v>Custodians</v>
      </c>
      <c r="C3876" s="751" t="s">
        <v>246</v>
      </c>
      <c r="D3876" s="751" t="s">
        <v>991</v>
      </c>
      <c r="E3876" s="751" t="s">
        <v>1019</v>
      </c>
      <c r="F3876" s="751" t="s">
        <v>919</v>
      </c>
      <c r="G3876" s="752" t="s">
        <v>1681</v>
      </c>
      <c r="H3876" s="753">
        <v>51102</v>
      </c>
      <c r="I3876" s="754">
        <v>0</v>
      </c>
      <c r="J3876" s="754">
        <v>0</v>
      </c>
      <c r="K3876" s="754">
        <v>0</v>
      </c>
      <c r="L3876" s="754">
        <v>0</v>
      </c>
      <c r="M3876" s="754">
        <f t="shared" si="145"/>
        <v>0</v>
      </c>
      <c r="N3876" s="756">
        <v>0</v>
      </c>
      <c r="O3876" s="720">
        <f t="shared" si="146"/>
        <v>0</v>
      </c>
    </row>
    <row r="3877" spans="1:15" x14ac:dyDescent="0.25">
      <c r="A3877" s="207" t="str">
        <f>VLOOKUP(RIGHT(E3877,3)+0,SchLocTable!$A$2:$B$47,2,FALSE)</f>
        <v>Blackham</v>
      </c>
      <c r="B3877" s="207" t="str">
        <f>VLOOKUP(VALUE(D3877),$D$3:F$106,3,FALSE)</f>
        <v>Custodians</v>
      </c>
      <c r="C3877" s="751" t="s">
        <v>246</v>
      </c>
      <c r="D3877" s="751" t="s">
        <v>991</v>
      </c>
      <c r="E3877" s="751" t="s">
        <v>1019</v>
      </c>
      <c r="F3877" s="751" t="s">
        <v>378</v>
      </c>
      <c r="G3877" s="752" t="s">
        <v>1681</v>
      </c>
      <c r="H3877" s="753">
        <v>51108</v>
      </c>
      <c r="I3877" s="754">
        <v>9147.26</v>
      </c>
      <c r="J3877" s="754">
        <v>0</v>
      </c>
      <c r="K3877" s="754">
        <v>0</v>
      </c>
      <c r="L3877" s="754">
        <v>1475.03</v>
      </c>
      <c r="M3877" s="754">
        <f t="shared" si="145"/>
        <v>1475.03</v>
      </c>
      <c r="N3877" s="756">
        <v>9147.26</v>
      </c>
      <c r="O3877" s="720">
        <f t="shared" si="146"/>
        <v>0</v>
      </c>
    </row>
    <row r="3878" spans="1:15" x14ac:dyDescent="0.25">
      <c r="A3878" s="207" t="str">
        <f>VLOOKUP(RIGHT(E3878,3)+0,SchLocTable!$A$2:$B$47,2,FALSE)</f>
        <v>Blackham</v>
      </c>
      <c r="B3878" s="207" t="str">
        <f>VLOOKUP(VALUE(D3878),$D$3:F$106,3,FALSE)</f>
        <v>Custodians</v>
      </c>
      <c r="C3878" s="751" t="s">
        <v>246</v>
      </c>
      <c r="D3878" s="751" t="s">
        <v>991</v>
      </c>
      <c r="E3878" s="751" t="s">
        <v>1019</v>
      </c>
      <c r="F3878" s="751" t="s">
        <v>915</v>
      </c>
      <c r="G3878" s="752" t="s">
        <v>1681</v>
      </c>
      <c r="H3878" s="753">
        <v>51116</v>
      </c>
      <c r="I3878" s="754">
        <v>0</v>
      </c>
      <c r="J3878" s="754">
        <v>0</v>
      </c>
      <c r="K3878" s="754">
        <v>0</v>
      </c>
      <c r="L3878" s="754">
        <v>0</v>
      </c>
      <c r="M3878" s="754">
        <f t="shared" si="145"/>
        <v>0</v>
      </c>
      <c r="N3878" s="756">
        <v>0</v>
      </c>
      <c r="O3878" s="720">
        <f t="shared" si="146"/>
        <v>0</v>
      </c>
    </row>
    <row r="3879" spans="1:15" x14ac:dyDescent="0.25">
      <c r="A3879" s="207" t="str">
        <f>VLOOKUP(RIGHT(E3879,3)+0,SchLocTable!$A$2:$B$47,2,FALSE)</f>
        <v>Blackham</v>
      </c>
      <c r="B3879" s="207" t="str">
        <f>VLOOKUP(VALUE(D3879),$D$3:F$106,3,FALSE)</f>
        <v>Custodians</v>
      </c>
      <c r="C3879" s="751" t="s">
        <v>246</v>
      </c>
      <c r="D3879" s="751" t="s">
        <v>991</v>
      </c>
      <c r="E3879" s="751" t="s">
        <v>1019</v>
      </c>
      <c r="F3879" s="751" t="s">
        <v>380</v>
      </c>
      <c r="G3879" s="752" t="s">
        <v>1681</v>
      </c>
      <c r="H3879" s="753">
        <v>51122</v>
      </c>
      <c r="I3879" s="754">
        <v>51866.12</v>
      </c>
      <c r="J3879" s="754">
        <v>0</v>
      </c>
      <c r="K3879" s="754">
        <v>0</v>
      </c>
      <c r="L3879" s="754">
        <v>8294.77</v>
      </c>
      <c r="M3879" s="754">
        <f t="shared" si="145"/>
        <v>8294.77</v>
      </c>
      <c r="N3879" s="756">
        <v>51866.12</v>
      </c>
      <c r="O3879" s="720">
        <f t="shared" si="146"/>
        <v>0</v>
      </c>
    </row>
    <row r="3880" spans="1:15" x14ac:dyDescent="0.25">
      <c r="A3880" s="207" t="str">
        <f>VLOOKUP(RIGHT(E3880,3)+0,SchLocTable!$A$2:$B$47,2,FALSE)</f>
        <v>Blackham</v>
      </c>
      <c r="B3880" s="207" t="str">
        <f>VLOOKUP(VALUE(D3880),$D$3:F$106,3,FALSE)</f>
        <v>Custodians</v>
      </c>
      <c r="C3880" s="751" t="s">
        <v>246</v>
      </c>
      <c r="D3880" s="751" t="s">
        <v>991</v>
      </c>
      <c r="E3880" s="751" t="s">
        <v>1019</v>
      </c>
      <c r="F3880" s="751" t="s">
        <v>944</v>
      </c>
      <c r="G3880" s="752" t="s">
        <v>1681</v>
      </c>
      <c r="H3880" s="753">
        <v>51124</v>
      </c>
      <c r="I3880" s="754">
        <v>0</v>
      </c>
      <c r="J3880" s="754">
        <v>0</v>
      </c>
      <c r="K3880" s="754">
        <v>0</v>
      </c>
      <c r="L3880" s="754">
        <v>0</v>
      </c>
      <c r="M3880" s="754">
        <f t="shared" si="145"/>
        <v>0</v>
      </c>
      <c r="N3880" s="756">
        <v>0</v>
      </c>
      <c r="O3880" s="720">
        <f t="shared" si="146"/>
        <v>0</v>
      </c>
    </row>
    <row r="3881" spans="1:15" x14ac:dyDescent="0.25">
      <c r="A3881" s="207" t="str">
        <f>VLOOKUP(RIGHT(E3881,3)+0,SchLocTable!$A$2:$B$47,2,FALSE)</f>
        <v>Blackham</v>
      </c>
      <c r="B3881" s="207" t="str">
        <f>VLOOKUP(VALUE(D3881),$D$3:F$106,3,FALSE)</f>
        <v>Custodians</v>
      </c>
      <c r="C3881" s="751" t="s">
        <v>246</v>
      </c>
      <c r="D3881" s="751" t="s">
        <v>991</v>
      </c>
      <c r="E3881" s="751" t="s">
        <v>1019</v>
      </c>
      <c r="F3881" s="751" t="s">
        <v>993</v>
      </c>
      <c r="G3881" s="752" t="s">
        <v>1681</v>
      </c>
      <c r="H3881" s="753">
        <v>51138</v>
      </c>
      <c r="I3881" s="754">
        <v>8446.31</v>
      </c>
      <c r="J3881" s="754">
        <v>0</v>
      </c>
      <c r="K3881" s="754">
        <v>0</v>
      </c>
      <c r="L3881" s="754">
        <v>1541.12</v>
      </c>
      <c r="M3881" s="754">
        <f t="shared" si="145"/>
        <v>1541.12</v>
      </c>
      <c r="N3881" s="756">
        <v>8446.31</v>
      </c>
      <c r="O3881" s="720">
        <f t="shared" si="146"/>
        <v>0</v>
      </c>
    </row>
    <row r="3882" spans="1:15" x14ac:dyDescent="0.25">
      <c r="A3882" s="207" t="str">
        <f>VLOOKUP(RIGHT(E3882,3)+0,SchLocTable!$A$2:$B$47,2,FALSE)</f>
        <v>Blackham</v>
      </c>
      <c r="B3882" s="207" t="str">
        <f>VLOOKUP(VALUE(D3882),$D$3:F$106,3,FALSE)</f>
        <v>Custodians</v>
      </c>
      <c r="C3882" s="751" t="s">
        <v>246</v>
      </c>
      <c r="D3882" s="751" t="s">
        <v>991</v>
      </c>
      <c r="E3882" s="751" t="s">
        <v>1019</v>
      </c>
      <c r="F3882" s="751" t="s">
        <v>257</v>
      </c>
      <c r="G3882" s="752" t="s">
        <v>1681</v>
      </c>
      <c r="H3882" s="753">
        <v>51140</v>
      </c>
      <c r="I3882" s="754">
        <v>3693.75</v>
      </c>
      <c r="J3882" s="754">
        <v>0</v>
      </c>
      <c r="K3882" s="754">
        <v>0</v>
      </c>
      <c r="L3882" s="754">
        <v>1725</v>
      </c>
      <c r="M3882" s="754">
        <f t="shared" si="145"/>
        <v>1725</v>
      </c>
      <c r="N3882" s="756">
        <v>3693.75</v>
      </c>
      <c r="O3882" s="720">
        <f t="shared" si="146"/>
        <v>0</v>
      </c>
    </row>
    <row r="3883" spans="1:15" x14ac:dyDescent="0.25">
      <c r="A3883" s="207" t="str">
        <f>VLOOKUP(RIGHT(E3883,3)+0,SchLocTable!$A$2:$B$47,2,FALSE)</f>
        <v>Blackham</v>
      </c>
      <c r="B3883" s="207" t="str">
        <f>VLOOKUP(VALUE(D3883),$D$3:F$106,3,FALSE)</f>
        <v>Custodians</v>
      </c>
      <c r="C3883" s="751" t="s">
        <v>246</v>
      </c>
      <c r="D3883" s="751" t="s">
        <v>991</v>
      </c>
      <c r="E3883" s="751" t="s">
        <v>1019</v>
      </c>
      <c r="F3883" s="751" t="s">
        <v>326</v>
      </c>
      <c r="G3883" s="752" t="s">
        <v>1681</v>
      </c>
      <c r="H3883" s="753">
        <v>51314</v>
      </c>
      <c r="I3883" s="754">
        <v>0</v>
      </c>
      <c r="J3883" s="754">
        <v>0</v>
      </c>
      <c r="K3883" s="754">
        <v>0</v>
      </c>
      <c r="L3883" s="754">
        <v>0</v>
      </c>
      <c r="M3883" s="754">
        <f t="shared" si="145"/>
        <v>0</v>
      </c>
      <c r="N3883" s="756">
        <v>0</v>
      </c>
      <c r="O3883" s="720">
        <f t="shared" si="146"/>
        <v>0</v>
      </c>
    </row>
    <row r="3884" spans="1:15" x14ac:dyDescent="0.25">
      <c r="A3884" s="207" t="str">
        <f>VLOOKUP(RIGHT(E3884,3)+0,SchLocTable!$A$2:$B$47,2,FALSE)</f>
        <v>Blackham</v>
      </c>
      <c r="B3884" s="207" t="str">
        <f>VLOOKUP(VALUE(D3884),$D$3:F$106,3,FALSE)</f>
        <v>Custodians</v>
      </c>
      <c r="C3884" s="751" t="s">
        <v>246</v>
      </c>
      <c r="D3884" s="751" t="s">
        <v>991</v>
      </c>
      <c r="E3884" s="751" t="s">
        <v>1019</v>
      </c>
      <c r="F3884" s="751" t="s">
        <v>328</v>
      </c>
      <c r="G3884" s="752" t="s">
        <v>1681</v>
      </c>
      <c r="H3884" s="753">
        <v>51318</v>
      </c>
      <c r="I3884" s="754">
        <v>0</v>
      </c>
      <c r="J3884" s="754">
        <v>0</v>
      </c>
      <c r="K3884" s="754">
        <v>0</v>
      </c>
      <c r="L3884" s="754">
        <v>0</v>
      </c>
      <c r="M3884" s="754">
        <f t="shared" si="145"/>
        <v>0</v>
      </c>
      <c r="N3884" s="756">
        <v>0</v>
      </c>
      <c r="O3884" s="720">
        <f t="shared" si="146"/>
        <v>0</v>
      </c>
    </row>
    <row r="3885" spans="1:15" x14ac:dyDescent="0.25">
      <c r="A3885" s="207" t="str">
        <f>VLOOKUP(RIGHT(E3885,3)+0,SchLocTable!$A$2:$B$47,2,FALSE)</f>
        <v>Blackham</v>
      </c>
      <c r="B3885" s="207" t="str">
        <f>VLOOKUP(VALUE(D3885),$D$3:F$106,3,FALSE)</f>
        <v>Custodians</v>
      </c>
      <c r="C3885" s="751" t="s">
        <v>246</v>
      </c>
      <c r="D3885" s="751" t="s">
        <v>991</v>
      </c>
      <c r="E3885" s="751" t="s">
        <v>1019</v>
      </c>
      <c r="F3885" s="751" t="s">
        <v>254</v>
      </c>
      <c r="G3885" s="752" t="s">
        <v>1681</v>
      </c>
      <c r="H3885" s="753">
        <v>52360</v>
      </c>
      <c r="I3885" s="754">
        <v>5557.59</v>
      </c>
      <c r="J3885" s="754">
        <v>0</v>
      </c>
      <c r="K3885" s="754">
        <v>0</v>
      </c>
      <c r="L3885" s="754">
        <v>1575.44</v>
      </c>
      <c r="M3885" s="754">
        <f t="shared" si="145"/>
        <v>1575.44</v>
      </c>
      <c r="N3885" s="756">
        <v>5557.59</v>
      </c>
      <c r="O3885" s="720">
        <f t="shared" si="146"/>
        <v>0</v>
      </c>
    </row>
    <row r="3886" spans="1:15" x14ac:dyDescent="0.25">
      <c r="A3886" s="207" t="str">
        <f>VLOOKUP(RIGHT(E3886,3)+0,SchLocTable!$A$2:$B$47,2,FALSE)</f>
        <v>Blackham</v>
      </c>
      <c r="B3886" s="207" t="str">
        <f>VLOOKUP(VALUE(D3886),$D$3:F$106,3,FALSE)</f>
        <v>Custodians</v>
      </c>
      <c r="C3886" s="751" t="s">
        <v>246</v>
      </c>
      <c r="D3886" s="751" t="s">
        <v>991</v>
      </c>
      <c r="E3886" s="751" t="s">
        <v>1019</v>
      </c>
      <c r="F3886" s="751" t="s">
        <v>292</v>
      </c>
      <c r="G3886" s="752" t="s">
        <v>1681</v>
      </c>
      <c r="H3886" s="753">
        <v>52385</v>
      </c>
      <c r="I3886" s="754">
        <v>547.87</v>
      </c>
      <c r="J3886" s="754">
        <v>0</v>
      </c>
      <c r="K3886" s="754">
        <v>0</v>
      </c>
      <c r="L3886" s="754">
        <v>547.87</v>
      </c>
      <c r="M3886" s="754">
        <f t="shared" si="145"/>
        <v>547.87</v>
      </c>
      <c r="N3886" s="756">
        <v>547.87</v>
      </c>
      <c r="O3886" s="720">
        <f t="shared" si="146"/>
        <v>0</v>
      </c>
    </row>
    <row r="3887" spans="1:15" x14ac:dyDescent="0.25">
      <c r="A3887" s="207" t="str">
        <f>VLOOKUP(RIGHT(E3887,3)+0,SchLocTable!$A$2:$B$47,2,FALSE)</f>
        <v>Blackham</v>
      </c>
      <c r="B3887" s="207" t="str">
        <f>VLOOKUP(VALUE(D3887),$D$3:F$106,3,FALSE)</f>
        <v>Custodians</v>
      </c>
      <c r="C3887" s="751" t="s">
        <v>246</v>
      </c>
      <c r="D3887" s="751" t="s">
        <v>991</v>
      </c>
      <c r="E3887" s="751" t="s">
        <v>1019</v>
      </c>
      <c r="F3887" s="751" t="s">
        <v>331</v>
      </c>
      <c r="G3887" s="752" t="s">
        <v>1681</v>
      </c>
      <c r="H3887" s="753">
        <v>52504</v>
      </c>
      <c r="I3887" s="754">
        <v>77047.56</v>
      </c>
      <c r="J3887" s="754">
        <v>0</v>
      </c>
      <c r="K3887" s="754">
        <v>0</v>
      </c>
      <c r="L3887" s="754">
        <v>20501.02</v>
      </c>
      <c r="M3887" s="754">
        <f t="shared" si="145"/>
        <v>20501.02</v>
      </c>
      <c r="N3887" s="756">
        <v>77047.56</v>
      </c>
      <c r="O3887" s="720">
        <f t="shared" si="146"/>
        <v>0</v>
      </c>
    </row>
    <row r="3888" spans="1:15" x14ac:dyDescent="0.25">
      <c r="A3888" s="207" t="str">
        <f>VLOOKUP(RIGHT(E3888,3)+0,SchLocTable!$A$2:$B$47,2,FALSE)</f>
        <v>Blackham</v>
      </c>
      <c r="B3888" s="207" t="str">
        <f>VLOOKUP(VALUE(D3888),$D$3:F$106,3,FALSE)</f>
        <v>Custodians</v>
      </c>
      <c r="C3888" s="751" t="s">
        <v>246</v>
      </c>
      <c r="D3888" s="751" t="s">
        <v>991</v>
      </c>
      <c r="E3888" s="751" t="s">
        <v>1019</v>
      </c>
      <c r="F3888" s="751" t="s">
        <v>259</v>
      </c>
      <c r="G3888" s="752" t="s">
        <v>1681</v>
      </c>
      <c r="H3888" s="753">
        <v>52917</v>
      </c>
      <c r="I3888" s="754">
        <v>25466.69</v>
      </c>
      <c r="J3888" s="754">
        <v>0</v>
      </c>
      <c r="K3888" s="754">
        <v>0</v>
      </c>
      <c r="L3888" s="754">
        <v>7717.47</v>
      </c>
      <c r="M3888" s="754">
        <f t="shared" si="145"/>
        <v>7717.47</v>
      </c>
      <c r="N3888" s="756">
        <v>25466.69</v>
      </c>
      <c r="O3888" s="720">
        <f t="shared" si="146"/>
        <v>0</v>
      </c>
    </row>
    <row r="3889" spans="1:15" x14ac:dyDescent="0.25">
      <c r="A3889" s="207" t="str">
        <f>VLOOKUP(RIGHT(E3889,3)+0,SchLocTable!$A$2:$B$47,2,FALSE)</f>
        <v>Blackham</v>
      </c>
      <c r="B3889" s="207" t="str">
        <f>VLOOKUP(VALUE(D3889),$D$3:F$106,3,FALSE)</f>
        <v>Custodians</v>
      </c>
      <c r="C3889" s="751" t="s">
        <v>246</v>
      </c>
      <c r="D3889" s="751" t="s">
        <v>991</v>
      </c>
      <c r="E3889" s="751" t="s">
        <v>1019</v>
      </c>
      <c r="F3889" s="751" t="s">
        <v>333</v>
      </c>
      <c r="G3889" s="752" t="s">
        <v>1681</v>
      </c>
      <c r="H3889" s="753">
        <v>52920</v>
      </c>
      <c r="I3889" s="754">
        <v>4000</v>
      </c>
      <c r="J3889" s="754">
        <v>0</v>
      </c>
      <c r="K3889" s="754">
        <v>0</v>
      </c>
      <c r="L3889" s="754">
        <v>208.35</v>
      </c>
      <c r="M3889" s="754">
        <f t="shared" si="145"/>
        <v>208.35</v>
      </c>
      <c r="N3889" s="756">
        <v>4000</v>
      </c>
      <c r="O3889" s="720">
        <f t="shared" si="146"/>
        <v>0</v>
      </c>
    </row>
    <row r="3890" spans="1:15" x14ac:dyDescent="0.25">
      <c r="A3890" s="207" t="str">
        <f>VLOOKUP(RIGHT(E3890,3)+0,SchLocTable!$A$2:$B$47,2,FALSE)</f>
        <v>Dunbar</v>
      </c>
      <c r="B3890" s="207" t="str">
        <f>VLOOKUP(VALUE(D3890),$D$3:F$106,3,FALSE)</f>
        <v>Custodians</v>
      </c>
      <c r="C3890" s="751" t="s">
        <v>246</v>
      </c>
      <c r="D3890" s="751" t="s">
        <v>991</v>
      </c>
      <c r="E3890" s="751" t="s">
        <v>1020</v>
      </c>
      <c r="F3890" s="751" t="s">
        <v>248</v>
      </c>
      <c r="G3890" s="752">
        <v>4</v>
      </c>
      <c r="H3890" s="753">
        <v>51000</v>
      </c>
      <c r="I3890" s="754">
        <v>214346.82</v>
      </c>
      <c r="J3890" s="754">
        <v>0</v>
      </c>
      <c r="K3890" s="754">
        <v>0</v>
      </c>
      <c r="L3890" s="754">
        <v>67051.92</v>
      </c>
      <c r="M3890" s="754">
        <f t="shared" si="145"/>
        <v>67051.92</v>
      </c>
      <c r="N3890" s="756">
        <v>214346.82</v>
      </c>
      <c r="O3890" s="720">
        <f t="shared" si="146"/>
        <v>0</v>
      </c>
    </row>
    <row r="3891" spans="1:15" x14ac:dyDescent="0.25">
      <c r="A3891" s="207" t="str">
        <f>VLOOKUP(RIGHT(E3891,3)+0,SchLocTable!$A$2:$B$47,2,FALSE)</f>
        <v>Dunbar</v>
      </c>
      <c r="B3891" s="207" t="str">
        <f>VLOOKUP(VALUE(D3891),$D$3:F$106,3,FALSE)</f>
        <v>Custodians</v>
      </c>
      <c r="C3891" s="751" t="s">
        <v>246</v>
      </c>
      <c r="D3891" s="751" t="s">
        <v>991</v>
      </c>
      <c r="E3891" s="751" t="s">
        <v>1020</v>
      </c>
      <c r="F3891" s="751" t="s">
        <v>919</v>
      </c>
      <c r="G3891" s="752" t="s">
        <v>1681</v>
      </c>
      <c r="H3891" s="753">
        <v>51102</v>
      </c>
      <c r="I3891" s="754">
        <v>0</v>
      </c>
      <c r="J3891" s="754">
        <v>0</v>
      </c>
      <c r="K3891" s="754">
        <v>0</v>
      </c>
      <c r="L3891" s="754">
        <v>0</v>
      </c>
      <c r="M3891" s="754">
        <f t="shared" si="145"/>
        <v>0</v>
      </c>
      <c r="N3891" s="756">
        <v>0</v>
      </c>
      <c r="O3891" s="720">
        <f t="shared" si="146"/>
        <v>0</v>
      </c>
    </row>
    <row r="3892" spans="1:15" x14ac:dyDescent="0.25">
      <c r="A3892" s="207" t="str">
        <f>VLOOKUP(RIGHT(E3892,3)+0,SchLocTable!$A$2:$B$47,2,FALSE)</f>
        <v>Dunbar</v>
      </c>
      <c r="B3892" s="207" t="str">
        <f>VLOOKUP(VALUE(D3892),$D$3:F$106,3,FALSE)</f>
        <v>Custodians</v>
      </c>
      <c r="C3892" s="751" t="s">
        <v>246</v>
      </c>
      <c r="D3892" s="751" t="s">
        <v>991</v>
      </c>
      <c r="E3892" s="751" t="s">
        <v>1020</v>
      </c>
      <c r="F3892" s="751" t="s">
        <v>378</v>
      </c>
      <c r="G3892" s="752" t="s">
        <v>1681</v>
      </c>
      <c r="H3892" s="753">
        <v>51108</v>
      </c>
      <c r="I3892" s="754">
        <v>1603.55</v>
      </c>
      <c r="J3892" s="754">
        <v>0</v>
      </c>
      <c r="K3892" s="754">
        <v>0</v>
      </c>
      <c r="L3892" s="754">
        <v>1603.55</v>
      </c>
      <c r="M3892" s="754">
        <f t="shared" si="145"/>
        <v>1603.55</v>
      </c>
      <c r="N3892" s="756">
        <v>1603.55</v>
      </c>
      <c r="O3892" s="720">
        <f t="shared" si="146"/>
        <v>0</v>
      </c>
    </row>
    <row r="3893" spans="1:15" x14ac:dyDescent="0.25">
      <c r="A3893" s="207" t="str">
        <f>VLOOKUP(RIGHT(E3893,3)+0,SchLocTable!$A$2:$B$47,2,FALSE)</f>
        <v>Dunbar</v>
      </c>
      <c r="B3893" s="207" t="str">
        <f>VLOOKUP(VALUE(D3893),$D$3:F$106,3,FALSE)</f>
        <v>Custodians</v>
      </c>
      <c r="C3893" s="751" t="s">
        <v>246</v>
      </c>
      <c r="D3893" s="751" t="s">
        <v>991</v>
      </c>
      <c r="E3893" s="751" t="s">
        <v>1020</v>
      </c>
      <c r="F3893" s="751" t="s">
        <v>380</v>
      </c>
      <c r="G3893" s="752" t="s">
        <v>1681</v>
      </c>
      <c r="H3893" s="753">
        <v>51122</v>
      </c>
      <c r="I3893" s="754">
        <v>9310</v>
      </c>
      <c r="J3893" s="754">
        <v>0</v>
      </c>
      <c r="K3893" s="754">
        <v>0</v>
      </c>
      <c r="L3893" s="754">
        <v>1916.87</v>
      </c>
      <c r="M3893" s="754">
        <f t="shared" si="145"/>
        <v>1916.87</v>
      </c>
      <c r="N3893" s="756">
        <v>9310</v>
      </c>
      <c r="O3893" s="720">
        <f t="shared" si="146"/>
        <v>0</v>
      </c>
    </row>
    <row r="3894" spans="1:15" x14ac:dyDescent="0.25">
      <c r="A3894" s="207" t="str">
        <f>VLOOKUP(RIGHT(E3894,3)+0,SchLocTable!$A$2:$B$47,2,FALSE)</f>
        <v>Dunbar</v>
      </c>
      <c r="B3894" s="207" t="str">
        <f>VLOOKUP(VALUE(D3894),$D$3:F$106,3,FALSE)</f>
        <v>Custodians</v>
      </c>
      <c r="C3894" s="751" t="s">
        <v>246</v>
      </c>
      <c r="D3894" s="751" t="s">
        <v>991</v>
      </c>
      <c r="E3894" s="751" t="s">
        <v>1020</v>
      </c>
      <c r="F3894" s="751" t="s">
        <v>993</v>
      </c>
      <c r="G3894" s="752" t="s">
        <v>1681</v>
      </c>
      <c r="H3894" s="753">
        <v>51138</v>
      </c>
      <c r="I3894" s="754">
        <v>6270.49</v>
      </c>
      <c r="J3894" s="754">
        <v>0</v>
      </c>
      <c r="K3894" s="754">
        <v>0</v>
      </c>
      <c r="L3894" s="754">
        <v>1170.27</v>
      </c>
      <c r="M3894" s="754">
        <f t="shared" si="145"/>
        <v>1170.27</v>
      </c>
      <c r="N3894" s="756">
        <v>6270.49</v>
      </c>
      <c r="O3894" s="720">
        <f t="shared" si="146"/>
        <v>0</v>
      </c>
    </row>
    <row r="3895" spans="1:15" x14ac:dyDescent="0.25">
      <c r="A3895" s="207" t="str">
        <f>VLOOKUP(RIGHT(E3895,3)+0,SchLocTable!$A$2:$B$47,2,FALSE)</f>
        <v>Dunbar</v>
      </c>
      <c r="B3895" s="207" t="str">
        <f>VLOOKUP(VALUE(D3895),$D$3:F$106,3,FALSE)</f>
        <v>Custodians</v>
      </c>
      <c r="C3895" s="751" t="s">
        <v>246</v>
      </c>
      <c r="D3895" s="751" t="s">
        <v>991</v>
      </c>
      <c r="E3895" s="751" t="s">
        <v>1020</v>
      </c>
      <c r="F3895" s="751" t="s">
        <v>257</v>
      </c>
      <c r="G3895" s="752" t="s">
        <v>1681</v>
      </c>
      <c r="H3895" s="753">
        <v>51140</v>
      </c>
      <c r="I3895" s="754">
        <v>1950</v>
      </c>
      <c r="J3895" s="754">
        <v>0</v>
      </c>
      <c r="K3895" s="754">
        <v>0</v>
      </c>
      <c r="L3895" s="754">
        <v>825</v>
      </c>
      <c r="M3895" s="754">
        <f t="shared" si="145"/>
        <v>825</v>
      </c>
      <c r="N3895" s="756">
        <v>1950</v>
      </c>
      <c r="O3895" s="720">
        <f t="shared" si="146"/>
        <v>0</v>
      </c>
    </row>
    <row r="3896" spans="1:15" x14ac:dyDescent="0.25">
      <c r="A3896" s="207" t="str">
        <f>VLOOKUP(RIGHT(E3896,3)+0,SchLocTable!$A$2:$B$47,2,FALSE)</f>
        <v>Dunbar</v>
      </c>
      <c r="B3896" s="207" t="str">
        <f>VLOOKUP(VALUE(D3896),$D$3:F$106,3,FALSE)</f>
        <v>Custodians</v>
      </c>
      <c r="C3896" s="751" t="s">
        <v>246</v>
      </c>
      <c r="D3896" s="751" t="s">
        <v>991</v>
      </c>
      <c r="E3896" s="751" t="s">
        <v>1020</v>
      </c>
      <c r="F3896" s="751" t="s">
        <v>254</v>
      </c>
      <c r="G3896" s="752" t="s">
        <v>1681</v>
      </c>
      <c r="H3896" s="753">
        <v>52360</v>
      </c>
      <c r="I3896" s="754">
        <v>3325.66</v>
      </c>
      <c r="J3896" s="754">
        <v>0</v>
      </c>
      <c r="K3896" s="754">
        <v>0</v>
      </c>
      <c r="L3896" s="754">
        <v>1008.73</v>
      </c>
      <c r="M3896" s="754">
        <f t="shared" si="145"/>
        <v>1008.73</v>
      </c>
      <c r="N3896" s="756">
        <v>3325.66</v>
      </c>
      <c r="O3896" s="720">
        <f t="shared" si="146"/>
        <v>0</v>
      </c>
    </row>
    <row r="3897" spans="1:15" x14ac:dyDescent="0.25">
      <c r="A3897" s="207" t="str">
        <f>VLOOKUP(RIGHT(E3897,3)+0,SchLocTable!$A$2:$B$47,2,FALSE)</f>
        <v>Dunbar</v>
      </c>
      <c r="B3897" s="207" t="str">
        <f>VLOOKUP(VALUE(D3897),$D$3:F$106,3,FALSE)</f>
        <v>Custodians</v>
      </c>
      <c r="C3897" s="751" t="s">
        <v>246</v>
      </c>
      <c r="D3897" s="751" t="s">
        <v>991</v>
      </c>
      <c r="E3897" s="751" t="s">
        <v>1020</v>
      </c>
      <c r="F3897" s="751" t="s">
        <v>292</v>
      </c>
      <c r="G3897" s="752" t="s">
        <v>1681</v>
      </c>
      <c r="H3897" s="753">
        <v>52385</v>
      </c>
      <c r="I3897" s="754">
        <v>202.26</v>
      </c>
      <c r="J3897" s="754">
        <v>0</v>
      </c>
      <c r="K3897" s="754">
        <v>0</v>
      </c>
      <c r="L3897" s="754">
        <v>202.26</v>
      </c>
      <c r="M3897" s="754">
        <f t="shared" si="145"/>
        <v>202.26</v>
      </c>
      <c r="N3897" s="756">
        <v>202.26</v>
      </c>
      <c r="O3897" s="720">
        <f t="shared" si="146"/>
        <v>0</v>
      </c>
    </row>
    <row r="3898" spans="1:15" x14ac:dyDescent="0.25">
      <c r="A3898" s="207" t="str">
        <f>VLOOKUP(RIGHT(E3898,3)+0,SchLocTable!$A$2:$B$47,2,FALSE)</f>
        <v>Dunbar</v>
      </c>
      <c r="B3898" s="207" t="str">
        <f>VLOOKUP(VALUE(D3898),$D$3:F$106,3,FALSE)</f>
        <v>Custodians</v>
      </c>
      <c r="C3898" s="751" t="s">
        <v>246</v>
      </c>
      <c r="D3898" s="751" t="s">
        <v>991</v>
      </c>
      <c r="E3898" s="751" t="s">
        <v>1020</v>
      </c>
      <c r="F3898" s="751" t="s">
        <v>331</v>
      </c>
      <c r="G3898" s="752" t="s">
        <v>1681</v>
      </c>
      <c r="H3898" s="753">
        <v>52504</v>
      </c>
      <c r="I3898" s="754">
        <v>46923.3</v>
      </c>
      <c r="J3898" s="754">
        <v>0</v>
      </c>
      <c r="K3898" s="754">
        <v>0</v>
      </c>
      <c r="L3898" s="754">
        <v>14022.9</v>
      </c>
      <c r="M3898" s="754">
        <f t="shared" si="145"/>
        <v>14022.9</v>
      </c>
      <c r="N3898" s="756">
        <v>46923.3</v>
      </c>
      <c r="O3898" s="720">
        <f t="shared" si="146"/>
        <v>0</v>
      </c>
    </row>
    <row r="3899" spans="1:15" x14ac:dyDescent="0.25">
      <c r="A3899" s="207" t="str">
        <f>VLOOKUP(RIGHT(E3899,3)+0,SchLocTable!$A$2:$B$47,2,FALSE)</f>
        <v>Dunbar</v>
      </c>
      <c r="B3899" s="207" t="str">
        <f>VLOOKUP(VALUE(D3899),$D$3:F$106,3,FALSE)</f>
        <v>Custodians</v>
      </c>
      <c r="C3899" s="751" t="s">
        <v>246</v>
      </c>
      <c r="D3899" s="751" t="s">
        <v>991</v>
      </c>
      <c r="E3899" s="751" t="s">
        <v>1020</v>
      </c>
      <c r="F3899" s="751" t="s">
        <v>259</v>
      </c>
      <c r="G3899" s="752" t="s">
        <v>1681</v>
      </c>
      <c r="H3899" s="753">
        <v>52917</v>
      </c>
      <c r="I3899" s="754">
        <v>32061.24</v>
      </c>
      <c r="J3899" s="754">
        <v>0</v>
      </c>
      <c r="K3899" s="754">
        <v>0</v>
      </c>
      <c r="L3899" s="754">
        <v>8529.43</v>
      </c>
      <c r="M3899" s="754">
        <f t="shared" si="145"/>
        <v>8529.43</v>
      </c>
      <c r="N3899" s="756">
        <v>32061.24</v>
      </c>
      <c r="O3899" s="720">
        <f t="shared" si="146"/>
        <v>0</v>
      </c>
    </row>
    <row r="3900" spans="1:15" x14ac:dyDescent="0.25">
      <c r="A3900" s="207" t="str">
        <f>VLOOKUP(RIGHT(E3900,3)+0,SchLocTable!$A$2:$B$47,2,FALSE)</f>
        <v>Curiale</v>
      </c>
      <c r="B3900" s="207" t="str">
        <f>VLOOKUP(VALUE(D3900),$D$3:F$106,3,FALSE)</f>
        <v>Custodians</v>
      </c>
      <c r="C3900" s="751" t="s">
        <v>246</v>
      </c>
      <c r="D3900" s="751" t="s">
        <v>991</v>
      </c>
      <c r="E3900" s="751" t="s">
        <v>1021</v>
      </c>
      <c r="F3900" s="751" t="s">
        <v>248</v>
      </c>
      <c r="G3900" s="752">
        <v>4</v>
      </c>
      <c r="H3900" s="753">
        <v>51000</v>
      </c>
      <c r="I3900" s="754">
        <v>202288.54</v>
      </c>
      <c r="J3900" s="754">
        <v>0</v>
      </c>
      <c r="K3900" s="754">
        <v>0</v>
      </c>
      <c r="L3900" s="754">
        <v>63466.09</v>
      </c>
      <c r="M3900" s="754">
        <f t="shared" si="145"/>
        <v>63466.09</v>
      </c>
      <c r="N3900" s="756">
        <v>202288.54</v>
      </c>
      <c r="O3900" s="720">
        <f t="shared" si="146"/>
        <v>0</v>
      </c>
    </row>
    <row r="3901" spans="1:15" x14ac:dyDescent="0.25">
      <c r="A3901" s="207" t="str">
        <f>VLOOKUP(RIGHT(E3901,3)+0,SchLocTable!$A$2:$B$47,2,FALSE)</f>
        <v>Curiale</v>
      </c>
      <c r="B3901" s="207" t="str">
        <f>VLOOKUP(VALUE(D3901),$D$3:F$106,3,FALSE)</f>
        <v>Custodians</v>
      </c>
      <c r="C3901" s="751" t="s">
        <v>246</v>
      </c>
      <c r="D3901" s="751" t="s">
        <v>991</v>
      </c>
      <c r="E3901" s="751" t="s">
        <v>1021</v>
      </c>
      <c r="F3901" s="751" t="s">
        <v>919</v>
      </c>
      <c r="G3901" s="752" t="s">
        <v>1681</v>
      </c>
      <c r="H3901" s="753">
        <v>51102</v>
      </c>
      <c r="I3901" s="754">
        <v>0</v>
      </c>
      <c r="J3901" s="754">
        <v>0</v>
      </c>
      <c r="K3901" s="754">
        <v>0</v>
      </c>
      <c r="L3901" s="754">
        <v>0</v>
      </c>
      <c r="M3901" s="754">
        <f t="shared" si="145"/>
        <v>0</v>
      </c>
      <c r="N3901" s="756">
        <v>0</v>
      </c>
      <c r="O3901" s="720">
        <f t="shared" si="146"/>
        <v>0</v>
      </c>
    </row>
    <row r="3902" spans="1:15" x14ac:dyDescent="0.25">
      <c r="A3902" s="207" t="str">
        <f>VLOOKUP(RIGHT(E3902,3)+0,SchLocTable!$A$2:$B$47,2,FALSE)</f>
        <v>Curiale</v>
      </c>
      <c r="B3902" s="207" t="str">
        <f>VLOOKUP(VALUE(D3902),$D$3:F$106,3,FALSE)</f>
        <v>Custodians</v>
      </c>
      <c r="C3902" s="751" t="s">
        <v>246</v>
      </c>
      <c r="D3902" s="751" t="s">
        <v>991</v>
      </c>
      <c r="E3902" s="751" t="s">
        <v>1021</v>
      </c>
      <c r="F3902" s="751" t="s">
        <v>378</v>
      </c>
      <c r="G3902" s="752" t="s">
        <v>1681</v>
      </c>
      <c r="H3902" s="753">
        <v>51108</v>
      </c>
      <c r="I3902" s="754">
        <v>5862.24</v>
      </c>
      <c r="J3902" s="754">
        <v>0</v>
      </c>
      <c r="K3902" s="754">
        <v>0</v>
      </c>
      <c r="L3902" s="754">
        <v>2785.24</v>
      </c>
      <c r="M3902" s="754">
        <f t="shared" si="145"/>
        <v>2785.24</v>
      </c>
      <c r="N3902" s="756">
        <v>5862.24</v>
      </c>
      <c r="O3902" s="720">
        <f t="shared" si="146"/>
        <v>0</v>
      </c>
    </row>
    <row r="3903" spans="1:15" x14ac:dyDescent="0.25">
      <c r="A3903" s="207" t="str">
        <f>VLOOKUP(RIGHT(E3903,3)+0,SchLocTable!$A$2:$B$47,2,FALSE)</f>
        <v>Curiale</v>
      </c>
      <c r="B3903" s="207" t="str">
        <f>VLOOKUP(VALUE(D3903),$D$3:F$106,3,FALSE)</f>
        <v>Custodians</v>
      </c>
      <c r="C3903" s="751" t="s">
        <v>246</v>
      </c>
      <c r="D3903" s="751" t="s">
        <v>991</v>
      </c>
      <c r="E3903" s="751" t="s">
        <v>1021</v>
      </c>
      <c r="F3903" s="751" t="s">
        <v>380</v>
      </c>
      <c r="G3903" s="752" t="s">
        <v>1681</v>
      </c>
      <c r="H3903" s="753">
        <v>51122</v>
      </c>
      <c r="I3903" s="754">
        <v>16301.81</v>
      </c>
      <c r="J3903" s="754">
        <v>0</v>
      </c>
      <c r="K3903" s="754">
        <v>0</v>
      </c>
      <c r="L3903" s="754">
        <v>3358.86</v>
      </c>
      <c r="M3903" s="754">
        <f t="shared" ref="M3903:M3966" si="147">SUM(J3903:L3903)</f>
        <v>3358.86</v>
      </c>
      <c r="N3903" s="756">
        <v>16301.81</v>
      </c>
      <c r="O3903" s="720">
        <f t="shared" ref="O3903:O3966" si="148">I3903-N3903</f>
        <v>0</v>
      </c>
    </row>
    <row r="3904" spans="1:15" x14ac:dyDescent="0.25">
      <c r="A3904" s="207" t="str">
        <f>VLOOKUP(RIGHT(E3904,3)+0,SchLocTable!$A$2:$B$47,2,FALSE)</f>
        <v>Curiale</v>
      </c>
      <c r="B3904" s="207" t="str">
        <f>VLOOKUP(VALUE(D3904),$D$3:F$106,3,FALSE)</f>
        <v>Custodians</v>
      </c>
      <c r="C3904" s="751" t="s">
        <v>246</v>
      </c>
      <c r="D3904" s="751" t="s">
        <v>991</v>
      </c>
      <c r="E3904" s="751" t="s">
        <v>1021</v>
      </c>
      <c r="F3904" s="751" t="s">
        <v>944</v>
      </c>
      <c r="G3904" s="752" t="s">
        <v>1681</v>
      </c>
      <c r="H3904" s="753">
        <v>51124</v>
      </c>
      <c r="I3904" s="754">
        <v>0</v>
      </c>
      <c r="J3904" s="754">
        <v>0</v>
      </c>
      <c r="K3904" s="754">
        <v>0</v>
      </c>
      <c r="L3904" s="754">
        <v>0</v>
      </c>
      <c r="M3904" s="754">
        <f t="shared" si="147"/>
        <v>0</v>
      </c>
      <c r="N3904" s="756">
        <v>0</v>
      </c>
      <c r="O3904" s="720">
        <f t="shared" si="148"/>
        <v>0</v>
      </c>
    </row>
    <row r="3905" spans="1:15" x14ac:dyDescent="0.25">
      <c r="A3905" s="207" t="str">
        <f>VLOOKUP(RIGHT(E3905,3)+0,SchLocTable!$A$2:$B$47,2,FALSE)</f>
        <v>Curiale</v>
      </c>
      <c r="B3905" s="207" t="str">
        <f>VLOOKUP(VALUE(D3905),$D$3:F$106,3,FALSE)</f>
        <v>Custodians</v>
      </c>
      <c r="C3905" s="751" t="s">
        <v>246</v>
      </c>
      <c r="D3905" s="751" t="s">
        <v>991</v>
      </c>
      <c r="E3905" s="751" t="s">
        <v>1021</v>
      </c>
      <c r="F3905" s="751" t="s">
        <v>945</v>
      </c>
      <c r="G3905" s="752" t="s">
        <v>1681</v>
      </c>
      <c r="H3905" s="753">
        <v>51128</v>
      </c>
      <c r="I3905" s="754">
        <v>0</v>
      </c>
      <c r="J3905" s="754">
        <v>0</v>
      </c>
      <c r="K3905" s="754">
        <v>0</v>
      </c>
      <c r="L3905" s="754">
        <v>0</v>
      </c>
      <c r="M3905" s="754">
        <f t="shared" si="147"/>
        <v>0</v>
      </c>
      <c r="N3905" s="756">
        <v>0</v>
      </c>
      <c r="O3905" s="720">
        <f t="shared" si="148"/>
        <v>0</v>
      </c>
    </row>
    <row r="3906" spans="1:15" x14ac:dyDescent="0.25">
      <c r="A3906" s="207" t="str">
        <f>VLOOKUP(RIGHT(E3906,3)+0,SchLocTable!$A$2:$B$47,2,FALSE)</f>
        <v>Curiale</v>
      </c>
      <c r="B3906" s="207" t="str">
        <f>VLOOKUP(VALUE(D3906),$D$3:F$106,3,FALSE)</f>
        <v>Custodians</v>
      </c>
      <c r="C3906" s="751" t="s">
        <v>246</v>
      </c>
      <c r="D3906" s="751" t="s">
        <v>991</v>
      </c>
      <c r="E3906" s="751" t="s">
        <v>1021</v>
      </c>
      <c r="F3906" s="751" t="s">
        <v>993</v>
      </c>
      <c r="G3906" s="752" t="s">
        <v>1681</v>
      </c>
      <c r="H3906" s="753">
        <v>51138</v>
      </c>
      <c r="I3906" s="754">
        <v>5950.81</v>
      </c>
      <c r="J3906" s="754">
        <v>0</v>
      </c>
      <c r="K3906" s="754">
        <v>0</v>
      </c>
      <c r="L3906" s="754">
        <v>1127.1199999999999</v>
      </c>
      <c r="M3906" s="754">
        <f t="shared" si="147"/>
        <v>1127.1199999999999</v>
      </c>
      <c r="N3906" s="756">
        <v>5950.81</v>
      </c>
      <c r="O3906" s="720">
        <f t="shared" si="148"/>
        <v>0</v>
      </c>
    </row>
    <row r="3907" spans="1:15" x14ac:dyDescent="0.25">
      <c r="A3907" s="207" t="str">
        <f>VLOOKUP(RIGHT(E3907,3)+0,SchLocTable!$A$2:$B$47,2,FALSE)</f>
        <v>Curiale</v>
      </c>
      <c r="B3907" s="207" t="str">
        <f>VLOOKUP(VALUE(D3907),$D$3:F$106,3,FALSE)</f>
        <v>Custodians</v>
      </c>
      <c r="C3907" s="751" t="s">
        <v>246</v>
      </c>
      <c r="D3907" s="751" t="s">
        <v>991</v>
      </c>
      <c r="E3907" s="751" t="s">
        <v>1021</v>
      </c>
      <c r="F3907" s="751" t="s">
        <v>257</v>
      </c>
      <c r="G3907" s="752" t="s">
        <v>1681</v>
      </c>
      <c r="H3907" s="753">
        <v>51140</v>
      </c>
      <c r="I3907" s="754">
        <v>2175</v>
      </c>
      <c r="J3907" s="754">
        <v>0</v>
      </c>
      <c r="K3907" s="754">
        <v>0</v>
      </c>
      <c r="L3907" s="754">
        <v>1275</v>
      </c>
      <c r="M3907" s="754">
        <f t="shared" si="147"/>
        <v>1275</v>
      </c>
      <c r="N3907" s="756">
        <v>2175</v>
      </c>
      <c r="O3907" s="720">
        <f t="shared" si="148"/>
        <v>0</v>
      </c>
    </row>
    <row r="3908" spans="1:15" x14ac:dyDescent="0.25">
      <c r="A3908" s="207" t="str">
        <f>VLOOKUP(RIGHT(E3908,3)+0,SchLocTable!$A$2:$B$47,2,FALSE)</f>
        <v>Curiale</v>
      </c>
      <c r="B3908" s="207" t="str">
        <f>VLOOKUP(VALUE(D3908),$D$3:F$106,3,FALSE)</f>
        <v>Custodians</v>
      </c>
      <c r="C3908" s="751" t="s">
        <v>246</v>
      </c>
      <c r="D3908" s="751" t="s">
        <v>991</v>
      </c>
      <c r="E3908" s="751" t="s">
        <v>1021</v>
      </c>
      <c r="F3908" s="751" t="s">
        <v>797</v>
      </c>
      <c r="G3908" s="752" t="s">
        <v>1681</v>
      </c>
      <c r="H3908" s="753">
        <v>51156</v>
      </c>
      <c r="I3908" s="754">
        <v>0</v>
      </c>
      <c r="J3908" s="754">
        <v>0</v>
      </c>
      <c r="K3908" s="754">
        <v>0</v>
      </c>
      <c r="L3908" s="754">
        <v>0</v>
      </c>
      <c r="M3908" s="754">
        <f t="shared" si="147"/>
        <v>0</v>
      </c>
      <c r="N3908" s="756">
        <v>0</v>
      </c>
      <c r="O3908" s="720">
        <f t="shared" si="148"/>
        <v>0</v>
      </c>
    </row>
    <row r="3909" spans="1:15" x14ac:dyDescent="0.25">
      <c r="A3909" s="207" t="str">
        <f>VLOOKUP(RIGHT(E3909,3)+0,SchLocTable!$A$2:$B$47,2,FALSE)</f>
        <v>Curiale</v>
      </c>
      <c r="B3909" s="207" t="str">
        <f>VLOOKUP(VALUE(D3909),$D$3:F$106,3,FALSE)</f>
        <v>Custodians</v>
      </c>
      <c r="C3909" s="751" t="s">
        <v>246</v>
      </c>
      <c r="D3909" s="751" t="s">
        <v>991</v>
      </c>
      <c r="E3909" s="751" t="s">
        <v>1021</v>
      </c>
      <c r="F3909" s="751" t="s">
        <v>254</v>
      </c>
      <c r="G3909" s="752" t="s">
        <v>1681</v>
      </c>
      <c r="H3909" s="753">
        <v>52360</v>
      </c>
      <c r="I3909" s="754">
        <v>3253.39</v>
      </c>
      <c r="J3909" s="754">
        <v>0</v>
      </c>
      <c r="K3909" s="754">
        <v>0</v>
      </c>
      <c r="L3909" s="754">
        <v>938.23</v>
      </c>
      <c r="M3909" s="754">
        <f t="shared" si="147"/>
        <v>938.23</v>
      </c>
      <c r="N3909" s="756">
        <v>3253.39</v>
      </c>
      <c r="O3909" s="720">
        <f t="shared" si="148"/>
        <v>0</v>
      </c>
    </row>
    <row r="3910" spans="1:15" x14ac:dyDescent="0.25">
      <c r="A3910" s="207" t="str">
        <f>VLOOKUP(RIGHT(E3910,3)+0,SchLocTable!$A$2:$B$47,2,FALSE)</f>
        <v>Curiale</v>
      </c>
      <c r="B3910" s="207" t="str">
        <f>VLOOKUP(VALUE(D3910),$D$3:F$106,3,FALSE)</f>
        <v>Custodians</v>
      </c>
      <c r="C3910" s="751" t="s">
        <v>246</v>
      </c>
      <c r="D3910" s="751" t="s">
        <v>991</v>
      </c>
      <c r="E3910" s="751" t="s">
        <v>1021</v>
      </c>
      <c r="F3910" s="751" t="s">
        <v>292</v>
      </c>
      <c r="G3910" s="752" t="s">
        <v>1681</v>
      </c>
      <c r="H3910" s="753">
        <v>52385</v>
      </c>
      <c r="I3910" s="754">
        <v>0</v>
      </c>
      <c r="J3910" s="754">
        <v>0</v>
      </c>
      <c r="K3910" s="754">
        <v>0</v>
      </c>
      <c r="L3910" s="754">
        <v>0</v>
      </c>
      <c r="M3910" s="754">
        <f t="shared" si="147"/>
        <v>0</v>
      </c>
      <c r="N3910" s="756">
        <v>0</v>
      </c>
      <c r="O3910" s="720">
        <f t="shared" si="148"/>
        <v>0</v>
      </c>
    </row>
    <row r="3911" spans="1:15" x14ac:dyDescent="0.25">
      <c r="A3911" s="207" t="str">
        <f>VLOOKUP(RIGHT(E3911,3)+0,SchLocTable!$A$2:$B$47,2,FALSE)</f>
        <v>Curiale</v>
      </c>
      <c r="B3911" s="207" t="str">
        <f>VLOOKUP(VALUE(D3911),$D$3:F$106,3,FALSE)</f>
        <v>Custodians</v>
      </c>
      <c r="C3911" s="751" t="s">
        <v>246</v>
      </c>
      <c r="D3911" s="751" t="s">
        <v>991</v>
      </c>
      <c r="E3911" s="751" t="s">
        <v>1021</v>
      </c>
      <c r="F3911" s="751" t="s">
        <v>331</v>
      </c>
      <c r="G3911" s="752" t="s">
        <v>1681</v>
      </c>
      <c r="H3911" s="753">
        <v>52504</v>
      </c>
      <c r="I3911" s="754">
        <v>47702.57</v>
      </c>
      <c r="J3911" s="754">
        <v>0</v>
      </c>
      <c r="K3911" s="754">
        <v>0</v>
      </c>
      <c r="L3911" s="754">
        <v>14827.32</v>
      </c>
      <c r="M3911" s="754">
        <f t="shared" si="147"/>
        <v>14827.32</v>
      </c>
      <c r="N3911" s="756">
        <v>47702.57</v>
      </c>
      <c r="O3911" s="720">
        <f t="shared" si="148"/>
        <v>0</v>
      </c>
    </row>
    <row r="3912" spans="1:15" x14ac:dyDescent="0.25">
      <c r="A3912" s="207" t="str">
        <f>VLOOKUP(RIGHT(E3912,3)+0,SchLocTable!$A$2:$B$47,2,FALSE)</f>
        <v>Curiale</v>
      </c>
      <c r="B3912" s="207" t="str">
        <f>VLOOKUP(VALUE(D3912),$D$3:F$106,3,FALSE)</f>
        <v>Custodians</v>
      </c>
      <c r="C3912" s="751" t="s">
        <v>246</v>
      </c>
      <c r="D3912" s="751" t="s">
        <v>991</v>
      </c>
      <c r="E3912" s="751" t="s">
        <v>1021</v>
      </c>
      <c r="F3912" s="751" t="s">
        <v>259</v>
      </c>
      <c r="G3912" s="752" t="s">
        <v>1681</v>
      </c>
      <c r="H3912" s="753">
        <v>52917</v>
      </c>
      <c r="I3912" s="754">
        <v>66943.89</v>
      </c>
      <c r="J3912" s="754">
        <v>0</v>
      </c>
      <c r="K3912" s="754">
        <v>0</v>
      </c>
      <c r="L3912" s="754">
        <v>20519.2</v>
      </c>
      <c r="M3912" s="754">
        <f t="shared" si="147"/>
        <v>20519.2</v>
      </c>
      <c r="N3912" s="756">
        <v>66943.89</v>
      </c>
      <c r="O3912" s="720">
        <f t="shared" si="148"/>
        <v>0</v>
      </c>
    </row>
    <row r="3913" spans="1:15" x14ac:dyDescent="0.25">
      <c r="A3913" s="207" t="str">
        <f>VLOOKUP(RIGHT(E3913,3)+0,SchLocTable!$A$2:$B$47,2,FALSE)</f>
        <v>Curiale</v>
      </c>
      <c r="B3913" s="207" t="str">
        <f>VLOOKUP(VALUE(D3913),$D$3:F$106,3,FALSE)</f>
        <v>Custodians</v>
      </c>
      <c r="C3913" s="751" t="s">
        <v>246</v>
      </c>
      <c r="D3913" s="751" t="s">
        <v>991</v>
      </c>
      <c r="E3913" s="751" t="s">
        <v>1021</v>
      </c>
      <c r="F3913" s="751" t="s">
        <v>333</v>
      </c>
      <c r="G3913" s="752" t="s">
        <v>1681</v>
      </c>
      <c r="H3913" s="753">
        <v>52920</v>
      </c>
      <c r="I3913" s="754">
        <v>0</v>
      </c>
      <c r="J3913" s="754">
        <v>0</v>
      </c>
      <c r="K3913" s="754">
        <v>0</v>
      </c>
      <c r="L3913" s="754">
        <v>0</v>
      </c>
      <c r="M3913" s="754">
        <f t="shared" si="147"/>
        <v>0</v>
      </c>
      <c r="N3913" s="756">
        <v>0</v>
      </c>
      <c r="O3913" s="720">
        <f t="shared" si="148"/>
        <v>0</v>
      </c>
    </row>
    <row r="3914" spans="1:15" x14ac:dyDescent="0.25">
      <c r="A3914" s="207" t="str">
        <f>VLOOKUP(RIGHT(E3914,3)+0,SchLocTable!$A$2:$B$47,2,FALSE)</f>
        <v>Skane</v>
      </c>
      <c r="B3914" s="207" t="str">
        <f>VLOOKUP(VALUE(D3914),$D$3:F$106,3,FALSE)</f>
        <v>Custodians</v>
      </c>
      <c r="C3914" s="751" t="s">
        <v>246</v>
      </c>
      <c r="D3914" s="751" t="s">
        <v>991</v>
      </c>
      <c r="E3914" s="751" t="s">
        <v>1022</v>
      </c>
      <c r="F3914" s="751" t="s">
        <v>248</v>
      </c>
      <c r="G3914" s="752">
        <v>1</v>
      </c>
      <c r="H3914" s="753">
        <v>51000</v>
      </c>
      <c r="I3914" s="754">
        <v>47934.36</v>
      </c>
      <c r="J3914" s="754">
        <v>0</v>
      </c>
      <c r="K3914" s="754">
        <v>0</v>
      </c>
      <c r="L3914" s="754">
        <v>14723.03</v>
      </c>
      <c r="M3914" s="754">
        <f t="shared" si="147"/>
        <v>14723.03</v>
      </c>
      <c r="N3914" s="756">
        <v>47934.36</v>
      </c>
      <c r="O3914" s="720">
        <f t="shared" si="148"/>
        <v>0</v>
      </c>
    </row>
    <row r="3915" spans="1:15" x14ac:dyDescent="0.25">
      <c r="A3915" s="207" t="str">
        <f>VLOOKUP(RIGHT(E3915,3)+0,SchLocTable!$A$2:$B$47,2,FALSE)</f>
        <v>Skane</v>
      </c>
      <c r="B3915" s="207" t="str">
        <f>VLOOKUP(VALUE(D3915),$D$3:F$106,3,FALSE)</f>
        <v>Custodians</v>
      </c>
      <c r="C3915" s="751" t="s">
        <v>246</v>
      </c>
      <c r="D3915" s="751" t="s">
        <v>991</v>
      </c>
      <c r="E3915" s="751" t="s">
        <v>1022</v>
      </c>
      <c r="F3915" s="751" t="s">
        <v>919</v>
      </c>
      <c r="G3915" s="752" t="s">
        <v>1681</v>
      </c>
      <c r="H3915" s="753">
        <v>51102</v>
      </c>
      <c r="I3915" s="754">
        <v>0</v>
      </c>
      <c r="J3915" s="754">
        <v>0</v>
      </c>
      <c r="K3915" s="754">
        <v>0</v>
      </c>
      <c r="L3915" s="754">
        <v>0</v>
      </c>
      <c r="M3915" s="754">
        <f t="shared" si="147"/>
        <v>0</v>
      </c>
      <c r="N3915" s="756">
        <v>0</v>
      </c>
      <c r="O3915" s="720">
        <f t="shared" si="148"/>
        <v>0</v>
      </c>
    </row>
    <row r="3916" spans="1:15" x14ac:dyDescent="0.25">
      <c r="A3916" s="207" t="str">
        <f>VLOOKUP(RIGHT(E3916,3)+0,SchLocTable!$A$2:$B$47,2,FALSE)</f>
        <v>Skane</v>
      </c>
      <c r="B3916" s="207" t="str">
        <f>VLOOKUP(VALUE(D3916),$D$3:F$106,3,FALSE)</f>
        <v>Custodians</v>
      </c>
      <c r="C3916" s="751" t="s">
        <v>246</v>
      </c>
      <c r="D3916" s="751" t="s">
        <v>991</v>
      </c>
      <c r="E3916" s="751" t="s">
        <v>1022</v>
      </c>
      <c r="F3916" s="751" t="s">
        <v>378</v>
      </c>
      <c r="G3916" s="752" t="s">
        <v>1681</v>
      </c>
      <c r="H3916" s="753">
        <v>51108</v>
      </c>
      <c r="I3916" s="754">
        <v>206.3</v>
      </c>
      <c r="J3916" s="754">
        <v>0</v>
      </c>
      <c r="K3916" s="754">
        <v>0</v>
      </c>
      <c r="L3916" s="754">
        <v>206.3</v>
      </c>
      <c r="M3916" s="754">
        <f t="shared" si="147"/>
        <v>206.3</v>
      </c>
      <c r="N3916" s="756">
        <v>206.3</v>
      </c>
      <c r="O3916" s="720">
        <f t="shared" si="148"/>
        <v>0</v>
      </c>
    </row>
    <row r="3917" spans="1:15" x14ac:dyDescent="0.25">
      <c r="A3917" s="207" t="str">
        <f>VLOOKUP(RIGHT(E3917,3)+0,SchLocTable!$A$2:$B$47,2,FALSE)</f>
        <v>Skane</v>
      </c>
      <c r="B3917" s="207" t="str">
        <f>VLOOKUP(VALUE(D3917),$D$3:F$106,3,FALSE)</f>
        <v>Custodians</v>
      </c>
      <c r="C3917" s="751" t="s">
        <v>246</v>
      </c>
      <c r="D3917" s="751" t="s">
        <v>991</v>
      </c>
      <c r="E3917" s="751" t="s">
        <v>1022</v>
      </c>
      <c r="F3917" s="751" t="s">
        <v>380</v>
      </c>
      <c r="G3917" s="752" t="s">
        <v>1681</v>
      </c>
      <c r="H3917" s="753">
        <v>51122</v>
      </c>
      <c r="I3917" s="754">
        <v>16460.21</v>
      </c>
      <c r="J3917" s="754">
        <v>0</v>
      </c>
      <c r="K3917" s="754">
        <v>0</v>
      </c>
      <c r="L3917" s="754">
        <v>2727.74</v>
      </c>
      <c r="M3917" s="754">
        <f t="shared" si="147"/>
        <v>2727.74</v>
      </c>
      <c r="N3917" s="756">
        <v>16460.21</v>
      </c>
      <c r="O3917" s="720">
        <f t="shared" si="148"/>
        <v>0</v>
      </c>
    </row>
    <row r="3918" spans="1:15" x14ac:dyDescent="0.25">
      <c r="A3918" s="207" t="str">
        <f>VLOOKUP(RIGHT(E3918,3)+0,SchLocTable!$A$2:$B$47,2,FALSE)</f>
        <v>Skane</v>
      </c>
      <c r="B3918" s="207" t="str">
        <f>VLOOKUP(VALUE(D3918),$D$3:F$106,3,FALSE)</f>
        <v>Custodians</v>
      </c>
      <c r="C3918" s="751" t="s">
        <v>246</v>
      </c>
      <c r="D3918" s="751" t="s">
        <v>991</v>
      </c>
      <c r="E3918" s="751" t="s">
        <v>1022</v>
      </c>
      <c r="F3918" s="751" t="s">
        <v>993</v>
      </c>
      <c r="G3918" s="752" t="s">
        <v>1681</v>
      </c>
      <c r="H3918" s="753">
        <v>51138</v>
      </c>
      <c r="I3918" s="754">
        <v>0</v>
      </c>
      <c r="J3918" s="754">
        <v>0</v>
      </c>
      <c r="K3918" s="754">
        <v>0</v>
      </c>
      <c r="L3918" s="754">
        <v>0</v>
      </c>
      <c r="M3918" s="754">
        <f t="shared" si="147"/>
        <v>0</v>
      </c>
      <c r="N3918" s="756">
        <v>0</v>
      </c>
      <c r="O3918" s="720">
        <f t="shared" si="148"/>
        <v>0</v>
      </c>
    </row>
    <row r="3919" spans="1:15" x14ac:dyDescent="0.25">
      <c r="A3919" s="207" t="str">
        <f>VLOOKUP(RIGHT(E3919,3)+0,SchLocTable!$A$2:$B$47,2,FALSE)</f>
        <v>Skane</v>
      </c>
      <c r="B3919" s="207" t="str">
        <f>VLOOKUP(VALUE(D3919),$D$3:F$106,3,FALSE)</f>
        <v>Custodians</v>
      </c>
      <c r="C3919" s="751" t="s">
        <v>246</v>
      </c>
      <c r="D3919" s="751" t="s">
        <v>991</v>
      </c>
      <c r="E3919" s="751" t="s">
        <v>1022</v>
      </c>
      <c r="F3919" s="751" t="s">
        <v>257</v>
      </c>
      <c r="G3919" s="752" t="s">
        <v>1681</v>
      </c>
      <c r="H3919" s="753">
        <v>51140</v>
      </c>
      <c r="I3919" s="754">
        <v>1725</v>
      </c>
      <c r="J3919" s="754">
        <v>0</v>
      </c>
      <c r="K3919" s="754">
        <v>0</v>
      </c>
      <c r="L3919" s="754">
        <v>0</v>
      </c>
      <c r="M3919" s="754">
        <f t="shared" si="147"/>
        <v>0</v>
      </c>
      <c r="N3919" s="756">
        <v>1725</v>
      </c>
      <c r="O3919" s="720">
        <f t="shared" si="148"/>
        <v>0</v>
      </c>
    </row>
    <row r="3920" spans="1:15" x14ac:dyDescent="0.25">
      <c r="A3920" s="207" t="str">
        <f>VLOOKUP(RIGHT(E3920,3)+0,SchLocTable!$A$2:$B$47,2,FALSE)</f>
        <v>Skane</v>
      </c>
      <c r="B3920" s="207" t="str">
        <f>VLOOKUP(VALUE(D3920),$D$3:F$106,3,FALSE)</f>
        <v>Custodians</v>
      </c>
      <c r="C3920" s="751" t="s">
        <v>246</v>
      </c>
      <c r="D3920" s="751" t="s">
        <v>991</v>
      </c>
      <c r="E3920" s="751" t="s">
        <v>1022</v>
      </c>
      <c r="F3920" s="751" t="s">
        <v>252</v>
      </c>
      <c r="G3920" s="752" t="s">
        <v>1681</v>
      </c>
      <c r="H3920" s="753">
        <v>51154</v>
      </c>
      <c r="I3920" s="754">
        <v>0</v>
      </c>
      <c r="J3920" s="754">
        <v>0</v>
      </c>
      <c r="K3920" s="754">
        <v>0</v>
      </c>
      <c r="L3920" s="754">
        <v>0</v>
      </c>
      <c r="M3920" s="754">
        <f t="shared" si="147"/>
        <v>0</v>
      </c>
      <c r="N3920" s="756">
        <v>0</v>
      </c>
      <c r="O3920" s="720">
        <f t="shared" si="148"/>
        <v>0</v>
      </c>
    </row>
    <row r="3921" spans="1:15" x14ac:dyDescent="0.25">
      <c r="A3921" s="207" t="str">
        <f>VLOOKUP(RIGHT(E3921,3)+0,SchLocTable!$A$2:$B$47,2,FALSE)</f>
        <v>Skane</v>
      </c>
      <c r="B3921" s="207" t="str">
        <f>VLOOKUP(VALUE(D3921),$D$3:F$106,3,FALSE)</f>
        <v>Custodians</v>
      </c>
      <c r="C3921" s="751" t="s">
        <v>246</v>
      </c>
      <c r="D3921" s="751" t="s">
        <v>991</v>
      </c>
      <c r="E3921" s="751" t="s">
        <v>1022</v>
      </c>
      <c r="F3921" s="751" t="s">
        <v>797</v>
      </c>
      <c r="G3921" s="752" t="s">
        <v>1681</v>
      </c>
      <c r="H3921" s="753">
        <v>51156</v>
      </c>
      <c r="I3921" s="754">
        <v>0</v>
      </c>
      <c r="J3921" s="754">
        <v>0</v>
      </c>
      <c r="K3921" s="754">
        <v>0</v>
      </c>
      <c r="L3921" s="754">
        <v>0</v>
      </c>
      <c r="M3921" s="754">
        <f t="shared" si="147"/>
        <v>0</v>
      </c>
      <c r="N3921" s="756">
        <v>0</v>
      </c>
      <c r="O3921" s="720">
        <f t="shared" si="148"/>
        <v>0</v>
      </c>
    </row>
    <row r="3922" spans="1:15" x14ac:dyDescent="0.25">
      <c r="A3922" s="207" t="str">
        <f>VLOOKUP(RIGHT(E3922,3)+0,SchLocTable!$A$2:$B$47,2,FALSE)</f>
        <v>Skane</v>
      </c>
      <c r="B3922" s="207" t="str">
        <f>VLOOKUP(VALUE(D3922),$D$3:F$106,3,FALSE)</f>
        <v>Custodians</v>
      </c>
      <c r="C3922" s="751" t="s">
        <v>246</v>
      </c>
      <c r="D3922" s="751" t="s">
        <v>991</v>
      </c>
      <c r="E3922" s="751" t="s">
        <v>1022</v>
      </c>
      <c r="F3922" s="751" t="s">
        <v>326</v>
      </c>
      <c r="G3922" s="752" t="s">
        <v>1681</v>
      </c>
      <c r="H3922" s="753">
        <v>51314</v>
      </c>
      <c r="I3922" s="754">
        <v>0</v>
      </c>
      <c r="J3922" s="754">
        <v>0</v>
      </c>
      <c r="K3922" s="754">
        <v>0</v>
      </c>
      <c r="L3922" s="754">
        <v>0</v>
      </c>
      <c r="M3922" s="754">
        <f t="shared" si="147"/>
        <v>0</v>
      </c>
      <c r="N3922" s="756">
        <v>0</v>
      </c>
      <c r="O3922" s="720">
        <f t="shared" si="148"/>
        <v>0</v>
      </c>
    </row>
    <row r="3923" spans="1:15" x14ac:dyDescent="0.25">
      <c r="A3923" s="207" t="str">
        <f>VLOOKUP(RIGHT(E3923,3)+0,SchLocTable!$A$2:$B$47,2,FALSE)</f>
        <v>Skane</v>
      </c>
      <c r="B3923" s="207" t="str">
        <f>VLOOKUP(VALUE(D3923),$D$3:F$106,3,FALSE)</f>
        <v>Custodians</v>
      </c>
      <c r="C3923" s="751" t="s">
        <v>246</v>
      </c>
      <c r="D3923" s="751" t="s">
        <v>991</v>
      </c>
      <c r="E3923" s="751" t="s">
        <v>1022</v>
      </c>
      <c r="F3923" s="751" t="s">
        <v>254</v>
      </c>
      <c r="G3923" s="752" t="s">
        <v>1681</v>
      </c>
      <c r="H3923" s="753">
        <v>52360</v>
      </c>
      <c r="I3923" s="754">
        <v>920.2</v>
      </c>
      <c r="J3923" s="754">
        <v>0</v>
      </c>
      <c r="K3923" s="754">
        <v>0</v>
      </c>
      <c r="L3923" s="754">
        <v>239.51</v>
      </c>
      <c r="M3923" s="754">
        <f t="shared" si="147"/>
        <v>239.51</v>
      </c>
      <c r="N3923" s="756">
        <v>920.2</v>
      </c>
      <c r="O3923" s="720">
        <f t="shared" si="148"/>
        <v>0</v>
      </c>
    </row>
    <row r="3924" spans="1:15" x14ac:dyDescent="0.25">
      <c r="A3924" s="207" t="str">
        <f>VLOOKUP(RIGHT(E3924,3)+0,SchLocTable!$A$2:$B$47,2,FALSE)</f>
        <v>Skane</v>
      </c>
      <c r="B3924" s="207" t="str">
        <f>VLOOKUP(VALUE(D3924),$D$3:F$106,3,FALSE)</f>
        <v>Custodians</v>
      </c>
      <c r="C3924" s="751" t="s">
        <v>246</v>
      </c>
      <c r="D3924" s="751" t="s">
        <v>991</v>
      </c>
      <c r="E3924" s="751" t="s">
        <v>1022</v>
      </c>
      <c r="F3924" s="751" t="s">
        <v>331</v>
      </c>
      <c r="G3924" s="752" t="s">
        <v>1681</v>
      </c>
      <c r="H3924" s="753">
        <v>52504</v>
      </c>
      <c r="I3924" s="754">
        <v>13301.32</v>
      </c>
      <c r="J3924" s="754">
        <v>0</v>
      </c>
      <c r="K3924" s="754">
        <v>0</v>
      </c>
      <c r="L3924" s="754">
        <v>3635.59</v>
      </c>
      <c r="M3924" s="754">
        <f t="shared" si="147"/>
        <v>3635.59</v>
      </c>
      <c r="N3924" s="756">
        <v>13301.32</v>
      </c>
      <c r="O3924" s="720">
        <f t="shared" si="148"/>
        <v>0</v>
      </c>
    </row>
    <row r="3925" spans="1:15" x14ac:dyDescent="0.25">
      <c r="A3925" s="207" t="str">
        <f>VLOOKUP(RIGHT(E3925,3)+0,SchLocTable!$A$2:$B$47,2,FALSE)</f>
        <v>Skane</v>
      </c>
      <c r="B3925" s="207" t="str">
        <f>VLOOKUP(VALUE(D3925),$D$3:F$106,3,FALSE)</f>
        <v>Custodians</v>
      </c>
      <c r="C3925" s="751" t="s">
        <v>246</v>
      </c>
      <c r="D3925" s="751" t="s">
        <v>991</v>
      </c>
      <c r="E3925" s="751" t="s">
        <v>1022</v>
      </c>
      <c r="F3925" s="751" t="s">
        <v>259</v>
      </c>
      <c r="G3925" s="752" t="s">
        <v>1681</v>
      </c>
      <c r="H3925" s="753">
        <v>52917</v>
      </c>
      <c r="I3925" s="754">
        <v>11599.36</v>
      </c>
      <c r="J3925" s="754">
        <v>0</v>
      </c>
      <c r="K3925" s="754">
        <v>0</v>
      </c>
      <c r="L3925" s="754">
        <v>3555.36</v>
      </c>
      <c r="M3925" s="754">
        <f t="shared" si="147"/>
        <v>3555.36</v>
      </c>
      <c r="N3925" s="756">
        <v>11599.36</v>
      </c>
      <c r="O3925" s="720">
        <f t="shared" si="148"/>
        <v>0</v>
      </c>
    </row>
    <row r="3926" spans="1:15" x14ac:dyDescent="0.25">
      <c r="A3926" s="207" t="str">
        <f>VLOOKUP(RIGHT(E3926,3)+0,SchLocTable!$A$2:$B$47,2,FALSE)</f>
        <v>High Horizons Magnet</v>
      </c>
      <c r="B3926" s="207" t="str">
        <f>VLOOKUP(VALUE(D3926),$D$3:F$106,3,FALSE)</f>
        <v>Custodians</v>
      </c>
      <c r="C3926" s="751" t="s">
        <v>246</v>
      </c>
      <c r="D3926" s="751" t="s">
        <v>991</v>
      </c>
      <c r="E3926" s="751" t="s">
        <v>1023</v>
      </c>
      <c r="F3926" s="751" t="s">
        <v>248</v>
      </c>
      <c r="G3926" s="752">
        <v>6</v>
      </c>
      <c r="H3926" s="753">
        <v>51000</v>
      </c>
      <c r="I3926" s="754">
        <v>326110.93</v>
      </c>
      <c r="J3926" s="754">
        <v>0</v>
      </c>
      <c r="K3926" s="754">
        <v>0</v>
      </c>
      <c r="L3926" s="754">
        <v>103826.49</v>
      </c>
      <c r="M3926" s="754">
        <f t="shared" si="147"/>
        <v>103826.49</v>
      </c>
      <c r="N3926" s="756">
        <v>326110.93</v>
      </c>
      <c r="O3926" s="720">
        <f t="shared" si="148"/>
        <v>0</v>
      </c>
    </row>
    <row r="3927" spans="1:15" x14ac:dyDescent="0.25">
      <c r="A3927" s="207" t="str">
        <f>VLOOKUP(RIGHT(E3927,3)+0,SchLocTable!$A$2:$B$47,2,FALSE)</f>
        <v>High Horizons Magnet</v>
      </c>
      <c r="B3927" s="207" t="str">
        <f>VLOOKUP(VALUE(D3927),$D$3:F$106,3,FALSE)</f>
        <v>Custodians</v>
      </c>
      <c r="C3927" s="751" t="s">
        <v>246</v>
      </c>
      <c r="D3927" s="751" t="s">
        <v>991</v>
      </c>
      <c r="E3927" s="751" t="s">
        <v>1023</v>
      </c>
      <c r="F3927" s="751" t="s">
        <v>919</v>
      </c>
      <c r="G3927" s="752" t="s">
        <v>1681</v>
      </c>
      <c r="H3927" s="753">
        <v>51102</v>
      </c>
      <c r="I3927" s="754">
        <v>0</v>
      </c>
      <c r="J3927" s="754">
        <v>0</v>
      </c>
      <c r="K3927" s="754">
        <v>0</v>
      </c>
      <c r="L3927" s="754">
        <v>0</v>
      </c>
      <c r="M3927" s="754">
        <f t="shared" si="147"/>
        <v>0</v>
      </c>
      <c r="N3927" s="756">
        <v>0</v>
      </c>
      <c r="O3927" s="720">
        <f t="shared" si="148"/>
        <v>0</v>
      </c>
    </row>
    <row r="3928" spans="1:15" x14ac:dyDescent="0.25">
      <c r="A3928" s="207" t="str">
        <f>VLOOKUP(RIGHT(E3928,3)+0,SchLocTable!$A$2:$B$47,2,FALSE)</f>
        <v>High Horizons Magnet</v>
      </c>
      <c r="B3928" s="207" t="str">
        <f>VLOOKUP(VALUE(D3928),$D$3:F$106,3,FALSE)</f>
        <v>Custodians</v>
      </c>
      <c r="C3928" s="751" t="s">
        <v>246</v>
      </c>
      <c r="D3928" s="751" t="s">
        <v>991</v>
      </c>
      <c r="E3928" s="751" t="s">
        <v>1023</v>
      </c>
      <c r="F3928" s="751" t="s">
        <v>378</v>
      </c>
      <c r="G3928" s="752" t="s">
        <v>1681</v>
      </c>
      <c r="H3928" s="753">
        <v>51108</v>
      </c>
      <c r="I3928" s="754">
        <v>1490.32</v>
      </c>
      <c r="J3928" s="754">
        <v>0</v>
      </c>
      <c r="K3928" s="754">
        <v>0</v>
      </c>
      <c r="L3928" s="754">
        <v>1490.32</v>
      </c>
      <c r="M3928" s="754">
        <f t="shared" si="147"/>
        <v>1490.32</v>
      </c>
      <c r="N3928" s="756">
        <v>1490.32</v>
      </c>
      <c r="O3928" s="720">
        <f t="shared" si="148"/>
        <v>0</v>
      </c>
    </row>
    <row r="3929" spans="1:15" x14ac:dyDescent="0.25">
      <c r="A3929" s="207" t="str">
        <f>VLOOKUP(RIGHT(E3929,3)+0,SchLocTable!$A$2:$B$47,2,FALSE)</f>
        <v>High Horizons Magnet</v>
      </c>
      <c r="B3929" s="207" t="str">
        <f>VLOOKUP(VALUE(D3929),$D$3:F$106,3,FALSE)</f>
        <v>Custodians</v>
      </c>
      <c r="C3929" s="751" t="s">
        <v>246</v>
      </c>
      <c r="D3929" s="751" t="s">
        <v>991</v>
      </c>
      <c r="E3929" s="751" t="s">
        <v>1023</v>
      </c>
      <c r="F3929" s="751" t="s">
        <v>915</v>
      </c>
      <c r="G3929" s="752" t="s">
        <v>1681</v>
      </c>
      <c r="H3929" s="753">
        <v>51116</v>
      </c>
      <c r="I3929" s="754">
        <v>0</v>
      </c>
      <c r="J3929" s="754">
        <v>0</v>
      </c>
      <c r="K3929" s="754">
        <v>0</v>
      </c>
      <c r="L3929" s="754">
        <v>0</v>
      </c>
      <c r="M3929" s="754">
        <f t="shared" si="147"/>
        <v>0</v>
      </c>
      <c r="N3929" s="756">
        <v>0</v>
      </c>
      <c r="O3929" s="720">
        <f t="shared" si="148"/>
        <v>0</v>
      </c>
    </row>
    <row r="3930" spans="1:15" x14ac:dyDescent="0.25">
      <c r="A3930" s="207" t="str">
        <f>VLOOKUP(RIGHT(E3930,3)+0,SchLocTable!$A$2:$B$47,2,FALSE)</f>
        <v>High Horizons Magnet</v>
      </c>
      <c r="B3930" s="207" t="str">
        <f>VLOOKUP(VALUE(D3930),$D$3:F$106,3,FALSE)</f>
        <v>Custodians</v>
      </c>
      <c r="C3930" s="751" t="s">
        <v>246</v>
      </c>
      <c r="D3930" s="751" t="s">
        <v>991</v>
      </c>
      <c r="E3930" s="751" t="s">
        <v>1023</v>
      </c>
      <c r="F3930" s="751" t="s">
        <v>380</v>
      </c>
      <c r="G3930" s="752" t="s">
        <v>1681</v>
      </c>
      <c r="H3930" s="753">
        <v>51122</v>
      </c>
      <c r="I3930" s="754">
        <v>44326.97</v>
      </c>
      <c r="J3930" s="754">
        <v>0</v>
      </c>
      <c r="K3930" s="754">
        <v>0</v>
      </c>
      <c r="L3930" s="754">
        <v>8609.8799999999992</v>
      </c>
      <c r="M3930" s="754">
        <f t="shared" si="147"/>
        <v>8609.8799999999992</v>
      </c>
      <c r="N3930" s="756">
        <v>44326.97</v>
      </c>
      <c r="O3930" s="720">
        <f t="shared" si="148"/>
        <v>0</v>
      </c>
    </row>
    <row r="3931" spans="1:15" x14ac:dyDescent="0.25">
      <c r="A3931" s="207" t="str">
        <f>VLOOKUP(RIGHT(E3931,3)+0,SchLocTable!$A$2:$B$47,2,FALSE)</f>
        <v>High Horizons Magnet</v>
      </c>
      <c r="B3931" s="207" t="str">
        <f>VLOOKUP(VALUE(D3931),$D$3:F$106,3,FALSE)</f>
        <v>Custodians</v>
      </c>
      <c r="C3931" s="751" t="s">
        <v>246</v>
      </c>
      <c r="D3931" s="751" t="s">
        <v>991</v>
      </c>
      <c r="E3931" s="751" t="s">
        <v>1023</v>
      </c>
      <c r="F3931" s="751" t="s">
        <v>944</v>
      </c>
      <c r="G3931" s="752" t="s">
        <v>1681</v>
      </c>
      <c r="H3931" s="753">
        <v>51124</v>
      </c>
      <c r="I3931" s="754">
        <v>0</v>
      </c>
      <c r="J3931" s="754">
        <v>0</v>
      </c>
      <c r="K3931" s="754">
        <v>0</v>
      </c>
      <c r="L3931" s="754">
        <v>0</v>
      </c>
      <c r="M3931" s="754">
        <f t="shared" si="147"/>
        <v>0</v>
      </c>
      <c r="N3931" s="756">
        <v>0</v>
      </c>
      <c r="O3931" s="720">
        <f t="shared" si="148"/>
        <v>0</v>
      </c>
    </row>
    <row r="3932" spans="1:15" x14ac:dyDescent="0.25">
      <c r="A3932" s="207" t="str">
        <f>VLOOKUP(RIGHT(E3932,3)+0,SchLocTable!$A$2:$B$47,2,FALSE)</f>
        <v>High Horizons Magnet</v>
      </c>
      <c r="B3932" s="207" t="str">
        <f>VLOOKUP(VALUE(D3932),$D$3:F$106,3,FALSE)</f>
        <v>Custodians</v>
      </c>
      <c r="C3932" s="751" t="s">
        <v>246</v>
      </c>
      <c r="D3932" s="751" t="s">
        <v>991</v>
      </c>
      <c r="E3932" s="751" t="s">
        <v>1023</v>
      </c>
      <c r="F3932" s="751" t="s">
        <v>993</v>
      </c>
      <c r="G3932" s="752" t="s">
        <v>1681</v>
      </c>
      <c r="H3932" s="753">
        <v>51138</v>
      </c>
      <c r="I3932" s="754">
        <v>3523.25</v>
      </c>
      <c r="J3932" s="754">
        <v>0</v>
      </c>
      <c r="K3932" s="754">
        <v>0</v>
      </c>
      <c r="L3932" s="754">
        <v>713.04</v>
      </c>
      <c r="M3932" s="754">
        <f t="shared" si="147"/>
        <v>713.04</v>
      </c>
      <c r="N3932" s="756">
        <v>3523.25</v>
      </c>
      <c r="O3932" s="720">
        <f t="shared" si="148"/>
        <v>0</v>
      </c>
    </row>
    <row r="3933" spans="1:15" x14ac:dyDescent="0.25">
      <c r="A3933" s="207" t="str">
        <f>VLOOKUP(RIGHT(E3933,3)+0,SchLocTable!$A$2:$B$47,2,FALSE)</f>
        <v>High Horizons Magnet</v>
      </c>
      <c r="B3933" s="207" t="str">
        <f>VLOOKUP(VALUE(D3933),$D$3:F$106,3,FALSE)</f>
        <v>Custodians</v>
      </c>
      <c r="C3933" s="751" t="s">
        <v>246</v>
      </c>
      <c r="D3933" s="751" t="s">
        <v>991</v>
      </c>
      <c r="E3933" s="751" t="s">
        <v>1023</v>
      </c>
      <c r="F3933" s="751" t="s">
        <v>257</v>
      </c>
      <c r="G3933" s="752" t="s">
        <v>1681</v>
      </c>
      <c r="H3933" s="753">
        <v>51140</v>
      </c>
      <c r="I3933" s="754">
        <v>6441.25</v>
      </c>
      <c r="J3933" s="754">
        <v>0</v>
      </c>
      <c r="K3933" s="754">
        <v>0</v>
      </c>
      <c r="L3933" s="754">
        <v>1950</v>
      </c>
      <c r="M3933" s="754">
        <f t="shared" si="147"/>
        <v>1950</v>
      </c>
      <c r="N3933" s="756">
        <v>6441.25</v>
      </c>
      <c r="O3933" s="720">
        <f t="shared" si="148"/>
        <v>0</v>
      </c>
    </row>
    <row r="3934" spans="1:15" x14ac:dyDescent="0.25">
      <c r="A3934" s="207" t="str">
        <f>VLOOKUP(RIGHT(E3934,3)+0,SchLocTable!$A$2:$B$47,2,FALSE)</f>
        <v>High Horizons Magnet</v>
      </c>
      <c r="B3934" s="207" t="str">
        <f>VLOOKUP(VALUE(D3934),$D$3:F$106,3,FALSE)</f>
        <v>Custodians</v>
      </c>
      <c r="C3934" s="751" t="s">
        <v>246</v>
      </c>
      <c r="D3934" s="751" t="s">
        <v>991</v>
      </c>
      <c r="E3934" s="751" t="s">
        <v>1023</v>
      </c>
      <c r="F3934" s="751" t="s">
        <v>797</v>
      </c>
      <c r="G3934" s="752" t="s">
        <v>1681</v>
      </c>
      <c r="H3934" s="753">
        <v>51156</v>
      </c>
      <c r="I3934" s="754">
        <v>0</v>
      </c>
      <c r="J3934" s="754">
        <v>0</v>
      </c>
      <c r="K3934" s="754">
        <v>0</v>
      </c>
      <c r="L3934" s="754">
        <v>0</v>
      </c>
      <c r="M3934" s="754">
        <f t="shared" si="147"/>
        <v>0</v>
      </c>
      <c r="N3934" s="756">
        <v>0</v>
      </c>
      <c r="O3934" s="720">
        <f t="shared" si="148"/>
        <v>0</v>
      </c>
    </row>
    <row r="3935" spans="1:15" x14ac:dyDescent="0.25">
      <c r="A3935" s="207" t="str">
        <f>VLOOKUP(RIGHT(E3935,3)+0,SchLocTable!$A$2:$B$47,2,FALSE)</f>
        <v>High Horizons Magnet</v>
      </c>
      <c r="B3935" s="207" t="str">
        <f>VLOOKUP(VALUE(D3935),$D$3:F$106,3,FALSE)</f>
        <v>Custodians</v>
      </c>
      <c r="C3935" s="751" t="s">
        <v>246</v>
      </c>
      <c r="D3935" s="751" t="s">
        <v>991</v>
      </c>
      <c r="E3935" s="751" t="s">
        <v>1023</v>
      </c>
      <c r="F3935" s="751" t="s">
        <v>254</v>
      </c>
      <c r="G3935" s="752" t="s">
        <v>1681</v>
      </c>
      <c r="H3935" s="753">
        <v>52360</v>
      </c>
      <c r="I3935" s="754">
        <v>5337.52</v>
      </c>
      <c r="J3935" s="754">
        <v>0</v>
      </c>
      <c r="K3935" s="754">
        <v>0</v>
      </c>
      <c r="L3935" s="754">
        <v>1555.75</v>
      </c>
      <c r="M3935" s="754">
        <f t="shared" si="147"/>
        <v>1555.75</v>
      </c>
      <c r="N3935" s="756">
        <v>5337.52</v>
      </c>
      <c r="O3935" s="720">
        <f t="shared" si="148"/>
        <v>0</v>
      </c>
    </row>
    <row r="3936" spans="1:15" x14ac:dyDescent="0.25">
      <c r="A3936" s="207" t="str">
        <f>VLOOKUP(RIGHT(E3936,3)+0,SchLocTable!$A$2:$B$47,2,FALSE)</f>
        <v>High Horizons Magnet</v>
      </c>
      <c r="B3936" s="207" t="str">
        <f>VLOOKUP(VALUE(D3936),$D$3:F$106,3,FALSE)</f>
        <v>Custodians</v>
      </c>
      <c r="C3936" s="751" t="s">
        <v>246</v>
      </c>
      <c r="D3936" s="751" t="s">
        <v>991</v>
      </c>
      <c r="E3936" s="751" t="s">
        <v>1023</v>
      </c>
      <c r="F3936" s="751" t="s">
        <v>292</v>
      </c>
      <c r="G3936" s="752" t="s">
        <v>1681</v>
      </c>
      <c r="H3936" s="753">
        <v>52385</v>
      </c>
      <c r="I3936" s="754">
        <v>2251.67</v>
      </c>
      <c r="J3936" s="754">
        <v>0</v>
      </c>
      <c r="K3936" s="754">
        <v>0</v>
      </c>
      <c r="L3936" s="754">
        <v>699.05</v>
      </c>
      <c r="M3936" s="754">
        <f t="shared" si="147"/>
        <v>699.05</v>
      </c>
      <c r="N3936" s="756">
        <v>2251.67</v>
      </c>
      <c r="O3936" s="720">
        <f t="shared" si="148"/>
        <v>0</v>
      </c>
    </row>
    <row r="3937" spans="1:15" x14ac:dyDescent="0.25">
      <c r="A3937" s="207" t="str">
        <f>VLOOKUP(RIGHT(E3937,3)+0,SchLocTable!$A$2:$B$47,2,FALSE)</f>
        <v>High Horizons Magnet</v>
      </c>
      <c r="B3937" s="207" t="str">
        <f>VLOOKUP(VALUE(D3937),$D$3:F$106,3,FALSE)</f>
        <v>Custodians</v>
      </c>
      <c r="C3937" s="751" t="s">
        <v>246</v>
      </c>
      <c r="D3937" s="751" t="s">
        <v>991</v>
      </c>
      <c r="E3937" s="751" t="s">
        <v>1023</v>
      </c>
      <c r="F3937" s="751" t="s">
        <v>331</v>
      </c>
      <c r="G3937" s="752" t="s">
        <v>1681</v>
      </c>
      <c r="H3937" s="753">
        <v>52504</v>
      </c>
      <c r="I3937" s="754">
        <v>75385.45</v>
      </c>
      <c r="J3937" s="754">
        <v>0</v>
      </c>
      <c r="K3937" s="754">
        <v>0</v>
      </c>
      <c r="L3937" s="754">
        <v>21684.31</v>
      </c>
      <c r="M3937" s="754">
        <f t="shared" si="147"/>
        <v>21684.31</v>
      </c>
      <c r="N3937" s="756">
        <v>75385.45</v>
      </c>
      <c r="O3937" s="720">
        <f t="shared" si="148"/>
        <v>0</v>
      </c>
    </row>
    <row r="3938" spans="1:15" x14ac:dyDescent="0.25">
      <c r="A3938" s="207" t="str">
        <f>VLOOKUP(RIGHT(E3938,3)+0,SchLocTable!$A$2:$B$47,2,FALSE)</f>
        <v>High Horizons Magnet</v>
      </c>
      <c r="B3938" s="207" t="str">
        <f>VLOOKUP(VALUE(D3938),$D$3:F$106,3,FALSE)</f>
        <v>Custodians</v>
      </c>
      <c r="C3938" s="751" t="s">
        <v>246</v>
      </c>
      <c r="D3938" s="751" t="s">
        <v>991</v>
      </c>
      <c r="E3938" s="751" t="s">
        <v>1023</v>
      </c>
      <c r="F3938" s="751" t="s">
        <v>259</v>
      </c>
      <c r="G3938" s="752" t="s">
        <v>1681</v>
      </c>
      <c r="H3938" s="753">
        <v>52917</v>
      </c>
      <c r="I3938" s="754">
        <v>100418.71</v>
      </c>
      <c r="J3938" s="754">
        <v>0</v>
      </c>
      <c r="K3938" s="754">
        <v>0</v>
      </c>
      <c r="L3938" s="754">
        <v>30779.68</v>
      </c>
      <c r="M3938" s="754">
        <f t="shared" si="147"/>
        <v>30779.68</v>
      </c>
      <c r="N3938" s="756">
        <v>100418.71</v>
      </c>
      <c r="O3938" s="720">
        <f t="shared" si="148"/>
        <v>0</v>
      </c>
    </row>
    <row r="3939" spans="1:15" x14ac:dyDescent="0.25">
      <c r="A3939" s="207" t="str">
        <f>VLOOKUP(RIGHT(E3939,3)+0,SchLocTable!$A$2:$B$47,2,FALSE)</f>
        <v>High Horizons Magnet</v>
      </c>
      <c r="B3939" s="207" t="str">
        <f>VLOOKUP(VALUE(D3939),$D$3:F$106,3,FALSE)</f>
        <v>Custodians</v>
      </c>
      <c r="C3939" s="751" t="s">
        <v>246</v>
      </c>
      <c r="D3939" s="751" t="s">
        <v>991</v>
      </c>
      <c r="E3939" s="751" t="s">
        <v>1023</v>
      </c>
      <c r="F3939" s="751" t="s">
        <v>333</v>
      </c>
      <c r="G3939" s="752" t="s">
        <v>1681</v>
      </c>
      <c r="H3939" s="753">
        <v>52920</v>
      </c>
      <c r="I3939" s="754">
        <v>4000</v>
      </c>
      <c r="J3939" s="754">
        <v>0</v>
      </c>
      <c r="K3939" s="754">
        <v>0</v>
      </c>
      <c r="L3939" s="754">
        <v>1000</v>
      </c>
      <c r="M3939" s="754">
        <f t="shared" si="147"/>
        <v>1000</v>
      </c>
      <c r="N3939" s="756">
        <v>4000</v>
      </c>
      <c r="O3939" s="720">
        <f t="shared" si="148"/>
        <v>0</v>
      </c>
    </row>
    <row r="3940" spans="1:15" x14ac:dyDescent="0.25">
      <c r="A3940" s="207" t="str">
        <f>VLOOKUP(RIGHT(E3940,3)+0,SchLocTable!$A$2:$B$47,2,FALSE)</f>
        <v>Bassick HS</v>
      </c>
      <c r="B3940" s="207" t="str">
        <f>VLOOKUP(VALUE(D3940),$D$3:F$106,3,FALSE)</f>
        <v>Custodians</v>
      </c>
      <c r="C3940" s="751" t="s">
        <v>246</v>
      </c>
      <c r="D3940" s="751" t="s">
        <v>991</v>
      </c>
      <c r="E3940" s="751" t="s">
        <v>1024</v>
      </c>
      <c r="F3940" s="751" t="s">
        <v>248</v>
      </c>
      <c r="G3940" s="752">
        <v>8</v>
      </c>
      <c r="H3940" s="753">
        <v>51000</v>
      </c>
      <c r="I3940" s="754">
        <v>401632.61</v>
      </c>
      <c r="J3940" s="754">
        <v>0</v>
      </c>
      <c r="K3940" s="754">
        <v>0</v>
      </c>
      <c r="L3940" s="754">
        <v>124700.32</v>
      </c>
      <c r="M3940" s="754">
        <f t="shared" si="147"/>
        <v>124700.32</v>
      </c>
      <c r="N3940" s="756">
        <v>401632.61</v>
      </c>
      <c r="O3940" s="720">
        <f t="shared" si="148"/>
        <v>0</v>
      </c>
    </row>
    <row r="3941" spans="1:15" x14ac:dyDescent="0.25">
      <c r="A3941" s="207" t="str">
        <f>VLOOKUP(RIGHT(E3941,3)+0,SchLocTable!$A$2:$B$47,2,FALSE)</f>
        <v>Bassick HS</v>
      </c>
      <c r="B3941" s="207" t="str">
        <f>VLOOKUP(VALUE(D3941),$D$3:F$106,3,FALSE)</f>
        <v>Custodians</v>
      </c>
      <c r="C3941" s="751" t="s">
        <v>246</v>
      </c>
      <c r="D3941" s="751" t="s">
        <v>991</v>
      </c>
      <c r="E3941" s="751" t="s">
        <v>1024</v>
      </c>
      <c r="F3941" s="751" t="s">
        <v>919</v>
      </c>
      <c r="G3941" s="752" t="s">
        <v>1681</v>
      </c>
      <c r="H3941" s="753">
        <v>51102</v>
      </c>
      <c r="I3941" s="754">
        <v>0</v>
      </c>
      <c r="J3941" s="754">
        <v>0</v>
      </c>
      <c r="K3941" s="754">
        <v>0</v>
      </c>
      <c r="L3941" s="754">
        <v>0</v>
      </c>
      <c r="M3941" s="754">
        <f t="shared" si="147"/>
        <v>0</v>
      </c>
      <c r="N3941" s="756">
        <v>0</v>
      </c>
      <c r="O3941" s="720">
        <f t="shared" si="148"/>
        <v>0</v>
      </c>
    </row>
    <row r="3942" spans="1:15" x14ac:dyDescent="0.25">
      <c r="A3942" s="207" t="str">
        <f>VLOOKUP(RIGHT(E3942,3)+0,SchLocTable!$A$2:$B$47,2,FALSE)</f>
        <v>Bassick HS</v>
      </c>
      <c r="B3942" s="207" t="str">
        <f>VLOOKUP(VALUE(D3942),$D$3:F$106,3,FALSE)</f>
        <v>Custodians</v>
      </c>
      <c r="C3942" s="751" t="s">
        <v>246</v>
      </c>
      <c r="D3942" s="751" t="s">
        <v>991</v>
      </c>
      <c r="E3942" s="751" t="s">
        <v>1024</v>
      </c>
      <c r="F3942" s="751" t="s">
        <v>378</v>
      </c>
      <c r="G3942" s="752" t="s">
        <v>1681</v>
      </c>
      <c r="H3942" s="753">
        <v>51108</v>
      </c>
      <c r="I3942" s="754">
        <v>2589.91</v>
      </c>
      <c r="J3942" s="754">
        <v>0</v>
      </c>
      <c r="K3942" s="754">
        <v>0</v>
      </c>
      <c r="L3942" s="754">
        <v>1820.66</v>
      </c>
      <c r="M3942" s="754">
        <f t="shared" si="147"/>
        <v>1820.66</v>
      </c>
      <c r="N3942" s="756">
        <v>2589.91</v>
      </c>
      <c r="O3942" s="720">
        <f t="shared" si="148"/>
        <v>0</v>
      </c>
    </row>
    <row r="3943" spans="1:15" x14ac:dyDescent="0.25">
      <c r="A3943" s="207" t="str">
        <f>VLOOKUP(RIGHT(E3943,3)+0,SchLocTable!$A$2:$B$47,2,FALSE)</f>
        <v>Bassick HS</v>
      </c>
      <c r="B3943" s="207" t="str">
        <f>VLOOKUP(VALUE(D3943),$D$3:F$106,3,FALSE)</f>
        <v>Custodians</v>
      </c>
      <c r="C3943" s="751" t="s">
        <v>246</v>
      </c>
      <c r="D3943" s="751" t="s">
        <v>991</v>
      </c>
      <c r="E3943" s="751" t="s">
        <v>1024</v>
      </c>
      <c r="F3943" s="751" t="s">
        <v>915</v>
      </c>
      <c r="G3943" s="752" t="s">
        <v>1681</v>
      </c>
      <c r="H3943" s="753">
        <v>51116</v>
      </c>
      <c r="I3943" s="754">
        <v>0</v>
      </c>
      <c r="J3943" s="754">
        <v>0</v>
      </c>
      <c r="K3943" s="754">
        <v>0</v>
      </c>
      <c r="L3943" s="754">
        <v>0</v>
      </c>
      <c r="M3943" s="754">
        <f t="shared" si="147"/>
        <v>0</v>
      </c>
      <c r="N3943" s="756">
        <v>0</v>
      </c>
      <c r="O3943" s="720">
        <f t="shared" si="148"/>
        <v>0</v>
      </c>
    </row>
    <row r="3944" spans="1:15" x14ac:dyDescent="0.25">
      <c r="A3944" s="207" t="str">
        <f>VLOOKUP(RIGHT(E3944,3)+0,SchLocTable!$A$2:$B$47,2,FALSE)</f>
        <v>Bassick HS</v>
      </c>
      <c r="B3944" s="207" t="str">
        <f>VLOOKUP(VALUE(D3944),$D$3:F$106,3,FALSE)</f>
        <v>Custodians</v>
      </c>
      <c r="C3944" s="751" t="s">
        <v>246</v>
      </c>
      <c r="D3944" s="751" t="s">
        <v>991</v>
      </c>
      <c r="E3944" s="751" t="s">
        <v>1024</v>
      </c>
      <c r="F3944" s="751" t="s">
        <v>380</v>
      </c>
      <c r="G3944" s="752" t="s">
        <v>1681</v>
      </c>
      <c r="H3944" s="753">
        <v>51122</v>
      </c>
      <c r="I3944" s="754">
        <v>51840.09</v>
      </c>
      <c r="J3944" s="754">
        <v>0</v>
      </c>
      <c r="K3944" s="754">
        <v>0</v>
      </c>
      <c r="L3944" s="754">
        <v>11561.64</v>
      </c>
      <c r="M3944" s="754">
        <f t="shared" si="147"/>
        <v>11561.64</v>
      </c>
      <c r="N3944" s="756">
        <v>51840.09</v>
      </c>
      <c r="O3944" s="720">
        <f t="shared" si="148"/>
        <v>0</v>
      </c>
    </row>
    <row r="3945" spans="1:15" x14ac:dyDescent="0.25">
      <c r="A3945" s="207" t="str">
        <f>VLOOKUP(RIGHT(E3945,3)+0,SchLocTable!$A$2:$B$47,2,FALSE)</f>
        <v>Bassick HS</v>
      </c>
      <c r="B3945" s="207" t="str">
        <f>VLOOKUP(VALUE(D3945),$D$3:F$106,3,FALSE)</f>
        <v>Custodians</v>
      </c>
      <c r="C3945" s="751" t="s">
        <v>246</v>
      </c>
      <c r="D3945" s="751" t="s">
        <v>991</v>
      </c>
      <c r="E3945" s="751" t="s">
        <v>1024</v>
      </c>
      <c r="F3945" s="751" t="s">
        <v>993</v>
      </c>
      <c r="G3945" s="752" t="s">
        <v>1681</v>
      </c>
      <c r="H3945" s="753">
        <v>51138</v>
      </c>
      <c r="I3945" s="754">
        <v>9148</v>
      </c>
      <c r="J3945" s="754">
        <v>0</v>
      </c>
      <c r="K3945" s="754">
        <v>0</v>
      </c>
      <c r="L3945" s="754">
        <v>1722.25</v>
      </c>
      <c r="M3945" s="754">
        <f t="shared" si="147"/>
        <v>1722.25</v>
      </c>
      <c r="N3945" s="756">
        <v>9148</v>
      </c>
      <c r="O3945" s="720">
        <f t="shared" si="148"/>
        <v>0</v>
      </c>
    </row>
    <row r="3946" spans="1:15" x14ac:dyDescent="0.25">
      <c r="A3946" s="207" t="str">
        <f>VLOOKUP(RIGHT(E3946,3)+0,SchLocTable!$A$2:$B$47,2,FALSE)</f>
        <v>Bassick HS</v>
      </c>
      <c r="B3946" s="207" t="str">
        <f>VLOOKUP(VALUE(D3946),$D$3:F$106,3,FALSE)</f>
        <v>Custodians</v>
      </c>
      <c r="C3946" s="751" t="s">
        <v>246</v>
      </c>
      <c r="D3946" s="751" t="s">
        <v>991</v>
      </c>
      <c r="E3946" s="751" t="s">
        <v>1024</v>
      </c>
      <c r="F3946" s="751" t="s">
        <v>257</v>
      </c>
      <c r="G3946" s="752" t="s">
        <v>1681</v>
      </c>
      <c r="H3946" s="753">
        <v>51140</v>
      </c>
      <c r="I3946" s="754">
        <v>4725</v>
      </c>
      <c r="J3946" s="754">
        <v>0</v>
      </c>
      <c r="K3946" s="754">
        <v>0</v>
      </c>
      <c r="L3946" s="754">
        <v>3900</v>
      </c>
      <c r="M3946" s="754">
        <f t="shared" si="147"/>
        <v>3900</v>
      </c>
      <c r="N3946" s="756">
        <v>4725</v>
      </c>
      <c r="O3946" s="720">
        <f t="shared" si="148"/>
        <v>0</v>
      </c>
    </row>
    <row r="3947" spans="1:15" x14ac:dyDescent="0.25">
      <c r="A3947" s="207" t="str">
        <f>VLOOKUP(RIGHT(E3947,3)+0,SchLocTable!$A$2:$B$47,2,FALSE)</f>
        <v>Bassick HS</v>
      </c>
      <c r="B3947" s="207" t="str">
        <f>VLOOKUP(VALUE(D3947),$D$3:F$106,3,FALSE)</f>
        <v>Custodians</v>
      </c>
      <c r="C3947" s="751" t="s">
        <v>246</v>
      </c>
      <c r="D3947" s="751" t="s">
        <v>991</v>
      </c>
      <c r="E3947" s="751" t="s">
        <v>1024</v>
      </c>
      <c r="F3947" s="751" t="s">
        <v>254</v>
      </c>
      <c r="G3947" s="752" t="s">
        <v>1681</v>
      </c>
      <c r="H3947" s="753">
        <v>52360</v>
      </c>
      <c r="I3947" s="754">
        <v>6715.72</v>
      </c>
      <c r="J3947" s="754">
        <v>0</v>
      </c>
      <c r="K3947" s="754">
        <v>0</v>
      </c>
      <c r="L3947" s="754">
        <v>1997.34</v>
      </c>
      <c r="M3947" s="754">
        <f t="shared" si="147"/>
        <v>1997.34</v>
      </c>
      <c r="N3947" s="756">
        <v>6715.72</v>
      </c>
      <c r="O3947" s="720">
        <f t="shared" si="148"/>
        <v>0</v>
      </c>
    </row>
    <row r="3948" spans="1:15" x14ac:dyDescent="0.25">
      <c r="A3948" s="207" t="str">
        <f>VLOOKUP(RIGHT(E3948,3)+0,SchLocTable!$A$2:$B$47,2,FALSE)</f>
        <v>Bassick HS</v>
      </c>
      <c r="B3948" s="207" t="str">
        <f>VLOOKUP(VALUE(D3948),$D$3:F$106,3,FALSE)</f>
        <v>Custodians</v>
      </c>
      <c r="C3948" s="751" t="s">
        <v>246</v>
      </c>
      <c r="D3948" s="751" t="s">
        <v>991</v>
      </c>
      <c r="E3948" s="751" t="s">
        <v>1024</v>
      </c>
      <c r="F3948" s="751" t="s">
        <v>292</v>
      </c>
      <c r="G3948" s="752" t="s">
        <v>1681</v>
      </c>
      <c r="H3948" s="753">
        <v>52385</v>
      </c>
      <c r="I3948" s="754">
        <v>0</v>
      </c>
      <c r="J3948" s="754">
        <v>0</v>
      </c>
      <c r="K3948" s="754">
        <v>0</v>
      </c>
      <c r="L3948" s="754">
        <v>0</v>
      </c>
      <c r="M3948" s="754">
        <f t="shared" si="147"/>
        <v>0</v>
      </c>
      <c r="N3948" s="756">
        <v>0</v>
      </c>
      <c r="O3948" s="720">
        <f t="shared" si="148"/>
        <v>0</v>
      </c>
    </row>
    <row r="3949" spans="1:15" x14ac:dyDescent="0.25">
      <c r="A3949" s="207" t="str">
        <f>VLOOKUP(RIGHT(E3949,3)+0,SchLocTable!$A$2:$B$47,2,FALSE)</f>
        <v>Bassick HS</v>
      </c>
      <c r="B3949" s="207" t="str">
        <f>VLOOKUP(VALUE(D3949),$D$3:F$106,3,FALSE)</f>
        <v>Custodians</v>
      </c>
      <c r="C3949" s="751" t="s">
        <v>246</v>
      </c>
      <c r="D3949" s="751" t="s">
        <v>991</v>
      </c>
      <c r="E3949" s="751" t="s">
        <v>1024</v>
      </c>
      <c r="F3949" s="751" t="s">
        <v>331</v>
      </c>
      <c r="G3949" s="752" t="s">
        <v>1681</v>
      </c>
      <c r="H3949" s="753">
        <v>52504</v>
      </c>
      <c r="I3949" s="754">
        <v>96574.6</v>
      </c>
      <c r="J3949" s="754">
        <v>0</v>
      </c>
      <c r="K3949" s="754">
        <v>0</v>
      </c>
      <c r="L3949" s="754">
        <v>29573.56</v>
      </c>
      <c r="M3949" s="754">
        <f t="shared" si="147"/>
        <v>29573.56</v>
      </c>
      <c r="N3949" s="756">
        <v>96574.6</v>
      </c>
      <c r="O3949" s="720">
        <f t="shared" si="148"/>
        <v>0</v>
      </c>
    </row>
    <row r="3950" spans="1:15" x14ac:dyDescent="0.25">
      <c r="A3950" s="207" t="str">
        <f>VLOOKUP(RIGHT(E3950,3)+0,SchLocTable!$A$2:$B$47,2,FALSE)</f>
        <v>Bassick HS</v>
      </c>
      <c r="B3950" s="207" t="str">
        <f>VLOOKUP(VALUE(D3950),$D$3:F$106,3,FALSE)</f>
        <v>Custodians</v>
      </c>
      <c r="C3950" s="751" t="s">
        <v>246</v>
      </c>
      <c r="D3950" s="751" t="s">
        <v>991</v>
      </c>
      <c r="E3950" s="751" t="s">
        <v>1024</v>
      </c>
      <c r="F3950" s="751" t="s">
        <v>259</v>
      </c>
      <c r="G3950" s="752" t="s">
        <v>1681</v>
      </c>
      <c r="H3950" s="753">
        <v>52917</v>
      </c>
      <c r="I3950" s="754">
        <v>67954.460000000006</v>
      </c>
      <c r="J3950" s="754">
        <v>0</v>
      </c>
      <c r="K3950" s="754">
        <v>0</v>
      </c>
      <c r="L3950" s="754">
        <v>19581.490000000002</v>
      </c>
      <c r="M3950" s="754">
        <f t="shared" si="147"/>
        <v>19581.490000000002</v>
      </c>
      <c r="N3950" s="756">
        <v>67954.460000000006</v>
      </c>
      <c r="O3950" s="720">
        <f t="shared" si="148"/>
        <v>0</v>
      </c>
    </row>
    <row r="3951" spans="1:15" x14ac:dyDescent="0.25">
      <c r="A3951" s="207" t="str">
        <f>VLOOKUP(RIGHT(E3951,3)+0,SchLocTable!$A$2:$B$47,2,FALSE)</f>
        <v>Bassick HS</v>
      </c>
      <c r="B3951" s="207" t="str">
        <f>VLOOKUP(VALUE(D3951),$D$3:F$106,3,FALSE)</f>
        <v>Custodians</v>
      </c>
      <c r="C3951" s="751" t="s">
        <v>246</v>
      </c>
      <c r="D3951" s="751" t="s">
        <v>991</v>
      </c>
      <c r="E3951" s="751" t="s">
        <v>1024</v>
      </c>
      <c r="F3951" s="751" t="s">
        <v>333</v>
      </c>
      <c r="G3951" s="752" t="s">
        <v>1681</v>
      </c>
      <c r="H3951" s="753">
        <v>52920</v>
      </c>
      <c r="I3951" s="754">
        <v>2500</v>
      </c>
      <c r="J3951" s="754">
        <v>0</v>
      </c>
      <c r="K3951" s="754">
        <v>0</v>
      </c>
      <c r="L3951" s="754">
        <v>0</v>
      </c>
      <c r="M3951" s="754">
        <f t="shared" si="147"/>
        <v>0</v>
      </c>
      <c r="N3951" s="756">
        <v>2500</v>
      </c>
      <c r="O3951" s="720">
        <f t="shared" si="148"/>
        <v>0</v>
      </c>
    </row>
    <row r="3952" spans="1:15" x14ac:dyDescent="0.25">
      <c r="A3952" s="207" t="str">
        <f>VLOOKUP(RIGHT(E3952,3)+0,SchLocTable!$A$2:$B$47,2,FALSE)</f>
        <v>Central HS</v>
      </c>
      <c r="B3952" s="207" t="str">
        <f>VLOOKUP(VALUE(D3952),$D$3:F$106,3,FALSE)</f>
        <v>Custodians</v>
      </c>
      <c r="C3952" s="751" t="s">
        <v>246</v>
      </c>
      <c r="D3952" s="751" t="s">
        <v>991</v>
      </c>
      <c r="E3952" s="751" t="s">
        <v>1025</v>
      </c>
      <c r="F3952" s="751" t="s">
        <v>248</v>
      </c>
      <c r="G3952" s="752">
        <v>12</v>
      </c>
      <c r="H3952" s="753">
        <v>51000</v>
      </c>
      <c r="I3952" s="754">
        <v>582920.1</v>
      </c>
      <c r="J3952" s="754">
        <v>0</v>
      </c>
      <c r="K3952" s="754">
        <v>0</v>
      </c>
      <c r="L3952" s="754">
        <v>174128.67</v>
      </c>
      <c r="M3952" s="754">
        <f t="shared" si="147"/>
        <v>174128.67</v>
      </c>
      <c r="N3952" s="756">
        <v>582920.1</v>
      </c>
      <c r="O3952" s="720">
        <f t="shared" si="148"/>
        <v>0</v>
      </c>
    </row>
    <row r="3953" spans="1:15" x14ac:dyDescent="0.25">
      <c r="A3953" s="207" t="str">
        <f>VLOOKUP(RIGHT(E3953,3)+0,SchLocTable!$A$2:$B$47,2,FALSE)</f>
        <v>Central HS</v>
      </c>
      <c r="B3953" s="207" t="str">
        <f>VLOOKUP(VALUE(D3953),$D$3:F$106,3,FALSE)</f>
        <v>Custodians</v>
      </c>
      <c r="C3953" s="751" t="s">
        <v>246</v>
      </c>
      <c r="D3953" s="751" t="s">
        <v>991</v>
      </c>
      <c r="E3953" s="751" t="s">
        <v>1025</v>
      </c>
      <c r="F3953" s="751" t="s">
        <v>919</v>
      </c>
      <c r="G3953" s="752" t="s">
        <v>1681</v>
      </c>
      <c r="H3953" s="753">
        <v>51102</v>
      </c>
      <c r="I3953" s="754">
        <v>0</v>
      </c>
      <c r="J3953" s="754">
        <v>0</v>
      </c>
      <c r="K3953" s="754">
        <v>0</v>
      </c>
      <c r="L3953" s="754">
        <v>0</v>
      </c>
      <c r="M3953" s="754">
        <f t="shared" si="147"/>
        <v>0</v>
      </c>
      <c r="N3953" s="756">
        <v>0</v>
      </c>
      <c r="O3953" s="720">
        <f t="shared" si="148"/>
        <v>0</v>
      </c>
    </row>
    <row r="3954" spans="1:15" x14ac:dyDescent="0.25">
      <c r="A3954" s="207" t="str">
        <f>VLOOKUP(RIGHT(E3954,3)+0,SchLocTable!$A$2:$B$47,2,FALSE)</f>
        <v>Central HS</v>
      </c>
      <c r="B3954" s="207" t="str">
        <f>VLOOKUP(VALUE(D3954),$D$3:F$106,3,FALSE)</f>
        <v>Custodians</v>
      </c>
      <c r="C3954" s="751" t="s">
        <v>246</v>
      </c>
      <c r="D3954" s="751" t="s">
        <v>991</v>
      </c>
      <c r="E3954" s="751" t="s">
        <v>1025</v>
      </c>
      <c r="F3954" s="751" t="s">
        <v>378</v>
      </c>
      <c r="G3954" s="752" t="s">
        <v>1681</v>
      </c>
      <c r="H3954" s="753">
        <v>51108</v>
      </c>
      <c r="I3954" s="754">
        <v>20724.62</v>
      </c>
      <c r="J3954" s="754">
        <v>0</v>
      </c>
      <c r="K3954" s="754">
        <v>0</v>
      </c>
      <c r="L3954" s="754">
        <v>4339.78</v>
      </c>
      <c r="M3954" s="754">
        <f t="shared" si="147"/>
        <v>4339.78</v>
      </c>
      <c r="N3954" s="756">
        <v>20724.62</v>
      </c>
      <c r="O3954" s="720">
        <f t="shared" si="148"/>
        <v>0</v>
      </c>
    </row>
    <row r="3955" spans="1:15" x14ac:dyDescent="0.25">
      <c r="A3955" s="207" t="str">
        <f>VLOOKUP(RIGHT(E3955,3)+0,SchLocTable!$A$2:$B$47,2,FALSE)</f>
        <v>Central HS</v>
      </c>
      <c r="B3955" s="207" t="str">
        <f>VLOOKUP(VALUE(D3955),$D$3:F$106,3,FALSE)</f>
        <v>Custodians</v>
      </c>
      <c r="C3955" s="751" t="s">
        <v>246</v>
      </c>
      <c r="D3955" s="751" t="s">
        <v>991</v>
      </c>
      <c r="E3955" s="751" t="s">
        <v>1025</v>
      </c>
      <c r="F3955" s="751" t="s">
        <v>915</v>
      </c>
      <c r="G3955" s="752" t="s">
        <v>1681</v>
      </c>
      <c r="H3955" s="753">
        <v>51116</v>
      </c>
      <c r="I3955" s="754">
        <v>-433.89</v>
      </c>
      <c r="J3955" s="754">
        <v>0</v>
      </c>
      <c r="K3955" s="754">
        <v>0</v>
      </c>
      <c r="L3955" s="754">
        <v>-433.89</v>
      </c>
      <c r="M3955" s="754">
        <f t="shared" si="147"/>
        <v>-433.89</v>
      </c>
      <c r="N3955" s="756">
        <v>-433.89</v>
      </c>
      <c r="O3955" s="720">
        <f t="shared" si="148"/>
        <v>0</v>
      </c>
    </row>
    <row r="3956" spans="1:15" x14ac:dyDescent="0.25">
      <c r="A3956" s="207" t="str">
        <f>VLOOKUP(RIGHT(E3956,3)+0,SchLocTable!$A$2:$B$47,2,FALSE)</f>
        <v>Central HS</v>
      </c>
      <c r="B3956" s="207" t="str">
        <f>VLOOKUP(VALUE(D3956),$D$3:F$106,3,FALSE)</f>
        <v>Custodians</v>
      </c>
      <c r="C3956" s="751" t="s">
        <v>246</v>
      </c>
      <c r="D3956" s="751" t="s">
        <v>991</v>
      </c>
      <c r="E3956" s="751" t="s">
        <v>1025</v>
      </c>
      <c r="F3956" s="751" t="s">
        <v>380</v>
      </c>
      <c r="G3956" s="752" t="s">
        <v>1681</v>
      </c>
      <c r="H3956" s="753">
        <v>51122</v>
      </c>
      <c r="I3956" s="754">
        <v>52586.77</v>
      </c>
      <c r="J3956" s="754">
        <v>0</v>
      </c>
      <c r="K3956" s="754">
        <v>0</v>
      </c>
      <c r="L3956" s="754">
        <v>10614.2</v>
      </c>
      <c r="M3956" s="754">
        <f t="shared" si="147"/>
        <v>10614.2</v>
      </c>
      <c r="N3956" s="756">
        <v>52586.77</v>
      </c>
      <c r="O3956" s="720">
        <f t="shared" si="148"/>
        <v>0</v>
      </c>
    </row>
    <row r="3957" spans="1:15" x14ac:dyDescent="0.25">
      <c r="A3957" s="207" t="str">
        <f>VLOOKUP(RIGHT(E3957,3)+0,SchLocTable!$A$2:$B$47,2,FALSE)</f>
        <v>Central HS</v>
      </c>
      <c r="B3957" s="207" t="str">
        <f>VLOOKUP(VALUE(D3957),$D$3:F$106,3,FALSE)</f>
        <v>Custodians</v>
      </c>
      <c r="C3957" s="751" t="s">
        <v>246</v>
      </c>
      <c r="D3957" s="751" t="s">
        <v>991</v>
      </c>
      <c r="E3957" s="751" t="s">
        <v>1025</v>
      </c>
      <c r="F3957" s="751" t="s">
        <v>944</v>
      </c>
      <c r="G3957" s="752" t="s">
        <v>1681</v>
      </c>
      <c r="H3957" s="753">
        <v>51124</v>
      </c>
      <c r="I3957" s="754">
        <v>0</v>
      </c>
      <c r="J3957" s="754">
        <v>0</v>
      </c>
      <c r="K3957" s="754">
        <v>0</v>
      </c>
      <c r="L3957" s="754">
        <v>0</v>
      </c>
      <c r="M3957" s="754">
        <f t="shared" si="147"/>
        <v>0</v>
      </c>
      <c r="N3957" s="756">
        <v>0</v>
      </c>
      <c r="O3957" s="720">
        <f t="shared" si="148"/>
        <v>0</v>
      </c>
    </row>
    <row r="3958" spans="1:15" x14ac:dyDescent="0.25">
      <c r="A3958" s="207" t="str">
        <f>VLOOKUP(RIGHT(E3958,3)+0,SchLocTable!$A$2:$B$47,2,FALSE)</f>
        <v>Central HS</v>
      </c>
      <c r="B3958" s="207" t="str">
        <f>VLOOKUP(VALUE(D3958),$D$3:F$106,3,FALSE)</f>
        <v>Custodians</v>
      </c>
      <c r="C3958" s="751" t="s">
        <v>246</v>
      </c>
      <c r="D3958" s="751" t="s">
        <v>991</v>
      </c>
      <c r="E3958" s="751" t="s">
        <v>1025</v>
      </c>
      <c r="F3958" s="751" t="s">
        <v>993</v>
      </c>
      <c r="G3958" s="752" t="s">
        <v>1681</v>
      </c>
      <c r="H3958" s="753">
        <v>51138</v>
      </c>
      <c r="I3958" s="754">
        <v>17906.84</v>
      </c>
      <c r="J3958" s="754">
        <v>0</v>
      </c>
      <c r="K3958" s="754">
        <v>0</v>
      </c>
      <c r="L3958" s="754">
        <v>3680.16</v>
      </c>
      <c r="M3958" s="754">
        <f t="shared" si="147"/>
        <v>3680.16</v>
      </c>
      <c r="N3958" s="756">
        <v>17906.84</v>
      </c>
      <c r="O3958" s="720">
        <f t="shared" si="148"/>
        <v>0</v>
      </c>
    </row>
    <row r="3959" spans="1:15" x14ac:dyDescent="0.25">
      <c r="A3959" s="207" t="str">
        <f>VLOOKUP(RIGHT(E3959,3)+0,SchLocTable!$A$2:$B$47,2,FALSE)</f>
        <v>Central HS</v>
      </c>
      <c r="B3959" s="207" t="str">
        <f>VLOOKUP(VALUE(D3959),$D$3:F$106,3,FALSE)</f>
        <v>Custodians</v>
      </c>
      <c r="C3959" s="751" t="s">
        <v>246</v>
      </c>
      <c r="D3959" s="751" t="s">
        <v>991</v>
      </c>
      <c r="E3959" s="751" t="s">
        <v>1025</v>
      </c>
      <c r="F3959" s="751" t="s">
        <v>257</v>
      </c>
      <c r="G3959" s="752" t="s">
        <v>1681</v>
      </c>
      <c r="H3959" s="753">
        <v>51140</v>
      </c>
      <c r="I3959" s="754">
        <v>11075</v>
      </c>
      <c r="J3959" s="754">
        <v>0</v>
      </c>
      <c r="K3959" s="754">
        <v>0</v>
      </c>
      <c r="L3959" s="754">
        <v>7500</v>
      </c>
      <c r="M3959" s="754">
        <f t="shared" si="147"/>
        <v>7500</v>
      </c>
      <c r="N3959" s="756">
        <v>11075</v>
      </c>
      <c r="O3959" s="720">
        <f t="shared" si="148"/>
        <v>0</v>
      </c>
    </row>
    <row r="3960" spans="1:15" x14ac:dyDescent="0.25">
      <c r="A3960" s="207" t="str">
        <f>VLOOKUP(RIGHT(E3960,3)+0,SchLocTable!$A$2:$B$47,2,FALSE)</f>
        <v>Central HS</v>
      </c>
      <c r="B3960" s="207" t="str">
        <f>VLOOKUP(VALUE(D3960),$D$3:F$106,3,FALSE)</f>
        <v>Custodians</v>
      </c>
      <c r="C3960" s="751" t="s">
        <v>246</v>
      </c>
      <c r="D3960" s="751" t="s">
        <v>991</v>
      </c>
      <c r="E3960" s="751" t="s">
        <v>1025</v>
      </c>
      <c r="F3960" s="751" t="s">
        <v>797</v>
      </c>
      <c r="G3960" s="752" t="s">
        <v>1681</v>
      </c>
      <c r="H3960" s="753">
        <v>51156</v>
      </c>
      <c r="I3960" s="754">
        <v>0</v>
      </c>
      <c r="J3960" s="754">
        <v>0</v>
      </c>
      <c r="K3960" s="754">
        <v>0</v>
      </c>
      <c r="L3960" s="754">
        <v>0</v>
      </c>
      <c r="M3960" s="754">
        <f t="shared" si="147"/>
        <v>0</v>
      </c>
      <c r="N3960" s="756">
        <v>0</v>
      </c>
      <c r="O3960" s="720">
        <f t="shared" si="148"/>
        <v>0</v>
      </c>
    </row>
    <row r="3961" spans="1:15" x14ac:dyDescent="0.25">
      <c r="A3961" s="207" t="str">
        <f>VLOOKUP(RIGHT(E3961,3)+0,SchLocTable!$A$2:$B$47,2,FALSE)</f>
        <v>Central HS</v>
      </c>
      <c r="B3961" s="207" t="str">
        <f>VLOOKUP(VALUE(D3961),$D$3:F$106,3,FALSE)</f>
        <v>Custodians</v>
      </c>
      <c r="C3961" s="751" t="s">
        <v>246</v>
      </c>
      <c r="D3961" s="751" t="s">
        <v>991</v>
      </c>
      <c r="E3961" s="751" t="s">
        <v>1025</v>
      </c>
      <c r="F3961" s="751" t="s">
        <v>254</v>
      </c>
      <c r="G3961" s="752" t="s">
        <v>1681</v>
      </c>
      <c r="H3961" s="753">
        <v>52360</v>
      </c>
      <c r="I3961" s="754">
        <v>9522.7900000000009</v>
      </c>
      <c r="J3961" s="754">
        <v>0</v>
      </c>
      <c r="K3961" s="754">
        <v>0</v>
      </c>
      <c r="L3961" s="754">
        <v>2542.84</v>
      </c>
      <c r="M3961" s="754">
        <f t="shared" si="147"/>
        <v>2542.84</v>
      </c>
      <c r="N3961" s="756">
        <v>9522.7900000000009</v>
      </c>
      <c r="O3961" s="720">
        <f t="shared" si="148"/>
        <v>0</v>
      </c>
    </row>
    <row r="3962" spans="1:15" x14ac:dyDescent="0.25">
      <c r="A3962" s="207" t="str">
        <f>VLOOKUP(RIGHT(E3962,3)+0,SchLocTable!$A$2:$B$47,2,FALSE)</f>
        <v>Central HS</v>
      </c>
      <c r="B3962" s="207" t="str">
        <f>VLOOKUP(VALUE(D3962),$D$3:F$106,3,FALSE)</f>
        <v>Custodians</v>
      </c>
      <c r="C3962" s="751" t="s">
        <v>246</v>
      </c>
      <c r="D3962" s="751" t="s">
        <v>991</v>
      </c>
      <c r="E3962" s="751" t="s">
        <v>1025</v>
      </c>
      <c r="F3962" s="751" t="s">
        <v>292</v>
      </c>
      <c r="G3962" s="752" t="s">
        <v>1681</v>
      </c>
      <c r="H3962" s="753">
        <v>52385</v>
      </c>
      <c r="I3962" s="754">
        <v>13.72</v>
      </c>
      <c r="J3962" s="754">
        <v>0</v>
      </c>
      <c r="K3962" s="754">
        <v>0</v>
      </c>
      <c r="L3962" s="754">
        <v>13.72</v>
      </c>
      <c r="M3962" s="754">
        <f t="shared" si="147"/>
        <v>13.72</v>
      </c>
      <c r="N3962" s="756">
        <v>13.72</v>
      </c>
      <c r="O3962" s="720">
        <f t="shared" si="148"/>
        <v>0</v>
      </c>
    </row>
    <row r="3963" spans="1:15" x14ac:dyDescent="0.25">
      <c r="A3963" s="207" t="str">
        <f>VLOOKUP(RIGHT(E3963,3)+0,SchLocTable!$A$2:$B$47,2,FALSE)</f>
        <v>Central HS</v>
      </c>
      <c r="B3963" s="207" t="str">
        <f>VLOOKUP(VALUE(D3963),$D$3:F$106,3,FALSE)</f>
        <v>Custodians</v>
      </c>
      <c r="C3963" s="751" t="s">
        <v>246</v>
      </c>
      <c r="D3963" s="751" t="s">
        <v>991</v>
      </c>
      <c r="E3963" s="751" t="s">
        <v>1025</v>
      </c>
      <c r="F3963" s="751" t="s">
        <v>331</v>
      </c>
      <c r="G3963" s="752" t="s">
        <v>1681</v>
      </c>
      <c r="H3963" s="753">
        <v>52504</v>
      </c>
      <c r="I3963" s="754">
        <v>140214.25</v>
      </c>
      <c r="J3963" s="754">
        <v>0</v>
      </c>
      <c r="K3963" s="754">
        <v>0</v>
      </c>
      <c r="L3963" s="754">
        <v>41099.03</v>
      </c>
      <c r="M3963" s="754">
        <f t="shared" si="147"/>
        <v>41099.03</v>
      </c>
      <c r="N3963" s="756">
        <v>140214.25</v>
      </c>
      <c r="O3963" s="720">
        <f t="shared" si="148"/>
        <v>0</v>
      </c>
    </row>
    <row r="3964" spans="1:15" x14ac:dyDescent="0.25">
      <c r="A3964" s="207" t="str">
        <f>VLOOKUP(RIGHT(E3964,3)+0,SchLocTable!$A$2:$B$47,2,FALSE)</f>
        <v>Central HS</v>
      </c>
      <c r="B3964" s="207" t="str">
        <f>VLOOKUP(VALUE(D3964),$D$3:F$106,3,FALSE)</f>
        <v>Custodians</v>
      </c>
      <c r="C3964" s="751" t="s">
        <v>246</v>
      </c>
      <c r="D3964" s="751" t="s">
        <v>991</v>
      </c>
      <c r="E3964" s="751" t="s">
        <v>1025</v>
      </c>
      <c r="F3964" s="751" t="s">
        <v>259</v>
      </c>
      <c r="G3964" s="752" t="s">
        <v>1681</v>
      </c>
      <c r="H3964" s="753">
        <v>52917</v>
      </c>
      <c r="I3964" s="754">
        <v>143721.03</v>
      </c>
      <c r="J3964" s="754">
        <v>0</v>
      </c>
      <c r="K3964" s="754">
        <v>0</v>
      </c>
      <c r="L3964" s="754">
        <v>43693.91</v>
      </c>
      <c r="M3964" s="754">
        <f t="shared" si="147"/>
        <v>43693.91</v>
      </c>
      <c r="N3964" s="756">
        <v>143721.03</v>
      </c>
      <c r="O3964" s="720">
        <f t="shared" si="148"/>
        <v>0</v>
      </c>
    </row>
    <row r="3965" spans="1:15" x14ac:dyDescent="0.25">
      <c r="A3965" s="207" t="str">
        <f>VLOOKUP(RIGHT(E3965,3)+0,SchLocTable!$A$2:$B$47,2,FALSE)</f>
        <v>Central HS</v>
      </c>
      <c r="B3965" s="207" t="str">
        <f>VLOOKUP(VALUE(D3965),$D$3:F$106,3,FALSE)</f>
        <v>Custodians</v>
      </c>
      <c r="C3965" s="751" t="s">
        <v>246</v>
      </c>
      <c r="D3965" s="751" t="s">
        <v>991</v>
      </c>
      <c r="E3965" s="751" t="s">
        <v>1025</v>
      </c>
      <c r="F3965" s="751" t="s">
        <v>333</v>
      </c>
      <c r="G3965" s="752" t="s">
        <v>1681</v>
      </c>
      <c r="H3965" s="753">
        <v>52920</v>
      </c>
      <c r="I3965" s="754">
        <v>5683.35</v>
      </c>
      <c r="J3965" s="754">
        <v>0</v>
      </c>
      <c r="K3965" s="754">
        <v>0</v>
      </c>
      <c r="L3965" s="754">
        <v>2250</v>
      </c>
      <c r="M3965" s="754">
        <f t="shared" si="147"/>
        <v>2250</v>
      </c>
      <c r="N3965" s="756">
        <v>5683.35</v>
      </c>
      <c r="O3965" s="720">
        <f t="shared" si="148"/>
        <v>0</v>
      </c>
    </row>
    <row r="3966" spans="1:15" x14ac:dyDescent="0.25">
      <c r="A3966" s="207" t="str">
        <f>VLOOKUP(RIGHT(E3966,3)+0,SchLocTable!$A$2:$B$47,2,FALSE)</f>
        <v>Harding HS</v>
      </c>
      <c r="B3966" s="207" t="str">
        <f>VLOOKUP(VALUE(D3966),$D$3:F$106,3,FALSE)</f>
        <v>Custodians</v>
      </c>
      <c r="C3966" s="751" t="s">
        <v>246</v>
      </c>
      <c r="D3966" s="751" t="s">
        <v>991</v>
      </c>
      <c r="E3966" s="751" t="s">
        <v>1026</v>
      </c>
      <c r="F3966" s="751" t="s">
        <v>248</v>
      </c>
      <c r="G3966" s="752">
        <v>6</v>
      </c>
      <c r="H3966" s="753">
        <v>51000</v>
      </c>
      <c r="I3966" s="754">
        <v>284035.95</v>
      </c>
      <c r="J3966" s="754">
        <v>0</v>
      </c>
      <c r="K3966" s="754">
        <v>0</v>
      </c>
      <c r="L3966" s="754">
        <v>96723.85</v>
      </c>
      <c r="M3966" s="754">
        <f t="shared" si="147"/>
        <v>96723.85</v>
      </c>
      <c r="N3966" s="756">
        <v>284035.95</v>
      </c>
      <c r="O3966" s="720">
        <f t="shared" si="148"/>
        <v>0</v>
      </c>
    </row>
    <row r="3967" spans="1:15" x14ac:dyDescent="0.25">
      <c r="A3967" s="207" t="str">
        <f>VLOOKUP(RIGHT(E3967,3)+0,SchLocTable!$A$2:$B$47,2,FALSE)</f>
        <v>Harding HS</v>
      </c>
      <c r="B3967" s="207" t="str">
        <f>VLOOKUP(VALUE(D3967),$D$3:F$106,3,FALSE)</f>
        <v>Custodians</v>
      </c>
      <c r="C3967" s="751" t="s">
        <v>246</v>
      </c>
      <c r="D3967" s="751" t="s">
        <v>991</v>
      </c>
      <c r="E3967" s="751" t="s">
        <v>1026</v>
      </c>
      <c r="F3967" s="751" t="s">
        <v>919</v>
      </c>
      <c r="G3967" s="752" t="s">
        <v>1681</v>
      </c>
      <c r="H3967" s="753">
        <v>51102</v>
      </c>
      <c r="I3967" s="754">
        <v>0</v>
      </c>
      <c r="J3967" s="754">
        <v>0</v>
      </c>
      <c r="K3967" s="754">
        <v>0</v>
      </c>
      <c r="L3967" s="754">
        <v>0</v>
      </c>
      <c r="M3967" s="754">
        <f t="shared" ref="M3967:M4030" si="149">SUM(J3967:L3967)</f>
        <v>0</v>
      </c>
      <c r="N3967" s="756">
        <v>0</v>
      </c>
      <c r="O3967" s="720">
        <f t="shared" ref="O3967:O3999" si="150">I3967-N3967</f>
        <v>0</v>
      </c>
    </row>
    <row r="3968" spans="1:15" x14ac:dyDescent="0.25">
      <c r="A3968" s="207" t="str">
        <f>VLOOKUP(RIGHT(E3968,3)+0,SchLocTable!$A$2:$B$47,2,FALSE)</f>
        <v>Harding HS</v>
      </c>
      <c r="B3968" s="207" t="str">
        <f>VLOOKUP(VALUE(D3968),$D$3:F$106,3,FALSE)</f>
        <v>Custodians</v>
      </c>
      <c r="C3968" s="751" t="s">
        <v>246</v>
      </c>
      <c r="D3968" s="751" t="s">
        <v>991</v>
      </c>
      <c r="E3968" s="751" t="s">
        <v>1026</v>
      </c>
      <c r="F3968" s="751" t="s">
        <v>378</v>
      </c>
      <c r="G3968" s="752" t="s">
        <v>1681</v>
      </c>
      <c r="H3968" s="753">
        <v>51108</v>
      </c>
      <c r="I3968" s="754">
        <v>21473.14</v>
      </c>
      <c r="J3968" s="754">
        <v>0</v>
      </c>
      <c r="K3968" s="754">
        <v>0</v>
      </c>
      <c r="L3968" s="754">
        <v>5318.77</v>
      </c>
      <c r="M3968" s="754">
        <f t="shared" si="149"/>
        <v>5318.77</v>
      </c>
      <c r="N3968" s="756">
        <v>21473.14</v>
      </c>
      <c r="O3968" s="720">
        <f t="shared" si="150"/>
        <v>0</v>
      </c>
    </row>
    <row r="3969" spans="1:15" x14ac:dyDescent="0.25">
      <c r="A3969" s="207" t="str">
        <f>VLOOKUP(RIGHT(E3969,3)+0,SchLocTable!$A$2:$B$47,2,FALSE)</f>
        <v>Harding HS</v>
      </c>
      <c r="B3969" s="207" t="str">
        <f>VLOOKUP(VALUE(D3969),$D$3:F$106,3,FALSE)</f>
        <v>Custodians</v>
      </c>
      <c r="C3969" s="751" t="s">
        <v>246</v>
      </c>
      <c r="D3969" s="751" t="s">
        <v>991</v>
      </c>
      <c r="E3969" s="751" t="s">
        <v>1026</v>
      </c>
      <c r="F3969" s="751" t="s">
        <v>915</v>
      </c>
      <c r="G3969" s="752" t="s">
        <v>1681</v>
      </c>
      <c r="H3969" s="753">
        <v>51116</v>
      </c>
      <c r="I3969" s="754">
        <v>0</v>
      </c>
      <c r="J3969" s="754">
        <v>0</v>
      </c>
      <c r="K3969" s="754">
        <v>0</v>
      </c>
      <c r="L3969" s="754">
        <v>0</v>
      </c>
      <c r="M3969" s="754">
        <f t="shared" si="149"/>
        <v>0</v>
      </c>
      <c r="N3969" s="756">
        <v>0</v>
      </c>
      <c r="O3969" s="720">
        <f t="shared" si="150"/>
        <v>0</v>
      </c>
    </row>
    <row r="3970" spans="1:15" x14ac:dyDescent="0.25">
      <c r="A3970" s="207" t="str">
        <f>VLOOKUP(RIGHT(E3970,3)+0,SchLocTable!$A$2:$B$47,2,FALSE)</f>
        <v>Harding HS</v>
      </c>
      <c r="B3970" s="207" t="str">
        <f>VLOOKUP(VALUE(D3970),$D$3:F$106,3,FALSE)</f>
        <v>Custodians</v>
      </c>
      <c r="C3970" s="751" t="s">
        <v>246</v>
      </c>
      <c r="D3970" s="751" t="s">
        <v>991</v>
      </c>
      <c r="E3970" s="751" t="s">
        <v>1026</v>
      </c>
      <c r="F3970" s="751" t="s">
        <v>380</v>
      </c>
      <c r="G3970" s="752" t="s">
        <v>1681</v>
      </c>
      <c r="H3970" s="753">
        <v>51122</v>
      </c>
      <c r="I3970" s="754">
        <v>41777.94</v>
      </c>
      <c r="J3970" s="754">
        <v>0</v>
      </c>
      <c r="K3970" s="754">
        <v>0</v>
      </c>
      <c r="L3970" s="754">
        <v>6426.41</v>
      </c>
      <c r="M3970" s="754">
        <f t="shared" si="149"/>
        <v>6426.41</v>
      </c>
      <c r="N3970" s="756">
        <v>41777.94</v>
      </c>
      <c r="O3970" s="720">
        <f t="shared" si="150"/>
        <v>0</v>
      </c>
    </row>
    <row r="3971" spans="1:15" x14ac:dyDescent="0.25">
      <c r="A3971" s="207" t="str">
        <f>VLOOKUP(RIGHT(E3971,3)+0,SchLocTable!$A$2:$B$47,2,FALSE)</f>
        <v>Harding HS</v>
      </c>
      <c r="B3971" s="207" t="str">
        <f>VLOOKUP(VALUE(D3971),$D$3:F$106,3,FALSE)</f>
        <v>Custodians</v>
      </c>
      <c r="C3971" s="751" t="s">
        <v>246</v>
      </c>
      <c r="D3971" s="751" t="s">
        <v>991</v>
      </c>
      <c r="E3971" s="751" t="s">
        <v>1026</v>
      </c>
      <c r="F3971" s="751" t="s">
        <v>944</v>
      </c>
      <c r="G3971" s="752" t="s">
        <v>1681</v>
      </c>
      <c r="H3971" s="753">
        <v>51124</v>
      </c>
      <c r="I3971" s="754">
        <v>0</v>
      </c>
      <c r="J3971" s="754">
        <v>0</v>
      </c>
      <c r="K3971" s="754">
        <v>0</v>
      </c>
      <c r="L3971" s="754">
        <v>0</v>
      </c>
      <c r="M3971" s="754">
        <f t="shared" si="149"/>
        <v>0</v>
      </c>
      <c r="N3971" s="756">
        <v>0</v>
      </c>
      <c r="O3971" s="720">
        <f t="shared" si="150"/>
        <v>0</v>
      </c>
    </row>
    <row r="3972" spans="1:15" x14ac:dyDescent="0.25">
      <c r="A3972" s="207" t="str">
        <f>VLOOKUP(RIGHT(E3972,3)+0,SchLocTable!$A$2:$B$47,2,FALSE)</f>
        <v>Harding HS</v>
      </c>
      <c r="B3972" s="207" t="str">
        <f>VLOOKUP(VALUE(D3972),$D$3:F$106,3,FALSE)</f>
        <v>Custodians</v>
      </c>
      <c r="C3972" s="751" t="s">
        <v>246</v>
      </c>
      <c r="D3972" s="751" t="s">
        <v>991</v>
      </c>
      <c r="E3972" s="751" t="s">
        <v>1026</v>
      </c>
      <c r="F3972" s="751" t="s">
        <v>993</v>
      </c>
      <c r="G3972" s="752" t="s">
        <v>1681</v>
      </c>
      <c r="H3972" s="753">
        <v>51138</v>
      </c>
      <c r="I3972" s="754">
        <v>8100.35</v>
      </c>
      <c r="J3972" s="754">
        <v>0</v>
      </c>
      <c r="K3972" s="754">
        <v>0</v>
      </c>
      <c r="L3972" s="754">
        <v>1575.58</v>
      </c>
      <c r="M3972" s="754">
        <f t="shared" si="149"/>
        <v>1575.58</v>
      </c>
      <c r="N3972" s="756">
        <v>8100.35</v>
      </c>
      <c r="O3972" s="720">
        <f t="shared" si="150"/>
        <v>0</v>
      </c>
    </row>
    <row r="3973" spans="1:15" x14ac:dyDescent="0.25">
      <c r="A3973" s="207" t="str">
        <f>VLOOKUP(RIGHT(E3973,3)+0,SchLocTable!$A$2:$B$47,2,FALSE)</f>
        <v>Harding HS</v>
      </c>
      <c r="B3973" s="207" t="str">
        <f>VLOOKUP(VALUE(D3973),$D$3:F$106,3,FALSE)</f>
        <v>Custodians</v>
      </c>
      <c r="C3973" s="751" t="s">
        <v>246</v>
      </c>
      <c r="D3973" s="751" t="s">
        <v>991</v>
      </c>
      <c r="E3973" s="751" t="s">
        <v>1026</v>
      </c>
      <c r="F3973" s="751" t="s">
        <v>257</v>
      </c>
      <c r="G3973" s="752" t="s">
        <v>1681</v>
      </c>
      <c r="H3973" s="753">
        <v>51140</v>
      </c>
      <c r="I3973" s="754">
        <v>6377.5</v>
      </c>
      <c r="J3973" s="754">
        <v>0</v>
      </c>
      <c r="K3973" s="754">
        <v>0</v>
      </c>
      <c r="L3973" s="754">
        <v>4150</v>
      </c>
      <c r="M3973" s="754">
        <f t="shared" si="149"/>
        <v>4150</v>
      </c>
      <c r="N3973" s="756">
        <v>6377.5</v>
      </c>
      <c r="O3973" s="720">
        <f t="shared" si="150"/>
        <v>0</v>
      </c>
    </row>
    <row r="3974" spans="1:15" x14ac:dyDescent="0.25">
      <c r="A3974" s="207" t="str">
        <f>VLOOKUP(RIGHT(E3974,3)+0,SchLocTable!$A$2:$B$47,2,FALSE)</f>
        <v>Harding HS</v>
      </c>
      <c r="B3974" s="207" t="str">
        <f>VLOOKUP(VALUE(D3974),$D$3:F$106,3,FALSE)</f>
        <v>Custodians</v>
      </c>
      <c r="C3974" s="751" t="s">
        <v>246</v>
      </c>
      <c r="D3974" s="751" t="s">
        <v>991</v>
      </c>
      <c r="E3974" s="751" t="s">
        <v>1026</v>
      </c>
      <c r="F3974" s="751" t="s">
        <v>252</v>
      </c>
      <c r="G3974" s="752" t="s">
        <v>1681</v>
      </c>
      <c r="H3974" s="753">
        <v>51154</v>
      </c>
      <c r="I3974" s="754">
        <v>26739.69</v>
      </c>
      <c r="J3974" s="754">
        <v>0</v>
      </c>
      <c r="K3974" s="754">
        <v>0</v>
      </c>
      <c r="L3974" s="754">
        <v>26739.69</v>
      </c>
      <c r="M3974" s="754">
        <f t="shared" si="149"/>
        <v>26739.69</v>
      </c>
      <c r="N3974" s="756">
        <v>26739.69</v>
      </c>
      <c r="O3974" s="720">
        <f t="shared" si="150"/>
        <v>0</v>
      </c>
    </row>
    <row r="3975" spans="1:15" x14ac:dyDescent="0.25">
      <c r="A3975" s="207" t="str">
        <f>VLOOKUP(RIGHT(E3975,3)+0,SchLocTable!$A$2:$B$47,2,FALSE)</f>
        <v>Harding HS</v>
      </c>
      <c r="B3975" s="207" t="str">
        <f>VLOOKUP(VALUE(D3975),$D$3:F$106,3,FALSE)</f>
        <v>Custodians</v>
      </c>
      <c r="C3975" s="751" t="s">
        <v>246</v>
      </c>
      <c r="D3975" s="751" t="s">
        <v>991</v>
      </c>
      <c r="E3975" s="751" t="s">
        <v>1026</v>
      </c>
      <c r="F3975" s="751" t="s">
        <v>797</v>
      </c>
      <c r="G3975" s="752" t="s">
        <v>1681</v>
      </c>
      <c r="H3975" s="753">
        <v>51156</v>
      </c>
      <c r="I3975" s="754">
        <v>0</v>
      </c>
      <c r="J3975" s="754">
        <v>0</v>
      </c>
      <c r="K3975" s="754">
        <v>0</v>
      </c>
      <c r="L3975" s="754">
        <v>0</v>
      </c>
      <c r="M3975" s="754">
        <f t="shared" si="149"/>
        <v>0</v>
      </c>
      <c r="N3975" s="756">
        <v>0</v>
      </c>
      <c r="O3975" s="720">
        <f t="shared" si="150"/>
        <v>0</v>
      </c>
    </row>
    <row r="3976" spans="1:15" x14ac:dyDescent="0.25">
      <c r="A3976" s="207" t="str">
        <f>VLOOKUP(RIGHT(E3976,3)+0,SchLocTable!$A$2:$B$47,2,FALSE)</f>
        <v>Harding HS</v>
      </c>
      <c r="B3976" s="207" t="str">
        <f>VLOOKUP(VALUE(D3976),$D$3:F$106,3,FALSE)</f>
        <v>Custodians</v>
      </c>
      <c r="C3976" s="751" t="s">
        <v>246</v>
      </c>
      <c r="D3976" s="751" t="s">
        <v>991</v>
      </c>
      <c r="E3976" s="751" t="s">
        <v>1026</v>
      </c>
      <c r="F3976" s="751" t="s">
        <v>326</v>
      </c>
      <c r="G3976" s="752" t="s">
        <v>1681</v>
      </c>
      <c r="H3976" s="753">
        <v>51314</v>
      </c>
      <c r="I3976" s="754">
        <v>7490.29</v>
      </c>
      <c r="J3976" s="754">
        <v>0</v>
      </c>
      <c r="K3976" s="754">
        <v>0</v>
      </c>
      <c r="L3976" s="754">
        <v>7490.29</v>
      </c>
      <c r="M3976" s="754">
        <f t="shared" si="149"/>
        <v>7490.29</v>
      </c>
      <c r="N3976" s="756">
        <v>7490.29</v>
      </c>
      <c r="O3976" s="720">
        <f t="shared" si="150"/>
        <v>0</v>
      </c>
    </row>
    <row r="3977" spans="1:15" x14ac:dyDescent="0.25">
      <c r="A3977" s="207" t="str">
        <f>VLOOKUP(RIGHT(E3977,3)+0,SchLocTable!$A$2:$B$47,2,FALSE)</f>
        <v>Harding HS</v>
      </c>
      <c r="B3977" s="207" t="str">
        <f>VLOOKUP(VALUE(D3977),$D$3:F$106,3,FALSE)</f>
        <v>Custodians</v>
      </c>
      <c r="C3977" s="751" t="s">
        <v>246</v>
      </c>
      <c r="D3977" s="751" t="s">
        <v>991</v>
      </c>
      <c r="E3977" s="751" t="s">
        <v>1026</v>
      </c>
      <c r="F3977" s="751" t="s">
        <v>328</v>
      </c>
      <c r="G3977" s="752" t="s">
        <v>1681</v>
      </c>
      <c r="H3977" s="753">
        <v>51318</v>
      </c>
      <c r="I3977" s="754">
        <v>828.08</v>
      </c>
      <c r="J3977" s="754">
        <v>0</v>
      </c>
      <c r="K3977" s="754">
        <v>0</v>
      </c>
      <c r="L3977" s="754">
        <v>682.38</v>
      </c>
      <c r="M3977" s="754">
        <f t="shared" si="149"/>
        <v>682.38</v>
      </c>
      <c r="N3977" s="756">
        <v>828.08</v>
      </c>
      <c r="O3977" s="720">
        <f t="shared" si="150"/>
        <v>0</v>
      </c>
    </row>
    <row r="3978" spans="1:15" x14ac:dyDescent="0.25">
      <c r="A3978" s="207" t="str">
        <f>VLOOKUP(RIGHT(E3978,3)+0,SchLocTable!$A$2:$B$47,2,FALSE)</f>
        <v>Harding HS</v>
      </c>
      <c r="B3978" s="207" t="str">
        <f>VLOOKUP(VALUE(D3978),$D$3:F$106,3,FALSE)</f>
        <v>Custodians</v>
      </c>
      <c r="C3978" s="751" t="s">
        <v>246</v>
      </c>
      <c r="D3978" s="751" t="s">
        <v>991</v>
      </c>
      <c r="E3978" s="751" t="s">
        <v>1026</v>
      </c>
      <c r="F3978" s="751" t="s">
        <v>254</v>
      </c>
      <c r="G3978" s="752" t="s">
        <v>1681</v>
      </c>
      <c r="H3978" s="753">
        <v>52360</v>
      </c>
      <c r="I3978" s="754">
        <v>5551.4</v>
      </c>
      <c r="J3978" s="754">
        <v>0</v>
      </c>
      <c r="K3978" s="754">
        <v>0</v>
      </c>
      <c r="L3978" s="754">
        <v>1993.93</v>
      </c>
      <c r="M3978" s="754">
        <f t="shared" si="149"/>
        <v>1993.93</v>
      </c>
      <c r="N3978" s="756">
        <v>5551.4</v>
      </c>
      <c r="O3978" s="720">
        <f t="shared" si="150"/>
        <v>0</v>
      </c>
    </row>
    <row r="3979" spans="1:15" x14ac:dyDescent="0.25">
      <c r="A3979" s="207" t="str">
        <f>VLOOKUP(RIGHT(E3979,3)+0,SchLocTable!$A$2:$B$47,2,FALSE)</f>
        <v>Harding HS</v>
      </c>
      <c r="B3979" s="207" t="str">
        <f>VLOOKUP(VALUE(D3979),$D$3:F$106,3,FALSE)</f>
        <v>Custodians</v>
      </c>
      <c r="C3979" s="751" t="s">
        <v>246</v>
      </c>
      <c r="D3979" s="751" t="s">
        <v>991</v>
      </c>
      <c r="E3979" s="751" t="s">
        <v>1026</v>
      </c>
      <c r="F3979" s="751" t="s">
        <v>292</v>
      </c>
      <c r="G3979" s="752" t="s">
        <v>1681</v>
      </c>
      <c r="H3979" s="753">
        <v>52385</v>
      </c>
      <c r="I3979" s="754">
        <v>1429.29</v>
      </c>
      <c r="J3979" s="754">
        <v>0</v>
      </c>
      <c r="K3979" s="754">
        <v>0</v>
      </c>
      <c r="L3979" s="754">
        <v>448.99</v>
      </c>
      <c r="M3979" s="754">
        <f t="shared" si="149"/>
        <v>448.99</v>
      </c>
      <c r="N3979" s="756">
        <v>1429.29</v>
      </c>
      <c r="O3979" s="720">
        <f t="shared" si="150"/>
        <v>0</v>
      </c>
    </row>
    <row r="3980" spans="1:15" x14ac:dyDescent="0.25">
      <c r="A3980" s="207" t="str">
        <f>VLOOKUP(RIGHT(E3980,3)+0,SchLocTable!$A$2:$B$47,2,FALSE)</f>
        <v>Harding HS</v>
      </c>
      <c r="B3980" s="207" t="str">
        <f>VLOOKUP(VALUE(D3980),$D$3:F$106,3,FALSE)</f>
        <v>Custodians</v>
      </c>
      <c r="C3980" s="751" t="s">
        <v>246</v>
      </c>
      <c r="D3980" s="751" t="s">
        <v>991</v>
      </c>
      <c r="E3980" s="751" t="s">
        <v>1026</v>
      </c>
      <c r="F3980" s="751" t="s">
        <v>331</v>
      </c>
      <c r="G3980" s="752" t="s">
        <v>1681</v>
      </c>
      <c r="H3980" s="753">
        <v>52504</v>
      </c>
      <c r="I3980" s="754">
        <v>71749.89</v>
      </c>
      <c r="J3980" s="754">
        <v>0</v>
      </c>
      <c r="K3980" s="754">
        <v>0</v>
      </c>
      <c r="L3980" s="754">
        <v>21233.81</v>
      </c>
      <c r="M3980" s="754">
        <f t="shared" si="149"/>
        <v>21233.81</v>
      </c>
      <c r="N3980" s="756">
        <v>71749.89</v>
      </c>
      <c r="O3980" s="720">
        <f t="shared" si="150"/>
        <v>0</v>
      </c>
    </row>
    <row r="3981" spans="1:15" x14ac:dyDescent="0.25">
      <c r="A3981" s="207" t="str">
        <f>VLOOKUP(RIGHT(E3981,3)+0,SchLocTable!$A$2:$B$47,2,FALSE)</f>
        <v>Harding HS</v>
      </c>
      <c r="B3981" s="207" t="str">
        <f>VLOOKUP(VALUE(D3981),$D$3:F$106,3,FALSE)</f>
        <v>Custodians</v>
      </c>
      <c r="C3981" s="751" t="s">
        <v>246</v>
      </c>
      <c r="D3981" s="751" t="s">
        <v>991</v>
      </c>
      <c r="E3981" s="751" t="s">
        <v>1026</v>
      </c>
      <c r="F3981" s="751" t="s">
        <v>259</v>
      </c>
      <c r="G3981" s="752" t="s">
        <v>1681</v>
      </c>
      <c r="H3981" s="753">
        <v>52917</v>
      </c>
      <c r="I3981" s="754">
        <v>88517.81</v>
      </c>
      <c r="J3981" s="754">
        <v>0</v>
      </c>
      <c r="K3981" s="754">
        <v>0</v>
      </c>
      <c r="L3981" s="754">
        <v>30152.55</v>
      </c>
      <c r="M3981" s="754">
        <f t="shared" si="149"/>
        <v>30152.55</v>
      </c>
      <c r="N3981" s="756">
        <v>88517.81</v>
      </c>
      <c r="O3981" s="720">
        <f t="shared" si="150"/>
        <v>0</v>
      </c>
    </row>
    <row r="3982" spans="1:15" x14ac:dyDescent="0.25">
      <c r="A3982" s="207" t="str">
        <f>VLOOKUP(RIGHT(E3982,3)+0,SchLocTable!$A$2:$B$47,2,FALSE)</f>
        <v>Harding HS</v>
      </c>
      <c r="B3982" s="207" t="str">
        <f>VLOOKUP(VALUE(D3982),$D$3:F$106,3,FALSE)</f>
        <v>Custodians</v>
      </c>
      <c r="C3982" s="751" t="s">
        <v>246</v>
      </c>
      <c r="D3982" s="751" t="s">
        <v>991</v>
      </c>
      <c r="E3982" s="751" t="s">
        <v>1026</v>
      </c>
      <c r="F3982" s="751" t="s">
        <v>333</v>
      </c>
      <c r="G3982" s="752" t="s">
        <v>1681</v>
      </c>
      <c r="H3982" s="753">
        <v>52920</v>
      </c>
      <c r="I3982" s="754">
        <v>0</v>
      </c>
      <c r="J3982" s="754">
        <v>0</v>
      </c>
      <c r="K3982" s="754">
        <v>0</v>
      </c>
      <c r="L3982" s="754">
        <v>0</v>
      </c>
      <c r="M3982" s="754">
        <f t="shared" si="149"/>
        <v>0</v>
      </c>
      <c r="N3982" s="756">
        <v>0</v>
      </c>
      <c r="O3982" s="720">
        <f t="shared" si="150"/>
        <v>0</v>
      </c>
    </row>
    <row r="3983" spans="1:15" x14ac:dyDescent="0.25">
      <c r="A3983" s="207" t="str">
        <f>VLOOKUP(RIGHT(E3983,3)+0,SchLocTable!$A$2:$B$47,2,FALSE)</f>
        <v>Aquaculture</v>
      </c>
      <c r="B3983" s="207" t="str">
        <f>VLOOKUP(VALUE(D3983),$D$3:F$106,3,FALSE)</f>
        <v>Custodians</v>
      </c>
      <c r="C3983" s="751" t="s">
        <v>246</v>
      </c>
      <c r="D3983" s="751" t="s">
        <v>991</v>
      </c>
      <c r="E3983" s="751" t="s">
        <v>1027</v>
      </c>
      <c r="F3983" s="751" t="s">
        <v>248</v>
      </c>
      <c r="G3983" s="752">
        <v>1</v>
      </c>
      <c r="H3983" s="753">
        <v>51000</v>
      </c>
      <c r="I3983" s="754">
        <v>68903.64</v>
      </c>
      <c r="J3983" s="754">
        <v>0</v>
      </c>
      <c r="K3983" s="754">
        <v>0</v>
      </c>
      <c r="L3983" s="754">
        <v>22946.29</v>
      </c>
      <c r="M3983" s="754">
        <f t="shared" si="149"/>
        <v>22946.29</v>
      </c>
      <c r="N3983" s="756">
        <v>68903.64</v>
      </c>
      <c r="O3983" s="720">
        <f t="shared" si="150"/>
        <v>0</v>
      </c>
    </row>
    <row r="3984" spans="1:15" x14ac:dyDescent="0.25">
      <c r="A3984" s="207" t="str">
        <f>VLOOKUP(RIGHT(E3984,3)+0,SchLocTable!$A$2:$B$47,2,FALSE)</f>
        <v>Aquaculture</v>
      </c>
      <c r="B3984" s="207" t="str">
        <f>VLOOKUP(VALUE(D3984),$D$3:F$106,3,FALSE)</f>
        <v>Custodians</v>
      </c>
      <c r="C3984" s="751" t="s">
        <v>246</v>
      </c>
      <c r="D3984" s="751" t="s">
        <v>991</v>
      </c>
      <c r="E3984" s="751" t="s">
        <v>1027</v>
      </c>
      <c r="F3984" s="751" t="s">
        <v>378</v>
      </c>
      <c r="G3984" s="752" t="s">
        <v>1681</v>
      </c>
      <c r="H3984" s="753">
        <v>51108</v>
      </c>
      <c r="I3984" s="754">
        <v>10399.59</v>
      </c>
      <c r="J3984" s="754">
        <v>0</v>
      </c>
      <c r="K3984" s="754">
        <v>0</v>
      </c>
      <c r="L3984" s="754">
        <v>1782.54</v>
      </c>
      <c r="M3984" s="754">
        <f t="shared" si="149"/>
        <v>1782.54</v>
      </c>
      <c r="N3984" s="756">
        <v>10399.59</v>
      </c>
      <c r="O3984" s="720">
        <f t="shared" si="150"/>
        <v>0</v>
      </c>
    </row>
    <row r="3985" spans="1:16" x14ac:dyDescent="0.25">
      <c r="A3985" s="207" t="str">
        <f>VLOOKUP(RIGHT(E3985,3)+0,SchLocTable!$A$2:$B$47,2,FALSE)</f>
        <v>Aquaculture</v>
      </c>
      <c r="B3985" s="207" t="str">
        <f>VLOOKUP(VALUE(D3985),$D$3:F$106,3,FALSE)</f>
        <v>Custodians</v>
      </c>
      <c r="C3985" s="751" t="s">
        <v>246</v>
      </c>
      <c r="D3985" s="751" t="s">
        <v>991</v>
      </c>
      <c r="E3985" s="751" t="s">
        <v>1027</v>
      </c>
      <c r="F3985" s="751" t="s">
        <v>915</v>
      </c>
      <c r="G3985" s="752" t="s">
        <v>1681</v>
      </c>
      <c r="H3985" s="753">
        <v>51116</v>
      </c>
      <c r="I3985" s="754">
        <v>0</v>
      </c>
      <c r="J3985" s="754">
        <v>0</v>
      </c>
      <c r="K3985" s="754">
        <v>0</v>
      </c>
      <c r="L3985" s="754">
        <v>0</v>
      </c>
      <c r="M3985" s="754">
        <f t="shared" si="149"/>
        <v>0</v>
      </c>
      <c r="N3985" s="756">
        <v>0</v>
      </c>
      <c r="O3985" s="720">
        <f t="shared" si="150"/>
        <v>0</v>
      </c>
    </row>
    <row r="3986" spans="1:16" x14ac:dyDescent="0.25">
      <c r="A3986" s="207" t="str">
        <f>VLOOKUP(RIGHT(E3986,3)+0,SchLocTable!$A$2:$B$47,2,FALSE)</f>
        <v>Aquaculture</v>
      </c>
      <c r="B3986" s="207" t="str">
        <f>VLOOKUP(VALUE(D3986),$D$3:F$106,3,FALSE)</f>
        <v>Custodians</v>
      </c>
      <c r="C3986" s="751" t="s">
        <v>246</v>
      </c>
      <c r="D3986" s="751" t="s">
        <v>991</v>
      </c>
      <c r="E3986" s="751" t="s">
        <v>1027</v>
      </c>
      <c r="F3986" s="751" t="s">
        <v>380</v>
      </c>
      <c r="G3986" s="752" t="s">
        <v>1681</v>
      </c>
      <c r="H3986" s="753">
        <v>51122</v>
      </c>
      <c r="I3986" s="754">
        <v>21011.43</v>
      </c>
      <c r="J3986" s="754">
        <v>0</v>
      </c>
      <c r="K3986" s="754">
        <v>0</v>
      </c>
      <c r="L3986" s="754">
        <v>3152.88</v>
      </c>
      <c r="M3986" s="754">
        <f t="shared" si="149"/>
        <v>3152.88</v>
      </c>
      <c r="N3986" s="756">
        <v>21011.43</v>
      </c>
      <c r="O3986" s="720">
        <f t="shared" si="150"/>
        <v>0</v>
      </c>
    </row>
    <row r="3987" spans="1:16" x14ac:dyDescent="0.25">
      <c r="A3987" s="207" t="str">
        <f>VLOOKUP(RIGHT(E3987,3)+0,SchLocTable!$A$2:$B$47,2,FALSE)</f>
        <v>Aquaculture</v>
      </c>
      <c r="B3987" s="207" t="str">
        <f>VLOOKUP(VALUE(D3987),$D$3:F$106,3,FALSE)</f>
        <v>Custodians</v>
      </c>
      <c r="C3987" s="751" t="s">
        <v>246</v>
      </c>
      <c r="D3987" s="751" t="s">
        <v>991</v>
      </c>
      <c r="E3987" s="751" t="s">
        <v>1027</v>
      </c>
      <c r="F3987" s="751" t="s">
        <v>993</v>
      </c>
      <c r="G3987" s="752" t="s">
        <v>1681</v>
      </c>
      <c r="H3987" s="753">
        <v>51138</v>
      </c>
      <c r="I3987" s="754">
        <v>450.49</v>
      </c>
      <c r="J3987" s="754">
        <v>0</v>
      </c>
      <c r="K3987" s="754">
        <v>0</v>
      </c>
      <c r="L3987" s="754">
        <v>138.08000000000001</v>
      </c>
      <c r="M3987" s="754">
        <f t="shared" si="149"/>
        <v>138.08000000000001</v>
      </c>
      <c r="N3987" s="756">
        <v>450.49</v>
      </c>
      <c r="O3987" s="720">
        <f t="shared" si="150"/>
        <v>0</v>
      </c>
    </row>
    <row r="3988" spans="1:16" x14ac:dyDescent="0.25">
      <c r="A3988" s="207" t="str">
        <f>VLOOKUP(RIGHT(E3988,3)+0,SchLocTable!$A$2:$B$47,2,FALSE)</f>
        <v>Aquaculture</v>
      </c>
      <c r="B3988" s="207" t="str">
        <f>VLOOKUP(VALUE(D3988),$D$3:F$106,3,FALSE)</f>
        <v>Custodians</v>
      </c>
      <c r="C3988" s="751" t="s">
        <v>246</v>
      </c>
      <c r="D3988" s="751" t="s">
        <v>991</v>
      </c>
      <c r="E3988" s="751" t="s">
        <v>1027</v>
      </c>
      <c r="F3988" s="751" t="s">
        <v>257</v>
      </c>
      <c r="G3988" s="752" t="s">
        <v>1681</v>
      </c>
      <c r="H3988" s="753">
        <v>51140</v>
      </c>
      <c r="I3988" s="754">
        <v>1575</v>
      </c>
      <c r="J3988" s="754">
        <v>0</v>
      </c>
      <c r="K3988" s="754">
        <v>0</v>
      </c>
      <c r="L3988" s="754">
        <v>0</v>
      </c>
      <c r="M3988" s="754">
        <f t="shared" si="149"/>
        <v>0</v>
      </c>
      <c r="N3988" s="756">
        <v>1575</v>
      </c>
      <c r="O3988" s="720">
        <f t="shared" si="150"/>
        <v>0</v>
      </c>
    </row>
    <row r="3989" spans="1:16" x14ac:dyDescent="0.25">
      <c r="A3989" s="207" t="str">
        <f>VLOOKUP(RIGHT(E3989,3)+0,SchLocTable!$A$2:$B$47,2,FALSE)</f>
        <v>Aquaculture</v>
      </c>
      <c r="B3989" s="207" t="str">
        <f>VLOOKUP(VALUE(D3989),$D$3:F$106,3,FALSE)</f>
        <v>Custodians</v>
      </c>
      <c r="C3989" s="751" t="s">
        <v>246</v>
      </c>
      <c r="D3989" s="751" t="s">
        <v>991</v>
      </c>
      <c r="E3989" s="751" t="s">
        <v>1027</v>
      </c>
      <c r="F3989" s="751" t="s">
        <v>254</v>
      </c>
      <c r="G3989" s="752" t="s">
        <v>1681</v>
      </c>
      <c r="H3989" s="753">
        <v>52360</v>
      </c>
      <c r="I3989" s="754">
        <v>1421.12</v>
      </c>
      <c r="J3989" s="754">
        <v>0</v>
      </c>
      <c r="K3989" s="754">
        <v>0</v>
      </c>
      <c r="L3989" s="754">
        <v>366.31</v>
      </c>
      <c r="M3989" s="754">
        <f t="shared" si="149"/>
        <v>366.31</v>
      </c>
      <c r="N3989" s="756">
        <v>1421.12</v>
      </c>
      <c r="O3989" s="720">
        <f t="shared" si="150"/>
        <v>0</v>
      </c>
    </row>
    <row r="3990" spans="1:16" x14ac:dyDescent="0.25">
      <c r="A3990" s="207" t="str">
        <f>VLOOKUP(RIGHT(E3990,3)+0,SchLocTable!$A$2:$B$47,2,FALSE)</f>
        <v>Aquaculture</v>
      </c>
      <c r="B3990" s="207" t="str">
        <f>VLOOKUP(VALUE(D3990),$D$3:F$106,3,FALSE)</f>
        <v>Custodians</v>
      </c>
      <c r="C3990" s="751" t="s">
        <v>246</v>
      </c>
      <c r="D3990" s="751" t="s">
        <v>991</v>
      </c>
      <c r="E3990" s="751" t="s">
        <v>1027</v>
      </c>
      <c r="F3990" s="751" t="s">
        <v>331</v>
      </c>
      <c r="G3990" s="752" t="s">
        <v>1681</v>
      </c>
      <c r="H3990" s="753">
        <v>52504</v>
      </c>
      <c r="I3990" s="754">
        <v>20747.560000000001</v>
      </c>
      <c r="J3990" s="754">
        <v>0</v>
      </c>
      <c r="K3990" s="754">
        <v>0</v>
      </c>
      <c r="L3990" s="754">
        <v>5769.29</v>
      </c>
      <c r="M3990" s="754">
        <f t="shared" si="149"/>
        <v>5769.29</v>
      </c>
      <c r="N3990" s="756">
        <v>20747.560000000001</v>
      </c>
      <c r="O3990" s="720">
        <f t="shared" si="150"/>
        <v>0</v>
      </c>
    </row>
    <row r="3991" spans="1:16" x14ac:dyDescent="0.25">
      <c r="A3991" s="207" t="str">
        <f>VLOOKUP(RIGHT(E3991,3)+0,SchLocTable!$A$2:$B$47,2,FALSE)</f>
        <v>Aquaculture</v>
      </c>
      <c r="B3991" s="207" t="str">
        <f>VLOOKUP(VALUE(D3991),$D$3:F$106,3,FALSE)</f>
        <v>Custodians</v>
      </c>
      <c r="C3991" s="751" t="s">
        <v>246</v>
      </c>
      <c r="D3991" s="751" t="s">
        <v>991</v>
      </c>
      <c r="E3991" s="751" t="s">
        <v>1027</v>
      </c>
      <c r="F3991" s="751" t="s">
        <v>259</v>
      </c>
      <c r="G3991" s="752" t="s">
        <v>1681</v>
      </c>
      <c r="H3991" s="753">
        <v>52917</v>
      </c>
      <c r="I3991" s="754">
        <v>27881.59</v>
      </c>
      <c r="J3991" s="754">
        <v>0</v>
      </c>
      <c r="K3991" s="754">
        <v>0</v>
      </c>
      <c r="L3991" s="754">
        <v>8546.08</v>
      </c>
      <c r="M3991" s="754">
        <f t="shared" si="149"/>
        <v>8546.08</v>
      </c>
      <c r="N3991" s="756">
        <v>27881.59</v>
      </c>
      <c r="O3991" s="720">
        <f t="shared" si="150"/>
        <v>0</v>
      </c>
    </row>
    <row r="3992" spans="1:16" x14ac:dyDescent="0.25">
      <c r="A3992" s="719" t="str">
        <f>VLOOKUP(RIGHT(E3992,3)+0,SchLocTable!$A$2:$B$47,2,FALSE)</f>
        <v>FCW campus</v>
      </c>
      <c r="B3992" s="719" t="str">
        <f>VLOOKUP(VALUE(D3992),$D$3:F$106,3,FALSE)</f>
        <v>Custodians</v>
      </c>
      <c r="C3992" s="751" t="s">
        <v>246</v>
      </c>
      <c r="D3992" s="751" t="s">
        <v>991</v>
      </c>
      <c r="E3992" s="751" t="s">
        <v>1028</v>
      </c>
      <c r="F3992" s="751" t="s">
        <v>248</v>
      </c>
      <c r="G3992" s="752">
        <v>10</v>
      </c>
      <c r="H3992" s="753">
        <v>51000</v>
      </c>
      <c r="I3992" s="754">
        <v>449693.76</v>
      </c>
      <c r="J3992" s="754">
        <v>0</v>
      </c>
      <c r="K3992" s="754">
        <v>0</v>
      </c>
      <c r="L3992" s="754">
        <v>144740.57</v>
      </c>
      <c r="M3992" s="754">
        <f t="shared" si="149"/>
        <v>144740.57</v>
      </c>
      <c r="N3992" s="756">
        <v>449693.76</v>
      </c>
      <c r="O3992" s="720">
        <f t="shared" si="150"/>
        <v>0</v>
      </c>
    </row>
    <row r="3993" spans="1:16" x14ac:dyDescent="0.25">
      <c r="A3993" s="719" t="str">
        <f>VLOOKUP(RIGHT(E3993,3)+0,SchLocTable!$A$2:$B$47,2,FALSE)</f>
        <v>FCW campus</v>
      </c>
      <c r="B3993" s="719" t="str">
        <f>VLOOKUP(VALUE(D3993),$D$3:F$106,3,FALSE)</f>
        <v>Custodians</v>
      </c>
      <c r="C3993" s="751" t="s">
        <v>246</v>
      </c>
      <c r="D3993" s="751" t="s">
        <v>991</v>
      </c>
      <c r="E3993" s="751" t="s">
        <v>1028</v>
      </c>
      <c r="F3993" s="751" t="s">
        <v>919</v>
      </c>
      <c r="G3993" s="752" t="s">
        <v>1681</v>
      </c>
      <c r="H3993" s="753">
        <v>51102</v>
      </c>
      <c r="I3993" s="754">
        <v>0</v>
      </c>
      <c r="J3993" s="754">
        <v>0</v>
      </c>
      <c r="K3993" s="754">
        <v>0</v>
      </c>
      <c r="L3993" s="754">
        <v>0</v>
      </c>
      <c r="M3993" s="754">
        <f t="shared" si="149"/>
        <v>0</v>
      </c>
      <c r="N3993" s="756">
        <v>0</v>
      </c>
      <c r="O3993" s="720">
        <f t="shared" si="150"/>
        <v>0</v>
      </c>
    </row>
    <row r="3994" spans="1:16" x14ac:dyDescent="0.25">
      <c r="A3994" s="719" t="str">
        <f>VLOOKUP(RIGHT(E3994,3)+0,SchLocTable!$A$2:$B$47,2,FALSE)</f>
        <v>FCW campus</v>
      </c>
      <c r="B3994" s="719" t="str">
        <f>VLOOKUP(VALUE(D3994),$D$3:F$106,3,FALSE)</f>
        <v>Custodians</v>
      </c>
      <c r="C3994" s="751" t="s">
        <v>246</v>
      </c>
      <c r="D3994" s="751" t="s">
        <v>991</v>
      </c>
      <c r="E3994" s="751" t="s">
        <v>1028</v>
      </c>
      <c r="F3994" s="751" t="s">
        <v>378</v>
      </c>
      <c r="G3994" s="752" t="s">
        <v>1681</v>
      </c>
      <c r="H3994" s="753">
        <v>51108</v>
      </c>
      <c r="I3994" s="754">
        <v>27682.06</v>
      </c>
      <c r="J3994" s="754">
        <v>0</v>
      </c>
      <c r="K3994" s="754">
        <v>0</v>
      </c>
      <c r="L3994" s="754">
        <v>9658.15</v>
      </c>
      <c r="M3994" s="754">
        <f t="shared" si="149"/>
        <v>9658.15</v>
      </c>
      <c r="N3994" s="756">
        <v>27682.06</v>
      </c>
      <c r="O3994" s="720">
        <f t="shared" si="150"/>
        <v>0</v>
      </c>
    </row>
    <row r="3995" spans="1:16" x14ac:dyDescent="0.25">
      <c r="A3995" s="719" t="str">
        <f>VLOOKUP(RIGHT(E3995,3)+0,SchLocTable!$A$2:$B$47,2,FALSE)</f>
        <v>FCW campus</v>
      </c>
      <c r="B3995" s="719" t="str">
        <f>VLOOKUP(VALUE(D3995),$D$3:F$106,3,FALSE)</f>
        <v>Custodians</v>
      </c>
      <c r="C3995" s="751" t="s">
        <v>246</v>
      </c>
      <c r="D3995" s="751" t="s">
        <v>991</v>
      </c>
      <c r="E3995" s="751" t="s">
        <v>1028</v>
      </c>
      <c r="F3995" s="751" t="s">
        <v>380</v>
      </c>
      <c r="G3995" s="752" t="s">
        <v>1681</v>
      </c>
      <c r="H3995" s="753">
        <v>51122</v>
      </c>
      <c r="I3995" s="754">
        <v>35887.199999999997</v>
      </c>
      <c r="J3995" s="754">
        <v>0</v>
      </c>
      <c r="K3995" s="754">
        <v>0</v>
      </c>
      <c r="L3995" s="754">
        <v>6091.13</v>
      </c>
      <c r="M3995" s="754">
        <f t="shared" si="149"/>
        <v>6091.13</v>
      </c>
      <c r="N3995" s="756">
        <v>35887.199999999997</v>
      </c>
      <c r="O3995" s="720">
        <f t="shared" si="150"/>
        <v>0</v>
      </c>
    </row>
    <row r="3996" spans="1:16" x14ac:dyDescent="0.25">
      <c r="A3996" s="719" t="str">
        <f>VLOOKUP(RIGHT(E3996,3)+0,SchLocTable!$A$2:$B$47,2,FALSE)</f>
        <v>FCW campus</v>
      </c>
      <c r="B3996" s="719" t="str">
        <f>VLOOKUP(VALUE(D3996),$D$3:F$106,3,FALSE)</f>
        <v>Custodians</v>
      </c>
      <c r="C3996" s="751" t="s">
        <v>246</v>
      </c>
      <c r="D3996" s="751" t="s">
        <v>991</v>
      </c>
      <c r="E3996" s="751" t="s">
        <v>1028</v>
      </c>
      <c r="F3996" s="751" t="s">
        <v>944</v>
      </c>
      <c r="G3996" s="752" t="s">
        <v>1681</v>
      </c>
      <c r="H3996" s="753">
        <v>51124</v>
      </c>
      <c r="I3996" s="754">
        <v>67</v>
      </c>
      <c r="J3996" s="754">
        <v>0</v>
      </c>
      <c r="K3996" s="754">
        <v>0</v>
      </c>
      <c r="L3996" s="754">
        <v>67</v>
      </c>
      <c r="M3996" s="754">
        <f t="shared" si="149"/>
        <v>67</v>
      </c>
      <c r="N3996" s="756">
        <v>67</v>
      </c>
      <c r="O3996" s="720">
        <f t="shared" si="150"/>
        <v>0</v>
      </c>
      <c r="P3996" s="204"/>
    </row>
    <row r="3997" spans="1:16" x14ac:dyDescent="0.25">
      <c r="A3997" s="719" t="str">
        <f>VLOOKUP(RIGHT(E3997,3)+0,SchLocTable!$A$2:$B$47,2,FALSE)</f>
        <v>FCW campus</v>
      </c>
      <c r="B3997" s="719" t="str">
        <f>VLOOKUP(VALUE(D3997),$D$3:F$106,3,FALSE)</f>
        <v>Custodians</v>
      </c>
      <c r="C3997" s="751" t="s">
        <v>246</v>
      </c>
      <c r="D3997" s="751" t="s">
        <v>991</v>
      </c>
      <c r="E3997" s="751" t="s">
        <v>1028</v>
      </c>
      <c r="F3997" s="751" t="s">
        <v>993</v>
      </c>
      <c r="G3997" s="752" t="s">
        <v>1681</v>
      </c>
      <c r="H3997" s="753">
        <v>51138</v>
      </c>
      <c r="I3997" s="754">
        <v>15204.36</v>
      </c>
      <c r="J3997" s="754">
        <v>0</v>
      </c>
      <c r="K3997" s="754">
        <v>0</v>
      </c>
      <c r="L3997" s="754">
        <v>3404.08</v>
      </c>
      <c r="M3997" s="754">
        <f t="shared" si="149"/>
        <v>3404.08</v>
      </c>
      <c r="N3997" s="756">
        <v>15204.36</v>
      </c>
      <c r="O3997" s="720">
        <f t="shared" si="150"/>
        <v>0</v>
      </c>
      <c r="P3997" s="204"/>
    </row>
    <row r="3998" spans="1:16" x14ac:dyDescent="0.25">
      <c r="A3998" s="719" t="str">
        <f>VLOOKUP(RIGHT(E3998,3)+0,SchLocTable!$A$2:$B$47,2,FALSE)</f>
        <v>FCW campus</v>
      </c>
      <c r="B3998" s="719" t="str">
        <f>VLOOKUP(VALUE(D3998),$D$3:F$106,3,FALSE)</f>
        <v>Custodians</v>
      </c>
      <c r="C3998" s="751" t="s">
        <v>246</v>
      </c>
      <c r="D3998" s="751" t="s">
        <v>991</v>
      </c>
      <c r="E3998" s="751" t="s">
        <v>1028</v>
      </c>
      <c r="F3998" s="751" t="s">
        <v>257</v>
      </c>
      <c r="G3998" s="752" t="s">
        <v>1681</v>
      </c>
      <c r="H3998" s="753">
        <v>51140</v>
      </c>
      <c r="I3998" s="754">
        <v>6225</v>
      </c>
      <c r="J3998" s="754">
        <v>0</v>
      </c>
      <c r="K3998" s="754">
        <v>0</v>
      </c>
      <c r="L3998" s="754">
        <v>3075</v>
      </c>
      <c r="M3998" s="754">
        <f t="shared" si="149"/>
        <v>3075</v>
      </c>
      <c r="N3998" s="756">
        <v>6225</v>
      </c>
      <c r="O3998" s="720">
        <f t="shared" si="150"/>
        <v>0</v>
      </c>
      <c r="P3998" s="204"/>
    </row>
    <row r="3999" spans="1:16" x14ac:dyDescent="0.25">
      <c r="A3999" s="719" t="str">
        <f>VLOOKUP(RIGHT(E3999,3)+0,SchLocTable!$A$2:$B$47,2,FALSE)</f>
        <v>FCW campus</v>
      </c>
      <c r="B3999" s="719" t="str">
        <f>VLOOKUP(VALUE(D3999),$D$3:F$106,3,FALSE)</f>
        <v>Custodians</v>
      </c>
      <c r="C3999" s="751" t="s">
        <v>246</v>
      </c>
      <c r="D3999" s="751" t="s">
        <v>991</v>
      </c>
      <c r="E3999" s="751" t="s">
        <v>1028</v>
      </c>
      <c r="F3999" s="751" t="s">
        <v>252</v>
      </c>
      <c r="G3999" s="752" t="s">
        <v>1681</v>
      </c>
      <c r="H3999" s="753">
        <v>51154</v>
      </c>
      <c r="I3999" s="754">
        <v>0</v>
      </c>
      <c r="J3999" s="754">
        <v>0</v>
      </c>
      <c r="K3999" s="754">
        <v>0</v>
      </c>
      <c r="L3999" s="754">
        <v>0</v>
      </c>
      <c r="M3999" s="754">
        <f t="shared" si="149"/>
        <v>0</v>
      </c>
      <c r="N3999" s="756">
        <v>0</v>
      </c>
      <c r="O3999" s="720">
        <f t="shared" si="150"/>
        <v>0</v>
      </c>
      <c r="P3999" s="204"/>
    </row>
    <row r="4000" spans="1:16" x14ac:dyDescent="0.25">
      <c r="A4000" s="207" t="str">
        <f>VLOOKUP(RIGHT(E4000,3)+0,SchLocTable!$A$2:$B$47,2,FALSE)</f>
        <v>FCW campus</v>
      </c>
      <c r="B4000" s="207" t="str">
        <f>VLOOKUP(VALUE(D4000),$D$3:F$106,3,FALSE)</f>
        <v>Custodians</v>
      </c>
      <c r="C4000" s="751" t="s">
        <v>246</v>
      </c>
      <c r="D4000" s="751" t="s">
        <v>991</v>
      </c>
      <c r="E4000" s="751" t="s">
        <v>1028</v>
      </c>
      <c r="F4000" s="751" t="s">
        <v>326</v>
      </c>
      <c r="G4000" s="752" t="s">
        <v>1681</v>
      </c>
      <c r="H4000" s="753">
        <v>51314</v>
      </c>
      <c r="I4000" s="754">
        <v>0</v>
      </c>
      <c r="J4000" s="754">
        <v>0</v>
      </c>
      <c r="K4000" s="754">
        <v>0</v>
      </c>
      <c r="L4000" s="754">
        <v>0</v>
      </c>
      <c r="M4000" s="754">
        <f t="shared" si="149"/>
        <v>0</v>
      </c>
      <c r="N4000" s="756">
        <v>0</v>
      </c>
      <c r="O4000" s="732">
        <f t="shared" ref="O4000:O4031" si="151">I4000-N4000</f>
        <v>0</v>
      </c>
      <c r="P4000" s="204"/>
    </row>
    <row r="4001" spans="1:16" x14ac:dyDescent="0.25">
      <c r="A4001" s="207" t="str">
        <f>VLOOKUP(RIGHT(E4001,3)+0,SchLocTable!$A$2:$B$47,2,FALSE)</f>
        <v>FCW campus</v>
      </c>
      <c r="B4001" s="207" t="str">
        <f>VLOOKUP(VALUE(D4001),$D$3:F$106,3,FALSE)</f>
        <v>Custodians</v>
      </c>
      <c r="C4001" s="751" t="s">
        <v>246</v>
      </c>
      <c r="D4001" s="751" t="s">
        <v>991</v>
      </c>
      <c r="E4001" s="751" t="s">
        <v>1028</v>
      </c>
      <c r="F4001" s="751" t="s">
        <v>254</v>
      </c>
      <c r="G4001" s="752" t="s">
        <v>1681</v>
      </c>
      <c r="H4001" s="753">
        <v>52360</v>
      </c>
      <c r="I4001" s="754">
        <v>7433.46</v>
      </c>
      <c r="J4001" s="754">
        <v>0</v>
      </c>
      <c r="K4001" s="754">
        <v>0</v>
      </c>
      <c r="L4001" s="754">
        <v>2147.14</v>
      </c>
      <c r="M4001" s="754">
        <f t="shared" si="149"/>
        <v>2147.14</v>
      </c>
      <c r="N4001" s="756">
        <v>7433.46</v>
      </c>
      <c r="O4001" s="732">
        <f t="shared" si="151"/>
        <v>0</v>
      </c>
      <c r="P4001" s="204"/>
    </row>
    <row r="4002" spans="1:16" x14ac:dyDescent="0.25">
      <c r="A4002" s="207" t="str">
        <f>VLOOKUP(RIGHT(E4002,3)+0,SchLocTable!$A$2:$B$47,2,FALSE)</f>
        <v>FCW campus</v>
      </c>
      <c r="B4002" s="207" t="str">
        <f>VLOOKUP(VALUE(D4002),$D$3:F$106,3,FALSE)</f>
        <v>Custodians</v>
      </c>
      <c r="C4002" s="751" t="s">
        <v>246</v>
      </c>
      <c r="D4002" s="751" t="s">
        <v>991</v>
      </c>
      <c r="E4002" s="751" t="s">
        <v>1028</v>
      </c>
      <c r="F4002" s="751" t="s">
        <v>292</v>
      </c>
      <c r="G4002" s="752" t="s">
        <v>1681</v>
      </c>
      <c r="H4002" s="753">
        <v>52385</v>
      </c>
      <c r="I4002" s="754">
        <v>228.4</v>
      </c>
      <c r="J4002" s="754">
        <v>0</v>
      </c>
      <c r="K4002" s="754">
        <v>0</v>
      </c>
      <c r="L4002" s="754">
        <v>228.4</v>
      </c>
      <c r="M4002" s="754">
        <f t="shared" si="149"/>
        <v>228.4</v>
      </c>
      <c r="N4002" s="756">
        <v>228.4</v>
      </c>
      <c r="O4002" s="732">
        <f t="shared" si="151"/>
        <v>0</v>
      </c>
      <c r="P4002" s="204"/>
    </row>
    <row r="4003" spans="1:16" x14ac:dyDescent="0.25">
      <c r="A4003" s="207" t="str">
        <f>VLOOKUP(RIGHT(E4003,3)+0,SchLocTable!$A$2:$B$47,2,FALSE)</f>
        <v>FCW campus</v>
      </c>
      <c r="B4003" s="207" t="str">
        <f>VLOOKUP(VALUE(D4003),$D$3:F$106,3,FALSE)</f>
        <v>Custodians</v>
      </c>
      <c r="C4003" s="751" t="s">
        <v>246</v>
      </c>
      <c r="D4003" s="751" t="s">
        <v>991</v>
      </c>
      <c r="E4003" s="751" t="s">
        <v>1028</v>
      </c>
      <c r="F4003" s="751" t="s">
        <v>331</v>
      </c>
      <c r="G4003" s="752" t="s">
        <v>1681</v>
      </c>
      <c r="H4003" s="753">
        <v>52504</v>
      </c>
      <c r="I4003" s="754">
        <v>106851.44</v>
      </c>
      <c r="J4003" s="754">
        <v>0</v>
      </c>
      <c r="K4003" s="754">
        <v>0</v>
      </c>
      <c r="L4003" s="754">
        <v>31785.77</v>
      </c>
      <c r="M4003" s="754">
        <f t="shared" si="149"/>
        <v>31785.77</v>
      </c>
      <c r="N4003" s="756">
        <v>106851.44</v>
      </c>
      <c r="O4003" s="732">
        <f t="shared" si="151"/>
        <v>0</v>
      </c>
      <c r="P4003" s="204"/>
    </row>
    <row r="4004" spans="1:16" x14ac:dyDescent="0.25">
      <c r="A4004" s="207" t="str">
        <f>VLOOKUP(RIGHT(E4004,3)+0,SchLocTable!$A$2:$B$47,2,FALSE)</f>
        <v>FCW campus</v>
      </c>
      <c r="B4004" s="207" t="str">
        <f>VLOOKUP(VALUE(D4004),$D$3:F$106,3,FALSE)</f>
        <v>Custodians</v>
      </c>
      <c r="C4004" s="751" t="s">
        <v>246</v>
      </c>
      <c r="D4004" s="751" t="s">
        <v>991</v>
      </c>
      <c r="E4004" s="751" t="s">
        <v>1028</v>
      </c>
      <c r="F4004" s="751" t="s">
        <v>259</v>
      </c>
      <c r="G4004" s="752" t="s">
        <v>1681</v>
      </c>
      <c r="H4004" s="753">
        <v>52917</v>
      </c>
      <c r="I4004" s="754">
        <v>162796.78</v>
      </c>
      <c r="J4004" s="754">
        <v>0</v>
      </c>
      <c r="K4004" s="754">
        <v>0</v>
      </c>
      <c r="L4004" s="754">
        <v>49987.81</v>
      </c>
      <c r="M4004" s="754">
        <f t="shared" si="149"/>
        <v>49987.81</v>
      </c>
      <c r="N4004" s="756">
        <v>162796.78</v>
      </c>
      <c r="O4004" s="732">
        <f t="shared" si="151"/>
        <v>0</v>
      </c>
      <c r="P4004" s="204"/>
    </row>
    <row r="4005" spans="1:16" x14ac:dyDescent="0.25">
      <c r="A4005" s="207" t="str">
        <f>VLOOKUP(RIGHT(E4005,3)+0,SchLocTable!$A$2:$B$47,2,FALSE)</f>
        <v>FCW campus</v>
      </c>
      <c r="B4005" s="207" t="str">
        <f>VLOOKUP(VALUE(D4005),$D$3:F$106,3,FALSE)</f>
        <v>Custodians</v>
      </c>
      <c r="C4005" s="751" t="s">
        <v>246</v>
      </c>
      <c r="D4005" s="751" t="s">
        <v>991</v>
      </c>
      <c r="E4005" s="751" t="s">
        <v>1028</v>
      </c>
      <c r="F4005" s="751" t="s">
        <v>333</v>
      </c>
      <c r="G4005" s="752" t="s">
        <v>1681</v>
      </c>
      <c r="H4005" s="753">
        <v>52920</v>
      </c>
      <c r="I4005" s="754">
        <v>3750.02</v>
      </c>
      <c r="J4005" s="754">
        <v>0</v>
      </c>
      <c r="K4005" s="754">
        <v>0</v>
      </c>
      <c r="L4005" s="754">
        <v>0</v>
      </c>
      <c r="M4005" s="754">
        <f t="shared" si="149"/>
        <v>0</v>
      </c>
      <c r="N4005" s="756">
        <v>3750.02</v>
      </c>
      <c r="O4005" s="732">
        <f t="shared" si="151"/>
        <v>0</v>
      </c>
      <c r="P4005" s="204"/>
    </row>
    <row r="4006" spans="1:16" x14ac:dyDescent="0.25">
      <c r="A4006" s="207" t="e">
        <f>VLOOKUP(RIGHT(E4006,3)+0,SchLocTable!$A$2:$B$47,2,FALSE)</f>
        <v>#N/A</v>
      </c>
      <c r="B4006" s="207" t="str">
        <f>VLOOKUP(VALUE(D4006),$D$3:F$106,3,FALSE)</f>
        <v>PT Custodians</v>
      </c>
      <c r="C4006" s="751" t="s">
        <v>246</v>
      </c>
      <c r="D4006" s="751" t="s">
        <v>1029</v>
      </c>
      <c r="E4006" s="751" t="s">
        <v>1766</v>
      </c>
      <c r="F4006" s="751" t="s">
        <v>248</v>
      </c>
      <c r="G4006" s="752">
        <v>2</v>
      </c>
      <c r="H4006" s="753">
        <v>51000</v>
      </c>
      <c r="I4006" s="754">
        <v>50807.5</v>
      </c>
      <c r="J4006" s="754">
        <v>0</v>
      </c>
      <c r="K4006" s="754">
        <v>0</v>
      </c>
      <c r="L4006" s="754">
        <v>15512.5</v>
      </c>
      <c r="M4006" s="754">
        <f t="shared" si="149"/>
        <v>15512.5</v>
      </c>
      <c r="N4006" s="756">
        <v>50807.5</v>
      </c>
      <c r="O4006" s="732">
        <f t="shared" si="151"/>
        <v>0</v>
      </c>
      <c r="P4006" s="204"/>
    </row>
    <row r="4007" spans="1:16" x14ac:dyDescent="0.25">
      <c r="A4007" s="207" t="e">
        <f>VLOOKUP(RIGHT(E4007,3)+0,SchLocTable!$A$2:$B$47,2,FALSE)</f>
        <v>#N/A</v>
      </c>
      <c r="B4007" s="207" t="str">
        <f>VLOOKUP(VALUE(D4007),$D$3:F$106,3,FALSE)</f>
        <v>PT Custodians</v>
      </c>
      <c r="C4007" s="751" t="s">
        <v>246</v>
      </c>
      <c r="D4007" s="751" t="s">
        <v>1029</v>
      </c>
      <c r="E4007" s="751" t="s">
        <v>1766</v>
      </c>
      <c r="F4007" s="751" t="s">
        <v>254</v>
      </c>
      <c r="G4007" s="752" t="s">
        <v>1681</v>
      </c>
      <c r="H4007" s="753">
        <v>52360</v>
      </c>
      <c r="I4007" s="754">
        <v>736.71</v>
      </c>
      <c r="J4007" s="754">
        <v>0</v>
      </c>
      <c r="K4007" s="754">
        <v>0</v>
      </c>
      <c r="L4007" s="754">
        <v>224.93</v>
      </c>
      <c r="M4007" s="754">
        <f t="shared" si="149"/>
        <v>224.93</v>
      </c>
      <c r="N4007" s="756">
        <v>736.71</v>
      </c>
      <c r="O4007" s="732">
        <f t="shared" si="151"/>
        <v>0</v>
      </c>
      <c r="P4007" s="204"/>
    </row>
    <row r="4008" spans="1:16" x14ac:dyDescent="0.25">
      <c r="A4008" s="207" t="e">
        <f>VLOOKUP(RIGHT(E4008,3)+0,SchLocTable!$A$2:$B$47,2,FALSE)</f>
        <v>#N/A</v>
      </c>
      <c r="B4008" s="207" t="str">
        <f>VLOOKUP(VALUE(D4008),$D$3:F$106,3,FALSE)</f>
        <v>PT Custodians</v>
      </c>
      <c r="C4008" s="751" t="s">
        <v>246</v>
      </c>
      <c r="D4008" s="751" t="s">
        <v>1029</v>
      </c>
      <c r="E4008" s="751" t="s">
        <v>1766</v>
      </c>
      <c r="F4008" s="751" t="s">
        <v>292</v>
      </c>
      <c r="G4008" s="752" t="s">
        <v>1681</v>
      </c>
      <c r="H4008" s="753">
        <v>52385</v>
      </c>
      <c r="I4008" s="754">
        <v>1577.93</v>
      </c>
      <c r="J4008" s="754">
        <v>0</v>
      </c>
      <c r="K4008" s="754">
        <v>0</v>
      </c>
      <c r="L4008" s="754">
        <v>483.6</v>
      </c>
      <c r="M4008" s="754">
        <f t="shared" si="149"/>
        <v>483.6</v>
      </c>
      <c r="N4008" s="756">
        <v>1577.93</v>
      </c>
      <c r="O4008" s="732">
        <f t="shared" si="151"/>
        <v>0</v>
      </c>
      <c r="P4008" s="204"/>
    </row>
    <row r="4009" spans="1:16" x14ac:dyDescent="0.25">
      <c r="A4009" s="207" t="str">
        <f>VLOOKUP(RIGHT(E4009,3)+0,SchLocTable!$A$2:$B$47,2,FALSE)</f>
        <v>Hall</v>
      </c>
      <c r="B4009" s="207" t="str">
        <f>VLOOKUP(VALUE(D4009),$D$3:F$106,3,FALSE)</f>
        <v>PT Custodians</v>
      </c>
      <c r="C4009" s="751" t="s">
        <v>246</v>
      </c>
      <c r="D4009" s="751" t="s">
        <v>1029</v>
      </c>
      <c r="E4009" s="751" t="s">
        <v>1651</v>
      </c>
      <c r="F4009" s="751" t="s">
        <v>248</v>
      </c>
      <c r="G4009" s="752" t="s">
        <v>1681</v>
      </c>
      <c r="H4009" s="753">
        <v>51000</v>
      </c>
      <c r="I4009" s="754">
        <v>2450</v>
      </c>
      <c r="J4009" s="754">
        <v>0</v>
      </c>
      <c r="K4009" s="754">
        <v>0</v>
      </c>
      <c r="L4009" s="754">
        <v>2450</v>
      </c>
      <c r="M4009" s="754">
        <f t="shared" si="149"/>
        <v>2450</v>
      </c>
      <c r="N4009" s="756">
        <v>2450</v>
      </c>
      <c r="O4009" s="732">
        <f t="shared" si="151"/>
        <v>0</v>
      </c>
      <c r="P4009" s="204"/>
    </row>
    <row r="4010" spans="1:16" x14ac:dyDescent="0.25">
      <c r="A4010" s="207" t="str">
        <f>VLOOKUP(RIGHT(E4010,3)+0,SchLocTable!$A$2:$B$47,2,FALSE)</f>
        <v>Hall</v>
      </c>
      <c r="B4010" s="207" t="str">
        <f>VLOOKUP(VALUE(D4010),$D$3:F$106,3,FALSE)</f>
        <v>PT Custodians</v>
      </c>
      <c r="C4010" s="751" t="s">
        <v>246</v>
      </c>
      <c r="D4010" s="751" t="s">
        <v>1029</v>
      </c>
      <c r="E4010" s="751" t="s">
        <v>1651</v>
      </c>
      <c r="F4010" s="751" t="s">
        <v>254</v>
      </c>
      <c r="G4010" s="752" t="s">
        <v>1681</v>
      </c>
      <c r="H4010" s="753">
        <v>52360</v>
      </c>
      <c r="I4010" s="754">
        <v>35.53</v>
      </c>
      <c r="J4010" s="754">
        <v>0</v>
      </c>
      <c r="K4010" s="754">
        <v>0</v>
      </c>
      <c r="L4010" s="754">
        <v>35.53</v>
      </c>
      <c r="M4010" s="754">
        <f t="shared" si="149"/>
        <v>35.53</v>
      </c>
      <c r="N4010" s="756">
        <v>35.53</v>
      </c>
      <c r="O4010" s="732">
        <f t="shared" si="151"/>
        <v>0</v>
      </c>
      <c r="P4010" s="204"/>
    </row>
    <row r="4011" spans="1:16" x14ac:dyDescent="0.25">
      <c r="A4011" s="207" t="str">
        <f>VLOOKUP(RIGHT(E4011,3)+0,SchLocTable!$A$2:$B$47,2,FALSE)</f>
        <v>Hallen</v>
      </c>
      <c r="B4011" s="207" t="str">
        <f>VLOOKUP(VALUE(D4011),$D$3:F$106,3,FALSE)</f>
        <v>PT Custodians</v>
      </c>
      <c r="C4011" s="751" t="s">
        <v>246</v>
      </c>
      <c r="D4011" s="751" t="s">
        <v>1029</v>
      </c>
      <c r="E4011" s="751" t="s">
        <v>1030</v>
      </c>
      <c r="F4011" s="751" t="s">
        <v>248</v>
      </c>
      <c r="G4011" s="752">
        <v>1</v>
      </c>
      <c r="H4011" s="753">
        <v>51000</v>
      </c>
      <c r="I4011" s="754">
        <v>13518.76</v>
      </c>
      <c r="J4011" s="754">
        <v>0</v>
      </c>
      <c r="K4011" s="754">
        <v>0</v>
      </c>
      <c r="L4011" s="754">
        <v>4714.92</v>
      </c>
      <c r="M4011" s="754">
        <f t="shared" si="149"/>
        <v>4714.92</v>
      </c>
      <c r="N4011" s="756">
        <v>13518.76</v>
      </c>
      <c r="O4011" s="732">
        <f t="shared" si="151"/>
        <v>0</v>
      </c>
      <c r="P4011" s="204"/>
    </row>
    <row r="4012" spans="1:16" x14ac:dyDescent="0.25">
      <c r="A4012" s="207" t="str">
        <f>VLOOKUP(RIGHT(E4012,3)+0,SchLocTable!$A$2:$B$47,2,FALSE)</f>
        <v>Hallen</v>
      </c>
      <c r="B4012" s="207" t="str">
        <f>VLOOKUP(VALUE(D4012),$D$3:F$106,3,FALSE)</f>
        <v>PT Custodians</v>
      </c>
      <c r="C4012" s="751" t="s">
        <v>246</v>
      </c>
      <c r="D4012" s="751" t="s">
        <v>1029</v>
      </c>
      <c r="E4012" s="751" t="s">
        <v>1030</v>
      </c>
      <c r="F4012" s="751" t="s">
        <v>254</v>
      </c>
      <c r="G4012" s="752" t="s">
        <v>1681</v>
      </c>
      <c r="H4012" s="753">
        <v>52360</v>
      </c>
      <c r="I4012" s="754">
        <v>196.02</v>
      </c>
      <c r="J4012" s="754">
        <v>0</v>
      </c>
      <c r="K4012" s="754">
        <v>0</v>
      </c>
      <c r="L4012" s="754">
        <v>68.36</v>
      </c>
      <c r="M4012" s="754">
        <f t="shared" si="149"/>
        <v>68.36</v>
      </c>
      <c r="N4012" s="756">
        <v>196.02</v>
      </c>
      <c r="O4012" s="732">
        <f t="shared" si="151"/>
        <v>0</v>
      </c>
      <c r="P4012" s="204"/>
    </row>
    <row r="4013" spans="1:16" x14ac:dyDescent="0.25">
      <c r="A4013" s="207" t="str">
        <f>VLOOKUP(RIGHT(E4013,3)+0,SchLocTable!$A$2:$B$47,2,FALSE)</f>
        <v>Hallen</v>
      </c>
      <c r="B4013" s="207" t="str">
        <f>VLOOKUP(VALUE(D4013),$D$3:F$106,3,FALSE)</f>
        <v>PT Custodians</v>
      </c>
      <c r="C4013" s="751" t="s">
        <v>246</v>
      </c>
      <c r="D4013" s="751" t="s">
        <v>1029</v>
      </c>
      <c r="E4013" s="751" t="s">
        <v>1030</v>
      </c>
      <c r="F4013" s="751" t="s">
        <v>292</v>
      </c>
      <c r="G4013" s="752" t="s">
        <v>1681</v>
      </c>
      <c r="H4013" s="753">
        <v>52385</v>
      </c>
      <c r="I4013" s="754">
        <v>838.22</v>
      </c>
      <c r="J4013" s="754">
        <v>0</v>
      </c>
      <c r="K4013" s="754">
        <v>0</v>
      </c>
      <c r="L4013" s="754">
        <v>292.32</v>
      </c>
      <c r="M4013" s="754">
        <f t="shared" si="149"/>
        <v>292.32</v>
      </c>
      <c r="N4013" s="756">
        <v>838.22</v>
      </c>
      <c r="O4013" s="732">
        <f t="shared" si="151"/>
        <v>0</v>
      </c>
      <c r="P4013" s="204"/>
    </row>
    <row r="4014" spans="1:16" x14ac:dyDescent="0.25">
      <c r="A4014" s="207" t="str">
        <f>VLOOKUP(RIGHT(E4014,3)+0,SchLocTable!$A$2:$B$47,2,FALSE)</f>
        <v>BMA HS</v>
      </c>
      <c r="B4014" s="207" t="str">
        <f>VLOOKUP(VALUE(D4014),$D$3:F$106,3,FALSE)</f>
        <v>PT Custodians</v>
      </c>
      <c r="C4014" s="751" t="s">
        <v>246</v>
      </c>
      <c r="D4014" s="751" t="s">
        <v>1029</v>
      </c>
      <c r="E4014" s="751" t="s">
        <v>1031</v>
      </c>
      <c r="F4014" s="751" t="s">
        <v>248</v>
      </c>
      <c r="G4014" s="752">
        <v>1</v>
      </c>
      <c r="H4014" s="753">
        <v>51000</v>
      </c>
      <c r="I4014" s="754">
        <v>16514</v>
      </c>
      <c r="J4014" s="754">
        <v>0</v>
      </c>
      <c r="K4014" s="754">
        <v>0</v>
      </c>
      <c r="L4014" s="754">
        <v>4930</v>
      </c>
      <c r="M4014" s="754">
        <f t="shared" si="149"/>
        <v>4930</v>
      </c>
      <c r="N4014" s="756">
        <v>16514</v>
      </c>
      <c r="O4014" s="732">
        <f t="shared" si="151"/>
        <v>0</v>
      </c>
      <c r="P4014" s="204"/>
    </row>
    <row r="4015" spans="1:16" x14ac:dyDescent="0.25">
      <c r="A4015" s="207" t="str">
        <f>VLOOKUP(RIGHT(E4015,3)+0,SchLocTable!$A$2:$B$47,2,FALSE)</f>
        <v>BMA HS</v>
      </c>
      <c r="B4015" s="207" t="str">
        <f>VLOOKUP(VALUE(D4015),$D$3:F$106,3,FALSE)</f>
        <v>PT Custodians</v>
      </c>
      <c r="C4015" s="751" t="s">
        <v>246</v>
      </c>
      <c r="D4015" s="751" t="s">
        <v>1029</v>
      </c>
      <c r="E4015" s="751" t="s">
        <v>1031</v>
      </c>
      <c r="F4015" s="751" t="s">
        <v>254</v>
      </c>
      <c r="G4015" s="752" t="s">
        <v>1681</v>
      </c>
      <c r="H4015" s="753">
        <v>52360</v>
      </c>
      <c r="I4015" s="754">
        <v>239.45</v>
      </c>
      <c r="J4015" s="754">
        <v>0</v>
      </c>
      <c r="K4015" s="754">
        <v>0</v>
      </c>
      <c r="L4015" s="754">
        <v>71.48</v>
      </c>
      <c r="M4015" s="754">
        <f t="shared" si="149"/>
        <v>71.48</v>
      </c>
      <c r="N4015" s="756">
        <v>239.45</v>
      </c>
      <c r="O4015" s="732">
        <f t="shared" si="151"/>
        <v>0</v>
      </c>
      <c r="P4015" s="204"/>
    </row>
    <row r="4016" spans="1:16" x14ac:dyDescent="0.25">
      <c r="A4016" s="207" t="str">
        <f>VLOOKUP(RIGHT(E4016,3)+0,SchLocTable!$A$2:$B$47,2,FALSE)</f>
        <v>BMA HS</v>
      </c>
      <c r="B4016" s="207" t="str">
        <f>VLOOKUP(VALUE(D4016),$D$3:F$106,3,FALSE)</f>
        <v>PT Custodians</v>
      </c>
      <c r="C4016" s="751" t="s">
        <v>246</v>
      </c>
      <c r="D4016" s="751" t="s">
        <v>1029</v>
      </c>
      <c r="E4016" s="751" t="s">
        <v>1031</v>
      </c>
      <c r="F4016" s="751" t="s">
        <v>292</v>
      </c>
      <c r="G4016" s="752" t="s">
        <v>1681</v>
      </c>
      <c r="H4016" s="753">
        <v>52385</v>
      </c>
      <c r="I4016" s="754">
        <v>1023.87</v>
      </c>
      <c r="J4016" s="754">
        <v>0</v>
      </c>
      <c r="K4016" s="754">
        <v>0</v>
      </c>
      <c r="L4016" s="754">
        <v>305.66000000000003</v>
      </c>
      <c r="M4016" s="754">
        <f t="shared" si="149"/>
        <v>305.66000000000003</v>
      </c>
      <c r="N4016" s="756">
        <v>1023.87</v>
      </c>
      <c r="O4016" s="732">
        <f t="shared" si="151"/>
        <v>0</v>
      </c>
      <c r="P4016" s="204"/>
    </row>
    <row r="4017" spans="1:18" x14ac:dyDescent="0.25">
      <c r="A4017" s="207" t="str">
        <f>VLOOKUP(RIGHT(E4017,3)+0,SchLocTable!$A$2:$B$47,2,FALSE)</f>
        <v>Madison</v>
      </c>
      <c r="B4017" s="207" t="str">
        <f>VLOOKUP(VALUE(D4017),$D$3:F$106,3,FALSE)</f>
        <v>PT Custodians</v>
      </c>
      <c r="C4017" s="751" t="s">
        <v>246</v>
      </c>
      <c r="D4017" s="751" t="s">
        <v>1029</v>
      </c>
      <c r="E4017" s="751" t="s">
        <v>1888</v>
      </c>
      <c r="F4017" s="751" t="s">
        <v>248</v>
      </c>
      <c r="G4017" s="752">
        <v>2</v>
      </c>
      <c r="H4017" s="753">
        <v>51000</v>
      </c>
      <c r="I4017" s="754">
        <v>0</v>
      </c>
      <c r="J4017" s="754">
        <v>0</v>
      </c>
      <c r="K4017" s="754">
        <v>0</v>
      </c>
      <c r="L4017" s="754">
        <v>0</v>
      </c>
      <c r="M4017" s="754">
        <f t="shared" si="149"/>
        <v>0</v>
      </c>
      <c r="N4017" s="756">
        <v>0</v>
      </c>
      <c r="O4017" s="732">
        <f t="shared" si="151"/>
        <v>0</v>
      </c>
      <c r="P4017" s="204"/>
    </row>
    <row r="4018" spans="1:18" x14ac:dyDescent="0.25">
      <c r="A4018" s="207" t="str">
        <f>VLOOKUP(RIGHT(E4018,3)+0,SchLocTable!$A$2:$B$47,2,FALSE)</f>
        <v>Madison</v>
      </c>
      <c r="B4018" s="207" t="str">
        <f>VLOOKUP(VALUE(D4018),$D$3:F$106,3,FALSE)</f>
        <v>PT Custodians</v>
      </c>
      <c r="C4018" s="751" t="s">
        <v>246</v>
      </c>
      <c r="D4018" s="751" t="s">
        <v>1029</v>
      </c>
      <c r="E4018" s="751" t="s">
        <v>1888</v>
      </c>
      <c r="F4018" s="751" t="s">
        <v>254</v>
      </c>
      <c r="G4018" s="752" t="s">
        <v>1681</v>
      </c>
      <c r="H4018" s="753">
        <v>52360</v>
      </c>
      <c r="I4018" s="754">
        <v>0</v>
      </c>
      <c r="J4018" s="754">
        <v>0</v>
      </c>
      <c r="K4018" s="754">
        <v>0</v>
      </c>
      <c r="L4018" s="754">
        <v>0</v>
      </c>
      <c r="M4018" s="754">
        <f t="shared" si="149"/>
        <v>0</v>
      </c>
      <c r="N4018" s="756">
        <v>0</v>
      </c>
      <c r="O4018" s="732">
        <f t="shared" si="151"/>
        <v>0</v>
      </c>
      <c r="P4018" s="204"/>
    </row>
    <row r="4019" spans="1:18" x14ac:dyDescent="0.25">
      <c r="A4019" s="207" t="str">
        <f>VLOOKUP(RIGHT(E4019,3)+0,SchLocTable!$A$2:$B$47,2,FALSE)</f>
        <v>Madison</v>
      </c>
      <c r="B4019" s="207" t="str">
        <f>VLOOKUP(VALUE(D4019),$D$3:F$106,3,FALSE)</f>
        <v>PT Custodians</v>
      </c>
      <c r="C4019" s="751" t="s">
        <v>246</v>
      </c>
      <c r="D4019" s="751" t="s">
        <v>1029</v>
      </c>
      <c r="E4019" s="751" t="s">
        <v>1888</v>
      </c>
      <c r="F4019" s="751" t="s">
        <v>292</v>
      </c>
      <c r="G4019" s="752" t="s">
        <v>1681</v>
      </c>
      <c r="H4019" s="753">
        <v>52385</v>
      </c>
      <c r="I4019" s="754">
        <v>0</v>
      </c>
      <c r="J4019" s="754">
        <v>0</v>
      </c>
      <c r="K4019" s="754">
        <v>0</v>
      </c>
      <c r="L4019" s="754">
        <v>0</v>
      </c>
      <c r="M4019" s="754">
        <f t="shared" si="149"/>
        <v>0</v>
      </c>
      <c r="N4019" s="756">
        <v>0</v>
      </c>
      <c r="O4019" s="732">
        <f t="shared" si="151"/>
        <v>0</v>
      </c>
      <c r="P4019" s="204"/>
    </row>
    <row r="4020" spans="1:18" x14ac:dyDescent="0.25">
      <c r="A4020" s="207" t="str">
        <f>VLOOKUP(RIGHT(E4020,3)+0,SchLocTable!$A$2:$B$47,2,FALSE)</f>
        <v>Tisdale</v>
      </c>
      <c r="B4020" s="207" t="str">
        <f>VLOOKUP(VALUE(D4020),$D$3:F$106,3,FALSE)</f>
        <v>PT Custodians</v>
      </c>
      <c r="C4020" s="751" t="s">
        <v>246</v>
      </c>
      <c r="D4020" s="751" t="s">
        <v>1029</v>
      </c>
      <c r="E4020" s="751" t="s">
        <v>1889</v>
      </c>
      <c r="F4020" s="751" t="s">
        <v>248</v>
      </c>
      <c r="G4020" s="752" t="s">
        <v>1681</v>
      </c>
      <c r="H4020" s="753">
        <v>51000</v>
      </c>
      <c r="I4020" s="754">
        <v>0</v>
      </c>
      <c r="J4020" s="754">
        <v>0</v>
      </c>
      <c r="K4020" s="754">
        <v>0</v>
      </c>
      <c r="L4020" s="754">
        <v>0</v>
      </c>
      <c r="M4020" s="754">
        <f t="shared" si="149"/>
        <v>0</v>
      </c>
      <c r="N4020" s="756">
        <v>0</v>
      </c>
      <c r="O4020" s="732">
        <f t="shared" si="151"/>
        <v>0</v>
      </c>
    </row>
    <row r="4021" spans="1:18" x14ac:dyDescent="0.25">
      <c r="A4021" s="207" t="str">
        <f>VLOOKUP(RIGHT(E4021,3)+0,SchLocTable!$A$2:$B$47,2,FALSE)</f>
        <v>Tisdale</v>
      </c>
      <c r="B4021" s="207" t="str">
        <f>VLOOKUP(VALUE(D4021),$D$3:F$106,3,FALSE)</f>
        <v>PT Custodians</v>
      </c>
      <c r="C4021" s="751" t="s">
        <v>246</v>
      </c>
      <c r="D4021" s="751" t="s">
        <v>1029</v>
      </c>
      <c r="E4021" s="751" t="s">
        <v>1889</v>
      </c>
      <c r="F4021" s="751" t="s">
        <v>254</v>
      </c>
      <c r="G4021" s="752" t="s">
        <v>1681</v>
      </c>
      <c r="H4021" s="753">
        <v>52360</v>
      </c>
      <c r="I4021" s="754">
        <v>0</v>
      </c>
      <c r="J4021" s="754">
        <v>0</v>
      </c>
      <c r="K4021" s="754">
        <v>0</v>
      </c>
      <c r="L4021" s="754">
        <v>0</v>
      </c>
      <c r="M4021" s="754">
        <f t="shared" si="149"/>
        <v>0</v>
      </c>
      <c r="N4021" s="756">
        <v>0</v>
      </c>
      <c r="O4021" s="732">
        <f t="shared" si="151"/>
        <v>0</v>
      </c>
    </row>
    <row r="4022" spans="1:18" x14ac:dyDescent="0.25">
      <c r="A4022" s="207" t="str">
        <f>VLOOKUP(RIGHT(E4022,3)+0,SchLocTable!$A$2:$B$47,2,FALSE)</f>
        <v>Claytor</v>
      </c>
      <c r="B4022" s="207" t="str">
        <f>VLOOKUP(VALUE(D4022),$D$3:F$106,3,FALSE)</f>
        <v>PT Custodians</v>
      </c>
      <c r="C4022" s="751" t="s">
        <v>246</v>
      </c>
      <c r="D4022" s="751" t="s">
        <v>1029</v>
      </c>
      <c r="E4022" s="751" t="s">
        <v>1890</v>
      </c>
      <c r="F4022" s="751" t="s">
        <v>248</v>
      </c>
      <c r="G4022" s="752" t="s">
        <v>1681</v>
      </c>
      <c r="H4022" s="753">
        <v>51000</v>
      </c>
      <c r="I4022" s="754">
        <v>0</v>
      </c>
      <c r="J4022" s="754">
        <v>0</v>
      </c>
      <c r="K4022" s="754">
        <v>0</v>
      </c>
      <c r="L4022" s="754">
        <v>0</v>
      </c>
      <c r="M4022" s="754">
        <f t="shared" si="149"/>
        <v>0</v>
      </c>
      <c r="N4022" s="756">
        <v>0</v>
      </c>
      <c r="O4022" s="732">
        <f t="shared" si="151"/>
        <v>0</v>
      </c>
    </row>
    <row r="4023" spans="1:18" ht="19.149999999999999" customHeight="1" x14ac:dyDescent="0.25">
      <c r="A4023" s="207" t="str">
        <f>VLOOKUP(RIGHT(E4023,3)+0,SchLocTable!$A$2:$B$47,2,FALSE)</f>
        <v>Claytor</v>
      </c>
      <c r="B4023" s="207" t="str">
        <f>VLOOKUP(VALUE(D4023),$D$3:F$106,3,FALSE)</f>
        <v>PT Custodians</v>
      </c>
      <c r="C4023" s="751" t="s">
        <v>246</v>
      </c>
      <c r="D4023" s="751" t="s">
        <v>1029</v>
      </c>
      <c r="E4023" s="751" t="s">
        <v>1890</v>
      </c>
      <c r="F4023" s="751" t="s">
        <v>254</v>
      </c>
      <c r="G4023" s="752" t="s">
        <v>1681</v>
      </c>
      <c r="H4023" s="753">
        <v>52360</v>
      </c>
      <c r="I4023" s="754">
        <v>0</v>
      </c>
      <c r="J4023" s="754">
        <v>0</v>
      </c>
      <c r="K4023" s="754">
        <v>0</v>
      </c>
      <c r="L4023" s="754">
        <v>0</v>
      </c>
      <c r="M4023" s="754">
        <f t="shared" si="149"/>
        <v>0</v>
      </c>
      <c r="N4023" s="756">
        <v>0</v>
      </c>
      <c r="O4023" s="732">
        <f t="shared" si="151"/>
        <v>0</v>
      </c>
    </row>
    <row r="4024" spans="1:18" ht="19.149999999999999" customHeight="1" x14ac:dyDescent="0.25">
      <c r="A4024" s="207" t="str">
        <f>VLOOKUP(RIGHT(E4024,3)+0,SchLocTable!$A$2:$B$47,2,FALSE)</f>
        <v>Claytor</v>
      </c>
      <c r="B4024" s="207" t="str">
        <f>VLOOKUP(VALUE(D4024),$D$3:F$106,3,FALSE)</f>
        <v>PT Custodians</v>
      </c>
      <c r="C4024" s="751" t="s">
        <v>246</v>
      </c>
      <c r="D4024" s="751" t="s">
        <v>1029</v>
      </c>
      <c r="E4024" s="751" t="s">
        <v>1890</v>
      </c>
      <c r="F4024" s="751" t="s">
        <v>292</v>
      </c>
      <c r="G4024" s="752" t="s">
        <v>1681</v>
      </c>
      <c r="H4024" s="753">
        <v>52385</v>
      </c>
      <c r="I4024" s="754">
        <v>0</v>
      </c>
      <c r="J4024" s="754">
        <v>0</v>
      </c>
      <c r="K4024" s="754">
        <v>0</v>
      </c>
      <c r="L4024" s="754">
        <v>0</v>
      </c>
      <c r="M4024" s="754">
        <f t="shared" si="149"/>
        <v>0</v>
      </c>
      <c r="N4024" s="756">
        <v>0</v>
      </c>
      <c r="O4024" s="732">
        <f t="shared" si="151"/>
        <v>0</v>
      </c>
    </row>
    <row r="4025" spans="1:18" x14ac:dyDescent="0.25">
      <c r="A4025" s="207" t="str">
        <f>VLOOKUP(RIGHT(E4025,3)+0,SchLocTable!$A$2:$B$47,2,FALSE)</f>
        <v>Bassick HS</v>
      </c>
      <c r="B4025" s="207" t="str">
        <f>VLOOKUP(VALUE(D4025),$D$3:F$106,3,FALSE)</f>
        <v>PT Custodians</v>
      </c>
      <c r="C4025" s="751" t="s">
        <v>246</v>
      </c>
      <c r="D4025" s="751" t="s">
        <v>1029</v>
      </c>
      <c r="E4025" s="751" t="s">
        <v>1652</v>
      </c>
      <c r="F4025" s="751" t="s">
        <v>248</v>
      </c>
      <c r="G4025" s="752" t="s">
        <v>1681</v>
      </c>
      <c r="H4025" s="753">
        <v>51000</v>
      </c>
      <c r="I4025" s="754">
        <v>0</v>
      </c>
      <c r="J4025" s="754">
        <v>0</v>
      </c>
      <c r="K4025" s="754">
        <v>0</v>
      </c>
      <c r="L4025" s="754">
        <v>0</v>
      </c>
      <c r="M4025" s="754">
        <f t="shared" si="149"/>
        <v>0</v>
      </c>
      <c r="N4025" s="756">
        <v>0</v>
      </c>
      <c r="O4025" s="732">
        <f t="shared" si="151"/>
        <v>0</v>
      </c>
      <c r="R4025" s="642"/>
    </row>
    <row r="4026" spans="1:18" x14ac:dyDescent="0.25">
      <c r="A4026" s="207" t="str">
        <f>VLOOKUP(RIGHT(E4026,3)+0,SchLocTable!$A$2:$B$47,2,FALSE)</f>
        <v>Bassick HS</v>
      </c>
      <c r="B4026" s="207" t="str">
        <f>VLOOKUP(VALUE(D4026),$D$3:F$106,3,FALSE)</f>
        <v>PT Custodians</v>
      </c>
      <c r="C4026" s="751" t="s">
        <v>246</v>
      </c>
      <c r="D4026" s="751" t="s">
        <v>1029</v>
      </c>
      <c r="E4026" s="751" t="s">
        <v>1652</v>
      </c>
      <c r="F4026" s="751" t="s">
        <v>254</v>
      </c>
      <c r="G4026" s="752" t="s">
        <v>1681</v>
      </c>
      <c r="H4026" s="753">
        <v>52360</v>
      </c>
      <c r="I4026" s="754">
        <v>0</v>
      </c>
      <c r="J4026" s="754">
        <v>0</v>
      </c>
      <c r="K4026" s="754">
        <v>0</v>
      </c>
      <c r="L4026" s="754">
        <v>0</v>
      </c>
      <c r="M4026" s="754">
        <f t="shared" si="149"/>
        <v>0</v>
      </c>
      <c r="N4026" s="756">
        <v>0</v>
      </c>
      <c r="O4026" s="732">
        <f t="shared" si="151"/>
        <v>0</v>
      </c>
      <c r="R4026" s="642"/>
    </row>
    <row r="4027" spans="1:18" x14ac:dyDescent="0.25">
      <c r="A4027" s="207" t="e">
        <f>VLOOKUP(RIGHT(E4027,3)+0,SchLocTable!$A$2:$B$47,2,FALSE)</f>
        <v>#N/A</v>
      </c>
      <c r="B4027" s="207" t="str">
        <f>VLOOKUP(VALUE(D4027),$D$3:F$106,3,FALSE)</f>
        <v>Fringe Janitors &amp; Engineer Ret</v>
      </c>
      <c r="C4027" s="751" t="s">
        <v>246</v>
      </c>
      <c r="D4027" s="751" t="s">
        <v>1032</v>
      </c>
      <c r="E4027" s="751" t="s">
        <v>1033</v>
      </c>
      <c r="F4027" s="751" t="s">
        <v>1034</v>
      </c>
      <c r="G4027" s="752" t="s">
        <v>1681</v>
      </c>
      <c r="H4027" s="753">
        <v>52516</v>
      </c>
      <c r="I4027" s="754">
        <v>372928.76</v>
      </c>
      <c r="J4027" s="754">
        <v>0</v>
      </c>
      <c r="K4027" s="754">
        <v>0</v>
      </c>
      <c r="L4027" s="754">
        <v>89680.54</v>
      </c>
      <c r="M4027" s="754">
        <f t="shared" si="149"/>
        <v>89680.54</v>
      </c>
      <c r="N4027" s="756">
        <v>372928.76</v>
      </c>
      <c r="O4027" s="732">
        <f t="shared" si="151"/>
        <v>0</v>
      </c>
      <c r="P4027"/>
      <c r="Q4027"/>
      <c r="R4027" s="642"/>
    </row>
    <row r="4028" spans="1:18" x14ac:dyDescent="0.25">
      <c r="A4028" s="207" t="e">
        <f>VLOOKUP(RIGHT(E4028,3)+0,SchLocTable!$A$2:$B$47,2,FALSE)</f>
        <v>#N/A</v>
      </c>
      <c r="B4028" s="207" t="str">
        <f>VLOOKUP(VALUE(D4028),$D$3:F$106,3,FALSE)</f>
        <v>Custodial Services</v>
      </c>
      <c r="C4028" s="751" t="s">
        <v>246</v>
      </c>
      <c r="D4028" s="751" t="s">
        <v>1035</v>
      </c>
      <c r="E4028" s="751" t="s">
        <v>1036</v>
      </c>
      <c r="F4028" s="751" t="s">
        <v>1037</v>
      </c>
      <c r="G4028" s="752" t="s">
        <v>1681</v>
      </c>
      <c r="H4028" s="753">
        <v>54545</v>
      </c>
      <c r="I4028" s="754">
        <v>76938.77</v>
      </c>
      <c r="J4028" s="754">
        <v>3731.53</v>
      </c>
      <c r="K4028" s="754">
        <v>799.5</v>
      </c>
      <c r="L4028" s="754">
        <v>-34258.11</v>
      </c>
      <c r="M4028" s="754">
        <f t="shared" si="149"/>
        <v>-29727.08</v>
      </c>
      <c r="N4028" s="756">
        <v>76938.77</v>
      </c>
      <c r="O4028" s="732">
        <f t="shared" si="151"/>
        <v>0</v>
      </c>
    </row>
    <row r="4029" spans="1:18" x14ac:dyDescent="0.25">
      <c r="A4029" s="207" t="e">
        <f>VLOOKUP(RIGHT(E4029,3)+0,SchLocTable!$A$2:$B$47,2,FALSE)</f>
        <v>#N/A</v>
      </c>
      <c r="B4029" s="207" t="str">
        <f>VLOOKUP(VALUE(D4029),$D$3:F$106,3,FALSE)</f>
        <v>Custodial Services</v>
      </c>
      <c r="C4029" s="751" t="s">
        <v>246</v>
      </c>
      <c r="D4029" s="751" t="s">
        <v>1035</v>
      </c>
      <c r="E4029" s="751" t="s">
        <v>1036</v>
      </c>
      <c r="F4029" s="751" t="s">
        <v>865</v>
      </c>
      <c r="G4029" s="752" t="s">
        <v>1681</v>
      </c>
      <c r="H4029" s="753">
        <v>54720</v>
      </c>
      <c r="I4029" s="754">
        <v>68379.25</v>
      </c>
      <c r="J4029" s="754">
        <v>0</v>
      </c>
      <c r="K4029" s="754">
        <v>0</v>
      </c>
      <c r="L4029" s="754">
        <v>6539.28</v>
      </c>
      <c r="M4029" s="754">
        <f t="shared" si="149"/>
        <v>6539.28</v>
      </c>
      <c r="N4029" s="756">
        <v>68379.25</v>
      </c>
      <c r="O4029" s="732">
        <f t="shared" si="151"/>
        <v>0</v>
      </c>
      <c r="P4029"/>
      <c r="Q4029"/>
    </row>
    <row r="4030" spans="1:18" x14ac:dyDescent="0.25">
      <c r="A4030" s="207" t="e">
        <f>VLOOKUP(RIGHT(E4030,3)+0,SchLocTable!$A$2:$B$47,2,FALSE)</f>
        <v>#N/A</v>
      </c>
      <c r="B4030" s="207" t="str">
        <f>VLOOKUP(VALUE(D4030),$D$3:F$106,3,FALSE)</f>
        <v>Custodial Services</v>
      </c>
      <c r="C4030" s="751" t="s">
        <v>246</v>
      </c>
      <c r="D4030" s="751" t="s">
        <v>1035</v>
      </c>
      <c r="E4030" s="751" t="s">
        <v>1036</v>
      </c>
      <c r="F4030" s="751" t="s">
        <v>783</v>
      </c>
      <c r="G4030" s="752" t="s">
        <v>1681</v>
      </c>
      <c r="H4030" s="753">
        <v>54745</v>
      </c>
      <c r="I4030" s="754">
        <v>50100</v>
      </c>
      <c r="J4030" s="754">
        <v>45981</v>
      </c>
      <c r="K4030" s="754">
        <v>0</v>
      </c>
      <c r="L4030" s="754">
        <v>1199</v>
      </c>
      <c r="M4030" s="754">
        <f t="shared" si="149"/>
        <v>47180</v>
      </c>
      <c r="N4030" s="756">
        <v>50100</v>
      </c>
      <c r="O4030" s="732">
        <f t="shared" si="151"/>
        <v>0</v>
      </c>
      <c r="P4030"/>
      <c r="Q4030"/>
    </row>
    <row r="4031" spans="1:18" x14ac:dyDescent="0.25">
      <c r="A4031" s="207" t="e">
        <f>VLOOKUP(RIGHT(E4031,3)+0,SchLocTable!$A$2:$B$47,2,FALSE)</f>
        <v>#N/A</v>
      </c>
      <c r="B4031" s="207" t="str">
        <f>VLOOKUP(VALUE(D4031),$D$3:F$106,3,FALSE)</f>
        <v>Custodial Services</v>
      </c>
      <c r="C4031" s="751" t="s">
        <v>246</v>
      </c>
      <c r="D4031" s="751" t="s">
        <v>1035</v>
      </c>
      <c r="E4031" s="751" t="s">
        <v>1036</v>
      </c>
      <c r="F4031" s="751" t="s">
        <v>2147</v>
      </c>
      <c r="G4031" s="752" t="s">
        <v>1681</v>
      </c>
      <c r="H4031" s="753">
        <v>55050</v>
      </c>
      <c r="I4031" s="754">
        <v>0</v>
      </c>
      <c r="J4031" s="754">
        <v>0</v>
      </c>
      <c r="K4031" s="754">
        <v>0</v>
      </c>
      <c r="L4031" s="754">
        <v>0</v>
      </c>
      <c r="M4031" s="754">
        <f t="shared" ref="M4031:M4077" si="152">SUM(J4031:L4031)</f>
        <v>0</v>
      </c>
      <c r="N4031" s="756">
        <v>0</v>
      </c>
      <c r="O4031" s="732">
        <f t="shared" si="151"/>
        <v>0</v>
      </c>
    </row>
    <row r="4032" spans="1:18" x14ac:dyDescent="0.25">
      <c r="A4032" s="207" t="e">
        <f>VLOOKUP(RIGHT(E4032,3)+0,SchLocTable!$A$2:$B$47,2,FALSE)</f>
        <v>#N/A</v>
      </c>
      <c r="B4032" s="207" t="str">
        <f>VLOOKUP(VALUE(D4032),$D$3:F$106,3,FALSE)</f>
        <v>Custodial Services</v>
      </c>
      <c r="C4032" s="751" t="s">
        <v>246</v>
      </c>
      <c r="D4032" s="751" t="s">
        <v>1035</v>
      </c>
      <c r="E4032" s="751" t="s">
        <v>1036</v>
      </c>
      <c r="F4032" s="751" t="s">
        <v>1039</v>
      </c>
      <c r="G4032" s="752" t="s">
        <v>1681</v>
      </c>
      <c r="H4032" s="753">
        <v>55165</v>
      </c>
      <c r="I4032" s="754">
        <v>9586.9599999999991</v>
      </c>
      <c r="J4032" s="754">
        <v>2340</v>
      </c>
      <c r="K4032" s="754">
        <v>0</v>
      </c>
      <c r="L4032" s="754">
        <v>3391.8</v>
      </c>
      <c r="M4032" s="754">
        <f t="shared" si="152"/>
        <v>5731.8</v>
      </c>
      <c r="N4032" s="756">
        <v>9586.9599999999991</v>
      </c>
      <c r="O4032" s="732">
        <f t="shared" ref="O4032:O4063" si="153">I4032-N4032</f>
        <v>0</v>
      </c>
    </row>
    <row r="4033" spans="1:15" x14ac:dyDescent="0.25">
      <c r="A4033" s="207" t="e">
        <f>VLOOKUP(RIGHT(E4033,3)+0,SchLocTable!$A$2:$B$47,2,FALSE)</f>
        <v>#N/A</v>
      </c>
      <c r="B4033" s="207" t="str">
        <f>VLOOKUP(VALUE(D4033),$D$3:F$106,3,FALSE)</f>
        <v>Custodial Services</v>
      </c>
      <c r="C4033" s="751" t="s">
        <v>246</v>
      </c>
      <c r="D4033" s="751" t="s">
        <v>1035</v>
      </c>
      <c r="E4033" s="751" t="s">
        <v>1036</v>
      </c>
      <c r="F4033" s="751" t="s">
        <v>766</v>
      </c>
      <c r="G4033" s="752" t="s">
        <v>1681</v>
      </c>
      <c r="H4033" s="753">
        <v>56170</v>
      </c>
      <c r="I4033" s="754">
        <v>25567.4</v>
      </c>
      <c r="J4033" s="754">
        <v>1597.74</v>
      </c>
      <c r="K4033" s="754">
        <v>0</v>
      </c>
      <c r="L4033" s="754">
        <v>9402.26</v>
      </c>
      <c r="M4033" s="754">
        <f t="shared" si="152"/>
        <v>11000</v>
      </c>
      <c r="N4033" s="756">
        <v>25567.4</v>
      </c>
      <c r="O4033" s="732">
        <f t="shared" si="153"/>
        <v>0</v>
      </c>
    </row>
    <row r="4034" spans="1:15" x14ac:dyDescent="0.25">
      <c r="A4034" s="207" t="e">
        <f>VLOOKUP(RIGHT(E4034,3)+0,SchLocTable!$A$2:$B$47,2,FALSE)</f>
        <v>#N/A</v>
      </c>
      <c r="B4034" s="207" t="str">
        <f>VLOOKUP(VALUE(D4034),$D$3:F$106,3,FALSE)</f>
        <v>Utilities</v>
      </c>
      <c r="C4034" s="751" t="s">
        <v>246</v>
      </c>
      <c r="D4034" s="751" t="s">
        <v>1040</v>
      </c>
      <c r="E4034" s="751" t="s">
        <v>1041</v>
      </c>
      <c r="F4034" s="751" t="s">
        <v>1042</v>
      </c>
      <c r="G4034" s="752" t="s">
        <v>1681</v>
      </c>
      <c r="H4034" s="753">
        <v>53110</v>
      </c>
      <c r="I4034" s="754">
        <v>300000</v>
      </c>
      <c r="J4034" s="754">
        <v>236746.7</v>
      </c>
      <c r="K4034" s="754">
        <v>0</v>
      </c>
      <c r="L4034" s="754">
        <v>63253.3</v>
      </c>
      <c r="M4034" s="754">
        <f t="shared" si="152"/>
        <v>300000</v>
      </c>
      <c r="N4034" s="756">
        <v>300000</v>
      </c>
      <c r="O4034" s="732">
        <f t="shared" si="153"/>
        <v>0</v>
      </c>
    </row>
    <row r="4035" spans="1:15" x14ac:dyDescent="0.25">
      <c r="A4035" s="207" t="e">
        <f>VLOOKUP(RIGHT(E4035,3)+0,SchLocTable!$A$2:$B$47,2,FALSE)</f>
        <v>#N/A</v>
      </c>
      <c r="B4035" s="207" t="str">
        <f>VLOOKUP(VALUE(D4035),$D$3:F$106,3,FALSE)</f>
        <v>Utilities</v>
      </c>
      <c r="C4035" s="751" t="s">
        <v>246</v>
      </c>
      <c r="D4035" s="751" t="s">
        <v>1040</v>
      </c>
      <c r="E4035" s="751" t="s">
        <v>1041</v>
      </c>
      <c r="F4035" s="751" t="s">
        <v>1044</v>
      </c>
      <c r="G4035" s="752" t="s">
        <v>1681</v>
      </c>
      <c r="H4035" s="753">
        <v>53120</v>
      </c>
      <c r="I4035" s="754">
        <v>250000</v>
      </c>
      <c r="J4035" s="754">
        <v>174742.45</v>
      </c>
      <c r="K4035" s="754">
        <v>0</v>
      </c>
      <c r="L4035" s="754">
        <v>71483.490000000005</v>
      </c>
      <c r="M4035" s="754">
        <f t="shared" si="152"/>
        <v>246225.94</v>
      </c>
      <c r="N4035" s="756">
        <v>250000</v>
      </c>
      <c r="O4035" s="732">
        <f t="shared" si="153"/>
        <v>0</v>
      </c>
    </row>
    <row r="4036" spans="1:15" x14ac:dyDescent="0.25">
      <c r="A4036" s="207" t="e">
        <f>VLOOKUP(RIGHT(E4036,3)+0,SchLocTable!$A$2:$B$47,2,FALSE)</f>
        <v>#N/A</v>
      </c>
      <c r="B4036" s="207" t="str">
        <f>VLOOKUP(VALUE(D4036),$D$3:F$106,3,FALSE)</f>
        <v>Utilities</v>
      </c>
      <c r="C4036" s="751" t="s">
        <v>246</v>
      </c>
      <c r="D4036" s="751" t="s">
        <v>1040</v>
      </c>
      <c r="E4036" s="751" t="s">
        <v>1041</v>
      </c>
      <c r="F4036" s="751" t="s">
        <v>1046</v>
      </c>
      <c r="G4036" s="752" t="s">
        <v>1681</v>
      </c>
      <c r="H4036" s="753">
        <v>53130</v>
      </c>
      <c r="I4036" s="754">
        <v>2000000</v>
      </c>
      <c r="J4036" s="754">
        <v>63939.48</v>
      </c>
      <c r="K4036" s="754">
        <v>0</v>
      </c>
      <c r="L4036" s="754">
        <v>1011060.51</v>
      </c>
      <c r="M4036" s="754">
        <f t="shared" si="152"/>
        <v>1074999.99</v>
      </c>
      <c r="N4036" s="756">
        <f>3190823.14-1190823.14</f>
        <v>2000000.0000000002</v>
      </c>
      <c r="O4036" s="732">
        <f t="shared" si="153"/>
        <v>0</v>
      </c>
    </row>
    <row r="4037" spans="1:15" x14ac:dyDescent="0.25">
      <c r="A4037" s="207" t="e">
        <f>VLOOKUP(RIGHT(E4037,3)+0,SchLocTable!$A$2:$B$47,2,FALSE)</f>
        <v>#N/A</v>
      </c>
      <c r="B4037" s="207" t="str">
        <f>VLOOKUP(VALUE(D4037),$D$3:F$106,3,FALSE)</f>
        <v>Utilities</v>
      </c>
      <c r="C4037" s="751" t="s">
        <v>246</v>
      </c>
      <c r="D4037" s="751" t="s">
        <v>1040</v>
      </c>
      <c r="E4037" s="751" t="s">
        <v>1041</v>
      </c>
      <c r="F4037" s="751" t="s">
        <v>1048</v>
      </c>
      <c r="G4037" s="752" t="s">
        <v>1681</v>
      </c>
      <c r="H4037" s="753">
        <v>53140</v>
      </c>
      <c r="I4037" s="754">
        <v>999999.99</v>
      </c>
      <c r="J4037" s="754">
        <v>862227.95</v>
      </c>
      <c r="K4037" s="754">
        <v>0</v>
      </c>
      <c r="L4037" s="754">
        <v>132015.4</v>
      </c>
      <c r="M4037" s="754">
        <f t="shared" si="152"/>
        <v>994243.35</v>
      </c>
      <c r="N4037" s="756">
        <v>999999.99</v>
      </c>
      <c r="O4037" s="732">
        <f t="shared" si="153"/>
        <v>0</v>
      </c>
    </row>
    <row r="4038" spans="1:15" x14ac:dyDescent="0.25">
      <c r="A4038" s="207" t="e">
        <f>VLOOKUP(RIGHT(E4038,3)+0,SchLocTable!$A$2:$B$47,2,FALSE)</f>
        <v>#N/A</v>
      </c>
      <c r="B4038" s="207" t="str">
        <f>VLOOKUP(VALUE(D4038),$D$3:F$106,3,FALSE)</f>
        <v>Utilities</v>
      </c>
      <c r="C4038" s="751" t="s">
        <v>246</v>
      </c>
      <c r="D4038" s="751" t="s">
        <v>1040</v>
      </c>
      <c r="E4038" s="751" t="s">
        <v>1041</v>
      </c>
      <c r="F4038" s="751" t="s">
        <v>1050</v>
      </c>
      <c r="G4038" s="752" t="s">
        <v>1681</v>
      </c>
      <c r="H4038" s="753">
        <v>54620</v>
      </c>
      <c r="I4038" s="754">
        <v>8500</v>
      </c>
      <c r="J4038" s="754">
        <v>0</v>
      </c>
      <c r="K4038" s="754">
        <v>0</v>
      </c>
      <c r="L4038" s="754">
        <v>0</v>
      </c>
      <c r="M4038" s="754">
        <f t="shared" si="152"/>
        <v>0</v>
      </c>
      <c r="N4038" s="756">
        <v>8500</v>
      </c>
      <c r="O4038" s="732">
        <f t="shared" si="153"/>
        <v>0</v>
      </c>
    </row>
    <row r="4039" spans="1:15" x14ac:dyDescent="0.25">
      <c r="A4039" s="207" t="e">
        <f>VLOOKUP(RIGHT(E4039,3)+0,SchLocTable!$A$2:$B$47,2,FALSE)</f>
        <v>#N/A</v>
      </c>
      <c r="B4039" s="207" t="str">
        <f>VLOOKUP(VALUE(D4039),$D$3:F$106,3,FALSE)</f>
        <v>Refuse and Cycling</v>
      </c>
      <c r="C4039" s="751" t="s">
        <v>246</v>
      </c>
      <c r="D4039" s="751" t="s">
        <v>1051</v>
      </c>
      <c r="E4039" s="751" t="s">
        <v>1052</v>
      </c>
      <c r="F4039" s="751" t="s">
        <v>1053</v>
      </c>
      <c r="G4039" s="752" t="s">
        <v>1681</v>
      </c>
      <c r="H4039" s="753">
        <v>56215</v>
      </c>
      <c r="I4039" s="754">
        <v>407366.40000000002</v>
      </c>
      <c r="J4039" s="754">
        <v>271576</v>
      </c>
      <c r="K4039" s="754">
        <v>0</v>
      </c>
      <c r="L4039" s="754">
        <v>135788</v>
      </c>
      <c r="M4039" s="754">
        <f t="shared" si="152"/>
        <v>407364</v>
      </c>
      <c r="N4039" s="756">
        <v>407366.40000000002</v>
      </c>
      <c r="O4039" s="732">
        <f t="shared" si="153"/>
        <v>0</v>
      </c>
    </row>
    <row r="4040" spans="1:15" x14ac:dyDescent="0.25">
      <c r="A4040" s="207" t="e">
        <f>VLOOKUP(RIGHT(E4040,3)+0,SchLocTable!$A$2:$B$47,2,FALSE)</f>
        <v>#N/A</v>
      </c>
      <c r="B4040" s="207" t="str">
        <f>VLOOKUP(VALUE(D4040),$D$3:F$106,3,FALSE)</f>
        <v>Operating Building Services</v>
      </c>
      <c r="C4040" s="751" t="s">
        <v>246</v>
      </c>
      <c r="D4040" s="751" t="s">
        <v>1054</v>
      </c>
      <c r="E4040" s="751" t="s">
        <v>1055</v>
      </c>
      <c r="F4040" s="751" t="s">
        <v>756</v>
      </c>
      <c r="G4040" s="752" t="s">
        <v>1681</v>
      </c>
      <c r="H4040" s="753">
        <v>53050</v>
      </c>
      <c r="I4040" s="754">
        <v>334107.96000000002</v>
      </c>
      <c r="J4040" s="754">
        <v>223822.64</v>
      </c>
      <c r="K4040" s="754">
        <v>0</v>
      </c>
      <c r="L4040" s="754">
        <v>110285.32</v>
      </c>
      <c r="M4040" s="754">
        <f t="shared" si="152"/>
        <v>334107.96000000002</v>
      </c>
      <c r="N4040" s="756">
        <v>334107.96000000002</v>
      </c>
      <c r="O4040" s="732">
        <f t="shared" si="153"/>
        <v>0</v>
      </c>
    </row>
    <row r="4041" spans="1:15" x14ac:dyDescent="0.25">
      <c r="A4041" s="207" t="e">
        <f>VLOOKUP(RIGHT(E4041,3)+0,SchLocTable!$A$2:$B$47,2,FALSE)</f>
        <v>#N/A</v>
      </c>
      <c r="B4041" s="207" t="str">
        <f>VLOOKUP(VALUE(D4041),$D$3:F$106,3,FALSE)</f>
        <v>Operating Building Services</v>
      </c>
      <c r="C4041" s="751" t="s">
        <v>246</v>
      </c>
      <c r="D4041" s="751" t="s">
        <v>1054</v>
      </c>
      <c r="E4041" s="751" t="s">
        <v>1055</v>
      </c>
      <c r="F4041" s="751" t="s">
        <v>396</v>
      </c>
      <c r="G4041" s="752" t="s">
        <v>1681</v>
      </c>
      <c r="H4041" s="753">
        <v>53605</v>
      </c>
      <c r="I4041" s="754">
        <v>600</v>
      </c>
      <c r="J4041" s="754">
        <v>0</v>
      </c>
      <c r="K4041" s="754">
        <v>0</v>
      </c>
      <c r="L4041" s="754">
        <v>600</v>
      </c>
      <c r="M4041" s="754">
        <f t="shared" si="152"/>
        <v>600</v>
      </c>
      <c r="N4041" s="756">
        <v>600</v>
      </c>
      <c r="O4041" s="732">
        <f t="shared" si="153"/>
        <v>0</v>
      </c>
    </row>
    <row r="4042" spans="1:15" x14ac:dyDescent="0.25">
      <c r="A4042" s="207" t="e">
        <f>VLOOKUP(RIGHT(E4042,3)+0,SchLocTable!$A$2:$B$47,2,FALSE)</f>
        <v>#N/A</v>
      </c>
      <c r="B4042" s="207" t="str">
        <f>VLOOKUP(VALUE(D4042),$D$3:F$106,3,FALSE)</f>
        <v>Operating Building Services</v>
      </c>
      <c r="C4042" s="751" t="s">
        <v>246</v>
      </c>
      <c r="D4042" s="751" t="s">
        <v>1054</v>
      </c>
      <c r="E4042" s="751" t="s">
        <v>1055</v>
      </c>
      <c r="F4042" s="751" t="s">
        <v>372</v>
      </c>
      <c r="G4042" s="752" t="s">
        <v>1681</v>
      </c>
      <c r="H4042" s="753">
        <v>54675</v>
      </c>
      <c r="I4042" s="754">
        <v>2810</v>
      </c>
      <c r="J4042" s="754">
        <v>0</v>
      </c>
      <c r="K4042" s="754">
        <v>0</v>
      </c>
      <c r="L4042" s="754">
        <v>41.98</v>
      </c>
      <c r="M4042" s="754">
        <f t="shared" si="152"/>
        <v>41.98</v>
      </c>
      <c r="N4042" s="756">
        <v>2810</v>
      </c>
      <c r="O4042" s="732">
        <f t="shared" si="153"/>
        <v>0</v>
      </c>
    </row>
    <row r="4043" spans="1:15" x14ac:dyDescent="0.25">
      <c r="A4043" s="207" t="e">
        <f>VLOOKUP(RIGHT(E4043,3)+0,SchLocTable!$A$2:$B$47,2,FALSE)</f>
        <v>#N/A</v>
      </c>
      <c r="B4043" s="207" t="str">
        <f>VLOOKUP(VALUE(D4043),$D$3:F$106,3,FALSE)</f>
        <v>Operating Building Services</v>
      </c>
      <c r="C4043" s="751" t="s">
        <v>246</v>
      </c>
      <c r="D4043" s="751" t="s">
        <v>1054</v>
      </c>
      <c r="E4043" s="751" t="s">
        <v>1055</v>
      </c>
      <c r="F4043" s="751" t="s">
        <v>1056</v>
      </c>
      <c r="G4043" s="752" t="s">
        <v>1681</v>
      </c>
      <c r="H4043" s="753">
        <v>56055</v>
      </c>
      <c r="I4043" s="754">
        <v>51582</v>
      </c>
      <c r="J4043" s="754">
        <v>11453.55</v>
      </c>
      <c r="K4043" s="754">
        <v>0</v>
      </c>
      <c r="L4043" s="754">
        <v>40128.449999999997</v>
      </c>
      <c r="M4043" s="754">
        <f t="shared" si="152"/>
        <v>51582</v>
      </c>
      <c r="N4043" s="756">
        <v>51582</v>
      </c>
      <c r="O4043" s="732">
        <f t="shared" si="153"/>
        <v>0</v>
      </c>
    </row>
    <row r="4044" spans="1:15" x14ac:dyDescent="0.25">
      <c r="A4044" s="207" t="e">
        <f>VLOOKUP(RIGHT(E4044,3)+0,SchLocTable!$A$2:$B$47,2,FALSE)</f>
        <v>#N/A</v>
      </c>
      <c r="B4044" s="207" t="str">
        <f>VLOOKUP(VALUE(D4044),$D$3:F$106,3,FALSE)</f>
        <v>Regulatory Compliance</v>
      </c>
      <c r="C4044" s="751" t="s">
        <v>246</v>
      </c>
      <c r="D4044" s="751" t="s">
        <v>1058</v>
      </c>
      <c r="E4044" s="751" t="s">
        <v>1059</v>
      </c>
      <c r="F4044" s="751" t="s">
        <v>418</v>
      </c>
      <c r="G4044" s="752" t="s">
        <v>1681</v>
      </c>
      <c r="H4044" s="753">
        <v>53610</v>
      </c>
      <c r="I4044" s="754">
        <v>1220</v>
      </c>
      <c r="J4044" s="754">
        <v>1050</v>
      </c>
      <c r="K4044" s="754">
        <v>0</v>
      </c>
      <c r="L4044" s="754">
        <v>0</v>
      </c>
      <c r="M4044" s="754">
        <f t="shared" si="152"/>
        <v>1050</v>
      </c>
      <c r="N4044" s="756">
        <v>1220</v>
      </c>
      <c r="O4044" s="732">
        <f t="shared" si="153"/>
        <v>0</v>
      </c>
    </row>
    <row r="4045" spans="1:15" x14ac:dyDescent="0.25">
      <c r="A4045" s="207" t="e">
        <f>VLOOKUP(RIGHT(E4045,3)+0,SchLocTable!$A$2:$B$47,2,FALSE)</f>
        <v>#N/A</v>
      </c>
      <c r="B4045" s="207" t="str">
        <f>VLOOKUP(VALUE(D4045),$D$3:F$106,3,FALSE)</f>
        <v>Regulatory Compliance</v>
      </c>
      <c r="C4045" s="751" t="s">
        <v>246</v>
      </c>
      <c r="D4045" s="751" t="s">
        <v>1058</v>
      </c>
      <c r="E4045" s="751" t="s">
        <v>1059</v>
      </c>
      <c r="F4045" s="751" t="s">
        <v>1767</v>
      </c>
      <c r="G4045" s="752" t="s">
        <v>1681</v>
      </c>
      <c r="H4045" s="753">
        <v>54735</v>
      </c>
      <c r="I4045" s="754">
        <v>21314.99</v>
      </c>
      <c r="J4045" s="754">
        <v>0</v>
      </c>
      <c r="K4045" s="754">
        <v>0</v>
      </c>
      <c r="L4045" s="754">
        <v>0</v>
      </c>
      <c r="M4045" s="754">
        <f t="shared" si="152"/>
        <v>0</v>
      </c>
      <c r="N4045" s="756">
        <v>21314.99</v>
      </c>
      <c r="O4045" s="732">
        <f t="shared" si="153"/>
        <v>0</v>
      </c>
    </row>
    <row r="4046" spans="1:15" x14ac:dyDescent="0.25">
      <c r="A4046" s="207" t="e">
        <f>VLOOKUP(RIGHT(E4046,3)+0,SchLocTable!$A$2:$B$47,2,FALSE)</f>
        <v>#N/A</v>
      </c>
      <c r="B4046" s="207" t="str">
        <f>VLOOKUP(VALUE(D4046),$D$3:F$106,3,FALSE)</f>
        <v>Regulatory Compliance</v>
      </c>
      <c r="C4046" s="751" t="s">
        <v>246</v>
      </c>
      <c r="D4046" s="751" t="s">
        <v>1058</v>
      </c>
      <c r="E4046" s="751" t="s">
        <v>1059</v>
      </c>
      <c r="F4046" s="751" t="s">
        <v>1060</v>
      </c>
      <c r="G4046" s="752" t="s">
        <v>1681</v>
      </c>
      <c r="H4046" s="753">
        <v>55110</v>
      </c>
      <c r="I4046" s="754">
        <v>7261.15</v>
      </c>
      <c r="J4046" s="754">
        <v>0</v>
      </c>
      <c r="K4046" s="754">
        <v>0</v>
      </c>
      <c r="L4046" s="754">
        <v>0</v>
      </c>
      <c r="M4046" s="754">
        <f t="shared" si="152"/>
        <v>0</v>
      </c>
      <c r="N4046" s="756">
        <v>7261.15</v>
      </c>
      <c r="O4046" s="732">
        <f t="shared" si="153"/>
        <v>0</v>
      </c>
    </row>
    <row r="4047" spans="1:15" x14ac:dyDescent="0.25">
      <c r="A4047" s="207" t="e">
        <f>VLOOKUP(RIGHT(E4047,3)+0,SchLocTable!$A$2:$B$47,2,FALSE)</f>
        <v>#N/A</v>
      </c>
      <c r="B4047" s="207" t="str">
        <f>VLOOKUP(VALUE(D4047),$D$3:F$106,3,FALSE)</f>
        <v>Regulatory Compliance</v>
      </c>
      <c r="C4047" s="751" t="s">
        <v>246</v>
      </c>
      <c r="D4047" s="751" t="s">
        <v>1058</v>
      </c>
      <c r="E4047" s="751" t="s">
        <v>1059</v>
      </c>
      <c r="F4047" s="751" t="s">
        <v>910</v>
      </c>
      <c r="G4047" s="752" t="s">
        <v>1681</v>
      </c>
      <c r="H4047" s="753">
        <v>55155</v>
      </c>
      <c r="I4047" s="754">
        <v>2500</v>
      </c>
      <c r="J4047" s="754">
        <v>1628.16</v>
      </c>
      <c r="K4047" s="754">
        <v>0</v>
      </c>
      <c r="L4047" s="754">
        <v>871.84</v>
      </c>
      <c r="M4047" s="754">
        <f t="shared" si="152"/>
        <v>2500</v>
      </c>
      <c r="N4047" s="756">
        <v>2500</v>
      </c>
      <c r="O4047" s="732">
        <f t="shared" si="153"/>
        <v>0</v>
      </c>
    </row>
    <row r="4048" spans="1:15" x14ac:dyDescent="0.25">
      <c r="A4048" s="207" t="e">
        <f>VLOOKUP(RIGHT(E4048,3)+0,SchLocTable!$A$2:$B$47,2,FALSE)</f>
        <v>#N/A</v>
      </c>
      <c r="B4048" s="207" t="str">
        <f>VLOOKUP(VALUE(D4048),$D$3:F$106,3,FALSE)</f>
        <v>Regulatory Compliance</v>
      </c>
      <c r="C4048" s="751" t="s">
        <v>246</v>
      </c>
      <c r="D4048" s="751" t="s">
        <v>1058</v>
      </c>
      <c r="E4048" s="751" t="s">
        <v>1059</v>
      </c>
      <c r="F4048" s="751" t="s">
        <v>1061</v>
      </c>
      <c r="G4048" s="752" t="s">
        <v>1681</v>
      </c>
      <c r="H4048" s="753">
        <v>56045</v>
      </c>
      <c r="I4048" s="754">
        <v>331561.28000000003</v>
      </c>
      <c r="J4048" s="754">
        <v>213200.28</v>
      </c>
      <c r="K4048" s="754">
        <v>2882.46</v>
      </c>
      <c r="L4048" s="754">
        <v>75004.820000000007</v>
      </c>
      <c r="M4048" s="754">
        <f t="shared" si="152"/>
        <v>291087.56</v>
      </c>
      <c r="N4048" s="756">
        <v>331561.28000000003</v>
      </c>
      <c r="O4048" s="732">
        <f t="shared" si="153"/>
        <v>0</v>
      </c>
    </row>
    <row r="4049" spans="1:15" x14ac:dyDescent="0.25">
      <c r="A4049" s="207" t="e">
        <f>VLOOKUP(RIGHT(E4049,3)+0,SchLocTable!$A$2:$B$47,2,FALSE)</f>
        <v>#N/A</v>
      </c>
      <c r="B4049" s="207" t="str">
        <f>VLOOKUP(VALUE(D4049),$D$3:F$106,3,FALSE)</f>
        <v>Regulatory Compliance</v>
      </c>
      <c r="C4049" s="751" t="s">
        <v>246</v>
      </c>
      <c r="D4049" s="751" t="s">
        <v>1058</v>
      </c>
      <c r="E4049" s="751" t="s">
        <v>1059</v>
      </c>
      <c r="F4049" s="751" t="s">
        <v>1063</v>
      </c>
      <c r="G4049" s="752" t="s">
        <v>1681</v>
      </c>
      <c r="H4049" s="753">
        <v>56060</v>
      </c>
      <c r="I4049" s="754">
        <v>71597</v>
      </c>
      <c r="J4049" s="754">
        <v>32970</v>
      </c>
      <c r="K4049" s="754">
        <v>0</v>
      </c>
      <c r="L4049" s="754">
        <v>21925</v>
      </c>
      <c r="M4049" s="754">
        <f t="shared" si="152"/>
        <v>54895</v>
      </c>
      <c r="N4049" s="756">
        <v>71597</v>
      </c>
      <c r="O4049" s="732">
        <f t="shared" si="153"/>
        <v>0</v>
      </c>
    </row>
    <row r="4050" spans="1:15" x14ac:dyDescent="0.25">
      <c r="A4050" s="207" t="e">
        <f>VLOOKUP(RIGHT(E4050,3)+0,SchLocTable!$A$2:$B$47,2,FALSE)</f>
        <v>#N/A</v>
      </c>
      <c r="B4050" s="207" t="str">
        <f>VLOOKUP(VALUE(D4050),$D$3:F$106,3,FALSE)</f>
        <v>Regulatory Compliance</v>
      </c>
      <c r="C4050" s="751" t="s">
        <v>246</v>
      </c>
      <c r="D4050" s="751" t="s">
        <v>1058</v>
      </c>
      <c r="E4050" s="751" t="s">
        <v>1059</v>
      </c>
      <c r="F4050" s="751" t="s">
        <v>1064</v>
      </c>
      <c r="G4050" s="752" t="s">
        <v>1681</v>
      </c>
      <c r="H4050" s="753">
        <v>56080</v>
      </c>
      <c r="I4050" s="754">
        <v>46341.05</v>
      </c>
      <c r="J4050" s="754">
        <v>30856.23</v>
      </c>
      <c r="K4050" s="754">
        <v>1310</v>
      </c>
      <c r="L4050" s="754">
        <v>11940.4</v>
      </c>
      <c r="M4050" s="754">
        <f t="shared" si="152"/>
        <v>44106.63</v>
      </c>
      <c r="N4050" s="756">
        <v>46341.05</v>
      </c>
      <c r="O4050" s="732">
        <f t="shared" si="153"/>
        <v>0</v>
      </c>
    </row>
    <row r="4051" spans="1:15" x14ac:dyDescent="0.25">
      <c r="A4051" s="207" t="e">
        <f>VLOOKUP(RIGHT(E4051,3)+0,SchLocTable!$A$2:$B$47,2,FALSE)</f>
        <v>#N/A</v>
      </c>
      <c r="B4051" s="207" t="str">
        <f>VLOOKUP(VALUE(D4051),$D$3:F$106,3,FALSE)</f>
        <v>Regulatory Compliance</v>
      </c>
      <c r="C4051" s="751" t="s">
        <v>246</v>
      </c>
      <c r="D4051" s="751" t="s">
        <v>1058</v>
      </c>
      <c r="E4051" s="751" t="s">
        <v>1059</v>
      </c>
      <c r="F4051" s="751" t="s">
        <v>1065</v>
      </c>
      <c r="G4051" s="752" t="s">
        <v>1681</v>
      </c>
      <c r="H4051" s="753">
        <v>56125</v>
      </c>
      <c r="I4051" s="754">
        <v>335745.98</v>
      </c>
      <c r="J4051" s="754">
        <v>48274.07</v>
      </c>
      <c r="K4051" s="754">
        <v>0</v>
      </c>
      <c r="L4051" s="754">
        <v>104459.37</v>
      </c>
      <c r="M4051" s="754">
        <f t="shared" si="152"/>
        <v>152733.44</v>
      </c>
      <c r="N4051" s="756">
        <v>335745.98</v>
      </c>
      <c r="O4051" s="732">
        <f t="shared" si="153"/>
        <v>0</v>
      </c>
    </row>
    <row r="4052" spans="1:15" x14ac:dyDescent="0.25">
      <c r="A4052" s="207" t="e">
        <f>VLOOKUP(RIGHT(E4052,3)+0,SchLocTable!$A$2:$B$47,2,FALSE)</f>
        <v>#N/A</v>
      </c>
      <c r="B4052" s="207" t="str">
        <f>VLOOKUP(VALUE(D4052),$D$3:F$106,3,FALSE)</f>
        <v>Regulatory Compliance</v>
      </c>
      <c r="C4052" s="751" t="s">
        <v>246</v>
      </c>
      <c r="D4052" s="751" t="s">
        <v>1058</v>
      </c>
      <c r="E4052" s="751" t="s">
        <v>1059</v>
      </c>
      <c r="F4052" s="751" t="s">
        <v>766</v>
      </c>
      <c r="G4052" s="752" t="s">
        <v>1681</v>
      </c>
      <c r="H4052" s="753">
        <v>56170</v>
      </c>
      <c r="I4052" s="754">
        <v>275355.74</v>
      </c>
      <c r="J4052" s="754">
        <v>204084.13</v>
      </c>
      <c r="K4052" s="754">
        <v>0</v>
      </c>
      <c r="L4052" s="754">
        <v>67787.429999999993</v>
      </c>
      <c r="M4052" s="754">
        <f t="shared" si="152"/>
        <v>271871.56</v>
      </c>
      <c r="N4052" s="756">
        <v>275355.74</v>
      </c>
      <c r="O4052" s="732">
        <f t="shared" si="153"/>
        <v>0</v>
      </c>
    </row>
    <row r="4053" spans="1:15" x14ac:dyDescent="0.25">
      <c r="A4053" s="207" t="e">
        <f>VLOOKUP(RIGHT(E4053,3)+0,SchLocTable!$A$2:$B$47,2,FALSE)</f>
        <v>#N/A</v>
      </c>
      <c r="B4053" s="207" t="str">
        <f>VLOOKUP(VALUE(D4053),$D$3:F$106,3,FALSE)</f>
        <v>Regulatory Compliance</v>
      </c>
      <c r="C4053" s="751" t="s">
        <v>246</v>
      </c>
      <c r="D4053" s="751" t="s">
        <v>1058</v>
      </c>
      <c r="E4053" s="751" t="s">
        <v>1059</v>
      </c>
      <c r="F4053" s="751" t="s">
        <v>382</v>
      </c>
      <c r="G4053" s="752" t="s">
        <v>1681</v>
      </c>
      <c r="H4053" s="753">
        <v>56180</v>
      </c>
      <c r="I4053" s="754">
        <v>51520</v>
      </c>
      <c r="J4053" s="754">
        <v>6760</v>
      </c>
      <c r="K4053" s="754">
        <v>0</v>
      </c>
      <c r="L4053" s="754">
        <v>480</v>
      </c>
      <c r="M4053" s="754">
        <f t="shared" si="152"/>
        <v>7240</v>
      </c>
      <c r="N4053" s="756">
        <v>51520</v>
      </c>
      <c r="O4053" s="732">
        <f t="shared" si="153"/>
        <v>0</v>
      </c>
    </row>
    <row r="4054" spans="1:15" x14ac:dyDescent="0.25">
      <c r="A4054" s="207" t="e">
        <f>VLOOKUP(RIGHT(E4054,3)+0,SchLocTable!$A$2:$B$47,2,FALSE)</f>
        <v>#N/A</v>
      </c>
      <c r="B4054" s="207" t="str">
        <f>VLOOKUP(VALUE(D4054),$D$3:F$106,3,FALSE)</f>
        <v>Regulatory Compliance</v>
      </c>
      <c r="C4054" s="751" t="s">
        <v>246</v>
      </c>
      <c r="D4054" s="751" t="s">
        <v>1058</v>
      </c>
      <c r="E4054" s="751" t="s">
        <v>1059</v>
      </c>
      <c r="F4054" s="751" t="s">
        <v>2019</v>
      </c>
      <c r="G4054" s="752" t="s">
        <v>1681</v>
      </c>
      <c r="H4054" s="753">
        <v>56185</v>
      </c>
      <c r="I4054" s="754">
        <v>11659.06</v>
      </c>
      <c r="J4054" s="754">
        <v>0</v>
      </c>
      <c r="K4054" s="754">
        <v>0</v>
      </c>
      <c r="L4054" s="754">
        <v>0</v>
      </c>
      <c r="M4054" s="754">
        <f t="shared" si="152"/>
        <v>0</v>
      </c>
      <c r="N4054" s="756">
        <v>11659.06</v>
      </c>
      <c r="O4054" s="732">
        <f t="shared" si="153"/>
        <v>0</v>
      </c>
    </row>
    <row r="4055" spans="1:15" x14ac:dyDescent="0.25">
      <c r="A4055" s="207" t="e">
        <f>VLOOKUP(RIGHT(E4055,3)+0,SchLocTable!$A$2:$B$47,2,FALSE)</f>
        <v>#N/A</v>
      </c>
      <c r="B4055" s="207" t="str">
        <f>VLOOKUP(VALUE(D4055),$D$3:F$106,3,FALSE)</f>
        <v>Regulatory Compliance</v>
      </c>
      <c r="C4055" s="751" t="s">
        <v>246</v>
      </c>
      <c r="D4055" s="751" t="s">
        <v>1058</v>
      </c>
      <c r="E4055" s="751" t="s">
        <v>1059</v>
      </c>
      <c r="F4055" s="751" t="s">
        <v>1053</v>
      </c>
      <c r="G4055" s="752" t="s">
        <v>1681</v>
      </c>
      <c r="H4055" s="753">
        <v>56215</v>
      </c>
      <c r="I4055" s="754">
        <v>250</v>
      </c>
      <c r="J4055" s="754">
        <v>63</v>
      </c>
      <c r="K4055" s="754">
        <v>0</v>
      </c>
      <c r="L4055" s="754">
        <v>71</v>
      </c>
      <c r="M4055" s="754">
        <f t="shared" si="152"/>
        <v>134</v>
      </c>
      <c r="N4055" s="756">
        <v>250</v>
      </c>
      <c r="O4055" s="732">
        <f t="shared" si="153"/>
        <v>0</v>
      </c>
    </row>
    <row r="4056" spans="1:15" x14ac:dyDescent="0.25">
      <c r="A4056" s="207" t="e">
        <f>VLOOKUP(RIGHT(E4056,3)+0,SchLocTable!$A$2:$B$47,2,FALSE)</f>
        <v>#N/A</v>
      </c>
      <c r="B4056" s="207" t="str">
        <f>VLOOKUP(VALUE(D4056),$D$3:F$106,3,FALSE)</f>
        <v>Vehicle Maintenance (Facilities)</v>
      </c>
      <c r="C4056" s="751" t="s">
        <v>246</v>
      </c>
      <c r="D4056" s="751" t="s">
        <v>1066</v>
      </c>
      <c r="E4056" s="751" t="s">
        <v>1067</v>
      </c>
      <c r="F4056" s="751" t="s">
        <v>1068</v>
      </c>
      <c r="G4056" s="752" t="s">
        <v>1681</v>
      </c>
      <c r="H4056" s="753">
        <v>54010</v>
      </c>
      <c r="I4056" s="754">
        <v>29300</v>
      </c>
      <c r="J4056" s="754">
        <v>8864.5300000000007</v>
      </c>
      <c r="K4056" s="754">
        <v>0</v>
      </c>
      <c r="L4056" s="754">
        <v>1183.72</v>
      </c>
      <c r="M4056" s="754">
        <f t="shared" si="152"/>
        <v>10048.25</v>
      </c>
      <c r="N4056" s="756">
        <v>29300</v>
      </c>
      <c r="O4056" s="732">
        <f t="shared" si="153"/>
        <v>0</v>
      </c>
    </row>
    <row r="4057" spans="1:15" x14ac:dyDescent="0.25">
      <c r="A4057" s="207" t="e">
        <f>VLOOKUP(RIGHT(E4057,3)+0,SchLocTable!$A$2:$B$47,2,FALSE)</f>
        <v>#N/A</v>
      </c>
      <c r="B4057" s="207" t="str">
        <f>VLOOKUP(VALUE(D4057),$D$3:F$106,3,FALSE)</f>
        <v>Vehicle Maintenance (Facilities)</v>
      </c>
      <c r="C4057" s="751" t="s">
        <v>246</v>
      </c>
      <c r="D4057" s="751" t="s">
        <v>1066</v>
      </c>
      <c r="E4057" s="751" t="s">
        <v>1067</v>
      </c>
      <c r="F4057" s="751" t="s">
        <v>1069</v>
      </c>
      <c r="G4057" s="752" t="s">
        <v>1681</v>
      </c>
      <c r="H4057" s="753">
        <v>54535</v>
      </c>
      <c r="I4057" s="754">
        <v>8000</v>
      </c>
      <c r="J4057" s="754">
        <v>2378.42</v>
      </c>
      <c r="K4057" s="754">
        <v>0</v>
      </c>
      <c r="L4057" s="754">
        <v>141.58000000000001</v>
      </c>
      <c r="M4057" s="754">
        <f t="shared" si="152"/>
        <v>2520</v>
      </c>
      <c r="N4057" s="756">
        <v>8000</v>
      </c>
      <c r="O4057" s="732">
        <f t="shared" si="153"/>
        <v>0</v>
      </c>
    </row>
    <row r="4058" spans="1:15" x14ac:dyDescent="0.25">
      <c r="A4058" s="207" t="e">
        <f>VLOOKUP(RIGHT(E4058,3)+0,SchLocTable!$A$2:$B$47,2,FALSE)</f>
        <v>#N/A</v>
      </c>
      <c r="B4058" s="207" t="str">
        <f>VLOOKUP(VALUE(D4058),$D$3:F$106,3,FALSE)</f>
        <v>Vehicle Maintenance (Facilities)</v>
      </c>
      <c r="C4058" s="751" t="s">
        <v>246</v>
      </c>
      <c r="D4058" s="751" t="s">
        <v>1066</v>
      </c>
      <c r="E4058" s="751" t="s">
        <v>1067</v>
      </c>
      <c r="F4058" s="751" t="s">
        <v>760</v>
      </c>
      <c r="G4058" s="752" t="s">
        <v>1681</v>
      </c>
      <c r="H4058" s="753">
        <v>54615</v>
      </c>
      <c r="I4058" s="754">
        <v>43000</v>
      </c>
      <c r="J4058" s="754">
        <v>25681.99</v>
      </c>
      <c r="K4058" s="754">
        <v>0</v>
      </c>
      <c r="L4058" s="754">
        <v>14318.01</v>
      </c>
      <c r="M4058" s="754">
        <f t="shared" si="152"/>
        <v>40000</v>
      </c>
      <c r="N4058" s="756">
        <v>43000</v>
      </c>
      <c r="O4058" s="732">
        <f t="shared" si="153"/>
        <v>0</v>
      </c>
    </row>
    <row r="4059" spans="1:15" x14ac:dyDescent="0.25">
      <c r="A4059" s="207" t="e">
        <f>VLOOKUP(RIGHT(E4059,3)+0,SchLocTable!$A$2:$B$47,2,FALSE)</f>
        <v>#N/A</v>
      </c>
      <c r="B4059" s="207" t="str">
        <f>VLOOKUP(VALUE(D4059),$D$3:F$106,3,FALSE)</f>
        <v>Vehicle Maintenance (Facilities)</v>
      </c>
      <c r="C4059" s="751" t="s">
        <v>246</v>
      </c>
      <c r="D4059" s="751" t="s">
        <v>1066</v>
      </c>
      <c r="E4059" s="751" t="s">
        <v>1067</v>
      </c>
      <c r="F4059" s="751" t="s">
        <v>1345</v>
      </c>
      <c r="G4059" s="751" t="s">
        <v>1681</v>
      </c>
      <c r="H4059" s="753">
        <v>55045</v>
      </c>
      <c r="I4059" s="722">
        <v>12276.6</v>
      </c>
      <c r="J4059" s="754">
        <v>0</v>
      </c>
      <c r="K4059" s="754">
        <v>0</v>
      </c>
      <c r="L4059" s="754">
        <v>2590</v>
      </c>
      <c r="M4059" s="754">
        <f t="shared" si="152"/>
        <v>2590</v>
      </c>
      <c r="N4059" s="756">
        <v>12276.6</v>
      </c>
      <c r="O4059" s="732">
        <f t="shared" si="153"/>
        <v>0</v>
      </c>
    </row>
    <row r="4060" spans="1:15" x14ac:dyDescent="0.25">
      <c r="A4060" s="207" t="e">
        <f>VLOOKUP(RIGHT(E4060,3)+0,SchLocTable!$A$2:$B$47,2,FALSE)</f>
        <v>#N/A</v>
      </c>
      <c r="B4060" s="207" t="str">
        <f>VLOOKUP(VALUE(D4060),$D$3:F$106,3,FALSE)</f>
        <v>Vehicle Maintenance (Facilities)</v>
      </c>
      <c r="C4060" s="751" t="s">
        <v>246</v>
      </c>
      <c r="D4060" s="751" t="s">
        <v>1066</v>
      </c>
      <c r="E4060" s="751" t="s">
        <v>1067</v>
      </c>
      <c r="F4060" s="751" t="s">
        <v>1408</v>
      </c>
      <c r="G4060" s="751" t="s">
        <v>1681</v>
      </c>
      <c r="H4060" s="753">
        <v>55120</v>
      </c>
      <c r="I4060" s="722">
        <v>2644.62</v>
      </c>
      <c r="J4060" s="754">
        <v>301.88</v>
      </c>
      <c r="K4060" s="754">
        <v>0</v>
      </c>
      <c r="L4060" s="754">
        <v>1198.1199999999999</v>
      </c>
      <c r="M4060" s="754">
        <f t="shared" si="152"/>
        <v>1500</v>
      </c>
      <c r="N4060" s="756">
        <v>2644.62</v>
      </c>
      <c r="O4060" s="732">
        <f t="shared" si="153"/>
        <v>0</v>
      </c>
    </row>
    <row r="4061" spans="1:15" x14ac:dyDescent="0.25">
      <c r="A4061" s="207" t="e">
        <f>VLOOKUP(RIGHT(E4061,3)+0,SchLocTable!$A$2:$B$47,2,FALSE)</f>
        <v>#N/A</v>
      </c>
      <c r="B4061" s="207" t="str">
        <f>VLOOKUP(VALUE(D4061),$D$3:F$106,3,FALSE)</f>
        <v>Vehicle Maintenance (Facilities)</v>
      </c>
      <c r="C4061" s="751" t="s">
        <v>246</v>
      </c>
      <c r="D4061" s="751" t="s">
        <v>1066</v>
      </c>
      <c r="E4061" s="751" t="s">
        <v>1067</v>
      </c>
      <c r="F4061" s="751" t="s">
        <v>1070</v>
      </c>
      <c r="G4061" s="751" t="s">
        <v>1681</v>
      </c>
      <c r="H4061" s="753">
        <v>55190</v>
      </c>
      <c r="I4061" s="722">
        <v>7080</v>
      </c>
      <c r="J4061" s="754">
        <v>0</v>
      </c>
      <c r="K4061" s="754">
        <v>0</v>
      </c>
      <c r="L4061" s="754">
        <v>0</v>
      </c>
      <c r="M4061" s="754">
        <f t="shared" si="152"/>
        <v>0</v>
      </c>
      <c r="N4061" s="756">
        <v>7080</v>
      </c>
      <c r="O4061" s="732">
        <f t="shared" si="153"/>
        <v>0</v>
      </c>
    </row>
    <row r="4062" spans="1:15" x14ac:dyDescent="0.25">
      <c r="A4062" s="207" t="e">
        <f>VLOOKUP(RIGHT(E4062,3)+0,SchLocTable!$A$2:$B$47,2,FALSE)</f>
        <v>#N/A</v>
      </c>
      <c r="B4062" s="207" t="str">
        <f>VLOOKUP(VALUE(D4062),$D$3:F$106,3,FALSE)</f>
        <v>Vehicle Maintenance (Facilities)</v>
      </c>
      <c r="C4062" s="751" t="s">
        <v>246</v>
      </c>
      <c r="D4062" s="751" t="s">
        <v>1066</v>
      </c>
      <c r="E4062" s="751" t="s">
        <v>1067</v>
      </c>
      <c r="F4062" s="751" t="s">
        <v>926</v>
      </c>
      <c r="G4062" s="751" t="s">
        <v>1681</v>
      </c>
      <c r="H4062" s="753">
        <v>59005</v>
      </c>
      <c r="I4062" s="722">
        <v>32109.4</v>
      </c>
      <c r="J4062" s="754">
        <v>1009.36</v>
      </c>
      <c r="K4062" s="754">
        <v>0</v>
      </c>
      <c r="L4062" s="754">
        <v>1737.95</v>
      </c>
      <c r="M4062" s="754">
        <f t="shared" si="152"/>
        <v>2747.31</v>
      </c>
      <c r="N4062" s="756">
        <v>32109.4</v>
      </c>
      <c r="O4062" s="732">
        <f t="shared" si="153"/>
        <v>0</v>
      </c>
    </row>
    <row r="4063" spans="1:15" x14ac:dyDescent="0.25">
      <c r="A4063" s="207" t="e">
        <f>VLOOKUP(RIGHT(E4063,3)+0,SchLocTable!$A$2:$B$47,2,FALSE)</f>
        <v>#N/A</v>
      </c>
      <c r="B4063" s="207" t="str">
        <f>VLOOKUP(VALUE(D4063),$D$3:F$106,3,FALSE)</f>
        <v>Facilities Maintenance &amp; Repair</v>
      </c>
      <c r="C4063" s="751" t="s">
        <v>246</v>
      </c>
      <c r="D4063" s="751" t="s">
        <v>1071</v>
      </c>
      <c r="E4063" s="751" t="s">
        <v>1072</v>
      </c>
      <c r="F4063" s="751" t="s">
        <v>672</v>
      </c>
      <c r="G4063" s="751" t="s">
        <v>1681</v>
      </c>
      <c r="H4063" s="753">
        <v>54540</v>
      </c>
      <c r="I4063" s="722">
        <v>171412.52</v>
      </c>
      <c r="J4063" s="754">
        <v>46608.42</v>
      </c>
      <c r="K4063" s="754">
        <v>0</v>
      </c>
      <c r="L4063" s="754">
        <v>34366.97</v>
      </c>
      <c r="M4063" s="754">
        <f t="shared" si="152"/>
        <v>80975.39</v>
      </c>
      <c r="N4063" s="756">
        <v>171412.52</v>
      </c>
      <c r="O4063" s="732">
        <f t="shared" si="153"/>
        <v>0</v>
      </c>
    </row>
    <row r="4064" spans="1:15" x14ac:dyDescent="0.25">
      <c r="A4064" s="207" t="e">
        <f>VLOOKUP(RIGHT(E4064,3)+0,SchLocTable!$A$2:$B$47,2,FALSE)</f>
        <v>#N/A</v>
      </c>
      <c r="B4064" s="207" t="str">
        <f>VLOOKUP(VALUE(D4064),$D$3:F$106,3,FALSE)</f>
        <v>Facilities Maintenance &amp; Repair</v>
      </c>
      <c r="C4064" s="751" t="s">
        <v>246</v>
      </c>
      <c r="D4064" s="751" t="s">
        <v>1071</v>
      </c>
      <c r="E4064" s="751" t="s">
        <v>1072</v>
      </c>
      <c r="F4064" s="751" t="s">
        <v>923</v>
      </c>
      <c r="G4064" s="751" t="s">
        <v>1681</v>
      </c>
      <c r="H4064" s="753">
        <v>54560</v>
      </c>
      <c r="I4064" s="722">
        <v>1910.33</v>
      </c>
      <c r="J4064" s="754">
        <v>0</v>
      </c>
      <c r="K4064" s="754">
        <v>0</v>
      </c>
      <c r="L4064" s="754">
        <v>485.98</v>
      </c>
      <c r="M4064" s="754">
        <f t="shared" si="152"/>
        <v>485.98</v>
      </c>
      <c r="N4064" s="756">
        <v>1910.33</v>
      </c>
      <c r="O4064" s="732">
        <f t="shared" ref="O4064:O4077" si="154">I4064-N4064</f>
        <v>0</v>
      </c>
    </row>
    <row r="4065" spans="1:18" x14ac:dyDescent="0.25">
      <c r="A4065" s="207" t="e">
        <f>VLOOKUP(RIGHT(E4065,3)+0,SchLocTable!$A$2:$B$47,2,FALSE)</f>
        <v>#N/A</v>
      </c>
      <c r="B4065" s="207" t="str">
        <f>VLOOKUP(VALUE(D4065),$D$3:F$106,3,FALSE)</f>
        <v>Facilities Maintenance &amp; Repair</v>
      </c>
      <c r="C4065" s="751" t="s">
        <v>246</v>
      </c>
      <c r="D4065" s="751" t="s">
        <v>1071</v>
      </c>
      <c r="E4065" s="751" t="s">
        <v>1072</v>
      </c>
      <c r="F4065" s="751" t="s">
        <v>673</v>
      </c>
      <c r="G4065" s="751" t="s">
        <v>1681</v>
      </c>
      <c r="H4065" s="753">
        <v>54640</v>
      </c>
      <c r="I4065" s="722">
        <v>88000</v>
      </c>
      <c r="J4065" s="754">
        <v>39917.79</v>
      </c>
      <c r="K4065" s="754">
        <v>0</v>
      </c>
      <c r="L4065" s="754">
        <v>20489.349999999999</v>
      </c>
      <c r="M4065" s="754">
        <f t="shared" si="152"/>
        <v>60407.14</v>
      </c>
      <c r="N4065" s="756">
        <v>88000</v>
      </c>
      <c r="O4065" s="732">
        <f t="shared" si="154"/>
        <v>0</v>
      </c>
    </row>
    <row r="4066" spans="1:18" x14ac:dyDescent="0.25">
      <c r="A4066" s="207" t="e">
        <f>VLOOKUP(RIGHT(E4066,3)+0,SchLocTable!$A$2:$B$47,2,FALSE)</f>
        <v>#N/A</v>
      </c>
      <c r="B4066" s="207" t="str">
        <f>VLOOKUP(VALUE(D4066),$D$3:F$106,3,FALSE)</f>
        <v>Facilities Maintenance &amp; Repair</v>
      </c>
      <c r="C4066" s="751" t="s">
        <v>246</v>
      </c>
      <c r="D4066" s="751" t="s">
        <v>1071</v>
      </c>
      <c r="E4066" s="751" t="s">
        <v>1072</v>
      </c>
      <c r="F4066" s="751" t="s">
        <v>1073</v>
      </c>
      <c r="G4066" s="751" t="s">
        <v>1681</v>
      </c>
      <c r="H4066" s="753">
        <v>54715</v>
      </c>
      <c r="I4066" s="722">
        <v>40439.339999999997</v>
      </c>
      <c r="J4066" s="754">
        <v>21291.13</v>
      </c>
      <c r="K4066" s="754">
        <v>0</v>
      </c>
      <c r="L4066" s="754">
        <v>14208.87</v>
      </c>
      <c r="M4066" s="754">
        <f t="shared" si="152"/>
        <v>35500</v>
      </c>
      <c r="N4066" s="756">
        <v>40439.339999999997</v>
      </c>
      <c r="O4066" s="732">
        <f t="shared" si="154"/>
        <v>0</v>
      </c>
    </row>
    <row r="4067" spans="1:18" x14ac:dyDescent="0.25">
      <c r="A4067" s="207" t="e">
        <f>VLOOKUP(RIGHT(E4067,3)+0,SchLocTable!$A$2:$B$47,2,FALSE)</f>
        <v>#N/A</v>
      </c>
      <c r="B4067" s="207" t="str">
        <f>VLOOKUP(VALUE(D4067),$D$3:F$106,3,FALSE)</f>
        <v>Facilities Maintenance &amp; Repair</v>
      </c>
      <c r="C4067" s="751" t="s">
        <v>246</v>
      </c>
      <c r="D4067" s="751" t="s">
        <v>1071</v>
      </c>
      <c r="E4067" s="751" t="s">
        <v>1072</v>
      </c>
      <c r="F4067" s="751" t="s">
        <v>1074</v>
      </c>
      <c r="G4067" s="751" t="s">
        <v>1681</v>
      </c>
      <c r="H4067" s="753">
        <v>55080</v>
      </c>
      <c r="I4067" s="722">
        <v>51000</v>
      </c>
      <c r="J4067" s="754">
        <v>38196.51</v>
      </c>
      <c r="K4067" s="754">
        <v>0</v>
      </c>
      <c r="L4067" s="754">
        <v>12599.82</v>
      </c>
      <c r="M4067" s="754">
        <f t="shared" si="152"/>
        <v>50796.33</v>
      </c>
      <c r="N4067" s="756">
        <v>51000</v>
      </c>
      <c r="O4067" s="732">
        <f t="shared" si="154"/>
        <v>0</v>
      </c>
    </row>
    <row r="4068" spans="1:18" x14ac:dyDescent="0.25">
      <c r="A4068" s="207" t="e">
        <f>VLOOKUP(RIGHT(E4068,3)+0,SchLocTable!$A$2:$B$47,2,FALSE)</f>
        <v>#N/A</v>
      </c>
      <c r="B4068" s="207" t="str">
        <f>VLOOKUP(VALUE(D4068),$D$3:F$106,3,FALSE)</f>
        <v>Facilities Maintenance &amp; Repair</v>
      </c>
      <c r="C4068" s="751" t="s">
        <v>246</v>
      </c>
      <c r="D4068" s="751" t="s">
        <v>1071</v>
      </c>
      <c r="E4068" s="751" t="s">
        <v>1072</v>
      </c>
      <c r="F4068" s="751" t="s">
        <v>1060</v>
      </c>
      <c r="G4068" s="751" t="s">
        <v>1681</v>
      </c>
      <c r="H4068" s="753">
        <v>55110</v>
      </c>
      <c r="I4068" s="722">
        <v>782107.66</v>
      </c>
      <c r="J4068" s="754">
        <v>669736.02</v>
      </c>
      <c r="K4068" s="754">
        <v>0</v>
      </c>
      <c r="L4068" s="754">
        <v>106769.27</v>
      </c>
      <c r="M4068" s="754">
        <f t="shared" si="152"/>
        <v>776505.29</v>
      </c>
      <c r="N4068" s="756">
        <v>1482126.01</v>
      </c>
      <c r="O4068" s="732">
        <f t="shared" si="154"/>
        <v>-700018.35</v>
      </c>
    </row>
    <row r="4069" spans="1:18" x14ac:dyDescent="0.25">
      <c r="A4069" s="207" t="e">
        <f>VLOOKUP(RIGHT(E4069,3)+0,SchLocTable!$A$2:$B$47,2,FALSE)</f>
        <v>#N/A</v>
      </c>
      <c r="B4069" s="207" t="str">
        <f>VLOOKUP(VALUE(D4069),$D$3:F$106,3,FALSE)</f>
        <v>Facilities Maintenance &amp; Repair</v>
      </c>
      <c r="C4069" s="751" t="s">
        <v>246</v>
      </c>
      <c r="D4069" s="751" t="s">
        <v>1071</v>
      </c>
      <c r="E4069" s="751" t="s">
        <v>1072</v>
      </c>
      <c r="F4069" s="751" t="s">
        <v>1075</v>
      </c>
      <c r="G4069" s="751" t="s">
        <v>1681</v>
      </c>
      <c r="H4069" s="753">
        <v>55145</v>
      </c>
      <c r="I4069" s="722">
        <v>4049.65</v>
      </c>
      <c r="J4069" s="754">
        <v>391.44</v>
      </c>
      <c r="K4069" s="754">
        <v>0</v>
      </c>
      <c r="L4069" s="754">
        <v>108.56</v>
      </c>
      <c r="M4069" s="754">
        <f t="shared" si="152"/>
        <v>500</v>
      </c>
      <c r="N4069" s="756">
        <v>4049.65</v>
      </c>
      <c r="O4069" s="732">
        <f t="shared" si="154"/>
        <v>0</v>
      </c>
    </row>
    <row r="4070" spans="1:18" x14ac:dyDescent="0.25">
      <c r="A4070" s="207" t="e">
        <f>VLOOKUP(RIGHT(E4070,3)+0,SchLocTable!$A$2:$B$47,2,FALSE)</f>
        <v>#N/A</v>
      </c>
      <c r="B4070" s="207" t="str">
        <f>VLOOKUP(VALUE(D4070),$D$3:F$106,3,FALSE)</f>
        <v>Facilities Maintenance &amp; Repair</v>
      </c>
      <c r="C4070" s="751" t="s">
        <v>246</v>
      </c>
      <c r="D4070" s="751" t="s">
        <v>1071</v>
      </c>
      <c r="E4070" s="751" t="s">
        <v>1072</v>
      </c>
      <c r="F4070" s="751" t="s">
        <v>1076</v>
      </c>
      <c r="G4070" s="751" t="s">
        <v>1681</v>
      </c>
      <c r="H4070" s="753">
        <v>55220</v>
      </c>
      <c r="I4070" s="722">
        <v>25470</v>
      </c>
      <c r="J4070" s="754">
        <v>15610</v>
      </c>
      <c r="K4070" s="754">
        <v>0</v>
      </c>
      <c r="L4070" s="754">
        <v>950</v>
      </c>
      <c r="M4070" s="754">
        <f t="shared" si="152"/>
        <v>16560</v>
      </c>
      <c r="N4070" s="756">
        <v>25470</v>
      </c>
      <c r="O4070" s="732">
        <f t="shared" si="154"/>
        <v>0</v>
      </c>
    </row>
    <row r="4071" spans="1:18" x14ac:dyDescent="0.25">
      <c r="A4071" s="207" t="e">
        <f>VLOOKUP(RIGHT(E4071,3)+0,SchLocTable!$A$2:$B$47,2,FALSE)</f>
        <v>#N/A</v>
      </c>
      <c r="B4071" s="207" t="str">
        <f>VLOOKUP(VALUE(D4071),$D$3:F$106,3,FALSE)</f>
        <v>Facilities Maintenance &amp; Repair</v>
      </c>
      <c r="C4071" s="751" t="s">
        <v>246</v>
      </c>
      <c r="D4071" s="751" t="s">
        <v>1071</v>
      </c>
      <c r="E4071" s="751" t="s">
        <v>1072</v>
      </c>
      <c r="F4071" s="751" t="s">
        <v>1061</v>
      </c>
      <c r="G4071" s="751" t="s">
        <v>1681</v>
      </c>
      <c r="H4071" s="753">
        <v>56045</v>
      </c>
      <c r="I4071" s="722">
        <v>-34556.5</v>
      </c>
      <c r="J4071" s="754">
        <v>14882.26</v>
      </c>
      <c r="K4071" s="754">
        <v>0</v>
      </c>
      <c r="L4071" s="754">
        <v>-67948.5</v>
      </c>
      <c r="M4071" s="754">
        <f t="shared" si="152"/>
        <v>-53066.239999999998</v>
      </c>
      <c r="N4071" s="756">
        <v>-34556.5</v>
      </c>
      <c r="O4071" s="732">
        <f t="shared" si="154"/>
        <v>0</v>
      </c>
    </row>
    <row r="4072" spans="1:18" x14ac:dyDescent="0.25">
      <c r="A4072" s="207" t="e">
        <f>VLOOKUP(RIGHT(E4072,3)+0,SchLocTable!$A$2:$B$47,2,FALSE)</f>
        <v>#N/A</v>
      </c>
      <c r="B4072" s="207" t="str">
        <f>VLOOKUP(VALUE(D4072),$D$3:F$106,3,FALSE)</f>
        <v>Facilities Maintenance &amp; Repair</v>
      </c>
      <c r="C4072" s="751" t="s">
        <v>246</v>
      </c>
      <c r="D4072" s="751" t="s">
        <v>1071</v>
      </c>
      <c r="E4072" s="751" t="s">
        <v>1072</v>
      </c>
      <c r="F4072" s="751" t="s">
        <v>1063</v>
      </c>
      <c r="G4072" s="751" t="s">
        <v>1681</v>
      </c>
      <c r="H4072" s="753">
        <v>56060</v>
      </c>
      <c r="I4072" s="722">
        <v>16500</v>
      </c>
      <c r="J4072" s="754">
        <v>1930</v>
      </c>
      <c r="K4072" s="754">
        <v>0</v>
      </c>
      <c r="L4072" s="754">
        <v>2870</v>
      </c>
      <c r="M4072" s="754">
        <f t="shared" si="152"/>
        <v>4800</v>
      </c>
      <c r="N4072" s="756">
        <v>16500</v>
      </c>
      <c r="O4072" s="732">
        <f t="shared" si="154"/>
        <v>0</v>
      </c>
    </row>
    <row r="4073" spans="1:18" x14ac:dyDescent="0.25">
      <c r="A4073" s="207" t="e">
        <f>VLOOKUP(RIGHT(E4073,3)+0,SchLocTable!$A$2:$B$47,2,FALSE)</f>
        <v>#N/A</v>
      </c>
      <c r="B4073" s="207" t="str">
        <f>VLOOKUP(VALUE(D4073),$D$3:F$106,3,FALSE)</f>
        <v>Facilities Maintenance &amp; Repair</v>
      </c>
      <c r="C4073" s="751" t="s">
        <v>246</v>
      </c>
      <c r="D4073" s="751" t="s">
        <v>1071</v>
      </c>
      <c r="E4073" s="751" t="s">
        <v>1072</v>
      </c>
      <c r="F4073" s="751" t="s">
        <v>766</v>
      </c>
      <c r="G4073" s="751" t="s">
        <v>1681</v>
      </c>
      <c r="H4073" s="753">
        <v>56170</v>
      </c>
      <c r="I4073" s="722">
        <v>19818.36</v>
      </c>
      <c r="J4073" s="754">
        <v>0</v>
      </c>
      <c r="K4073" s="754">
        <v>0</v>
      </c>
      <c r="L4073" s="754">
        <v>0</v>
      </c>
      <c r="M4073" s="754">
        <f t="shared" si="152"/>
        <v>0</v>
      </c>
      <c r="N4073" s="756">
        <v>19818.36</v>
      </c>
      <c r="O4073" s="732">
        <f t="shared" si="154"/>
        <v>0</v>
      </c>
    </row>
    <row r="4074" spans="1:18" x14ac:dyDescent="0.25">
      <c r="A4074" s="207" t="e">
        <f>VLOOKUP(RIGHT(E4074,3)+0,SchLocTable!$A$2:$B$47,2,FALSE)</f>
        <v>#N/A</v>
      </c>
      <c r="B4074" s="207" t="str">
        <f>VLOOKUP(VALUE(D4074),$D$3:F$106,3,FALSE)</f>
        <v>Facilities Maintenance &amp; Repair</v>
      </c>
      <c r="C4074" s="751" t="s">
        <v>246</v>
      </c>
      <c r="D4074" s="751" t="s">
        <v>1071</v>
      </c>
      <c r="E4074" s="751" t="s">
        <v>1072</v>
      </c>
      <c r="F4074" s="751" t="s">
        <v>382</v>
      </c>
      <c r="G4074" s="751" t="s">
        <v>1681</v>
      </c>
      <c r="H4074" s="753">
        <v>56180</v>
      </c>
      <c r="I4074" s="722">
        <v>93930</v>
      </c>
      <c r="J4074" s="754">
        <v>26481.040000000001</v>
      </c>
      <c r="K4074" s="754">
        <v>0</v>
      </c>
      <c r="L4074" s="754">
        <v>27630.52</v>
      </c>
      <c r="M4074" s="754">
        <f t="shared" si="152"/>
        <v>54111.56</v>
      </c>
      <c r="N4074" s="756">
        <v>93930</v>
      </c>
      <c r="O4074" s="732">
        <f t="shared" si="154"/>
        <v>0</v>
      </c>
    </row>
    <row r="4075" spans="1:18" x14ac:dyDescent="0.25">
      <c r="A4075" s="207" t="e">
        <f>VLOOKUP(RIGHT(E4075,3)+0,SchLocTable!$A$2:$B$47,2,FALSE)</f>
        <v>#N/A</v>
      </c>
      <c r="B4075" s="207" t="str">
        <f>VLOOKUP(VALUE(D4075),$D$3:F$106,3,FALSE)</f>
        <v>Facilities Maintenance &amp; Repair</v>
      </c>
      <c r="C4075" s="751" t="s">
        <v>246</v>
      </c>
      <c r="D4075" s="751" t="s">
        <v>1071</v>
      </c>
      <c r="E4075" s="751" t="s">
        <v>1072</v>
      </c>
      <c r="F4075" s="751" t="s">
        <v>925</v>
      </c>
      <c r="G4075" s="751" t="s">
        <v>1681</v>
      </c>
      <c r="H4075" s="753">
        <v>56225</v>
      </c>
      <c r="I4075" s="722">
        <v>4916.82</v>
      </c>
      <c r="J4075" s="754">
        <v>0</v>
      </c>
      <c r="K4075" s="754">
        <v>0</v>
      </c>
      <c r="L4075" s="754">
        <v>0</v>
      </c>
      <c r="M4075" s="754">
        <f t="shared" si="152"/>
        <v>0</v>
      </c>
      <c r="N4075" s="756">
        <v>4916.82</v>
      </c>
      <c r="O4075" s="732">
        <f t="shared" si="154"/>
        <v>0</v>
      </c>
    </row>
    <row r="4076" spans="1:18" x14ac:dyDescent="0.25">
      <c r="A4076" s="207" t="e">
        <f>VLOOKUP(RIGHT(E4076,3)+0,SchLocTable!$A$2:$B$47,2,FALSE)</f>
        <v>#N/A</v>
      </c>
      <c r="B4076" s="207" t="str">
        <f>VLOOKUP(VALUE(D4076),$D$3:F$106,3,FALSE)</f>
        <v>Accreditation - NEASC</v>
      </c>
      <c r="C4076" s="751" t="s">
        <v>246</v>
      </c>
      <c r="D4076" s="751" t="s">
        <v>1685</v>
      </c>
      <c r="E4076" s="751" t="s">
        <v>1686</v>
      </c>
      <c r="F4076" s="751" t="s">
        <v>1687</v>
      </c>
      <c r="G4076" s="751" t="s">
        <v>1681</v>
      </c>
      <c r="H4076" s="753">
        <v>54001</v>
      </c>
      <c r="I4076" s="722">
        <v>5000</v>
      </c>
      <c r="J4076" s="754">
        <v>0</v>
      </c>
      <c r="K4076" s="754">
        <v>0</v>
      </c>
      <c r="L4076" s="754">
        <v>0</v>
      </c>
      <c r="M4076" s="754">
        <f t="shared" si="152"/>
        <v>0</v>
      </c>
      <c r="N4076" s="756">
        <v>5000</v>
      </c>
      <c r="O4076" s="732">
        <f t="shared" si="154"/>
        <v>0</v>
      </c>
    </row>
    <row r="4077" spans="1:18" x14ac:dyDescent="0.25">
      <c r="A4077" s="207" t="e">
        <f>VLOOKUP(RIGHT(E4077,3)+0,SchLocTable!$A$2:$B$47,2,FALSE)</f>
        <v>#N/A</v>
      </c>
      <c r="B4077" s="207" t="str">
        <f>VLOOKUP(VALUE(D4077),$D$3:F$106,3,FALSE)</f>
        <v>Accreditation - NEASC</v>
      </c>
      <c r="C4077" s="751" t="s">
        <v>246</v>
      </c>
      <c r="D4077" s="751" t="s">
        <v>1685</v>
      </c>
      <c r="E4077" s="751" t="s">
        <v>1686</v>
      </c>
      <c r="F4077" s="751" t="s">
        <v>382</v>
      </c>
      <c r="G4077" s="751" t="s">
        <v>1681</v>
      </c>
      <c r="H4077" s="753">
        <v>56180</v>
      </c>
      <c r="I4077" s="722">
        <v>0</v>
      </c>
      <c r="J4077" s="754">
        <v>0</v>
      </c>
      <c r="K4077" s="754">
        <v>0</v>
      </c>
      <c r="L4077" s="754">
        <v>0</v>
      </c>
      <c r="M4077" s="754">
        <f t="shared" si="152"/>
        <v>0</v>
      </c>
      <c r="N4077" s="756">
        <v>0</v>
      </c>
      <c r="O4077" s="732">
        <f t="shared" si="154"/>
        <v>0</v>
      </c>
    </row>
    <row r="4078" spans="1:18" ht="15.75" x14ac:dyDescent="0.25">
      <c r="A4078" s="276" t="s">
        <v>54</v>
      </c>
      <c r="B4078" s="270"/>
      <c r="C4078" s="271"/>
      <c r="D4078" s="272"/>
      <c r="E4078" s="272"/>
      <c r="F4078" s="710"/>
      <c r="G4078" s="273">
        <f>SUBTOTAL(109,Table17[FTE])</f>
        <v>1807.6999999999998</v>
      </c>
      <c r="H4078" s="272"/>
      <c r="I4078" s="274">
        <f>SUBTOTAL(109,Table17[CY_REVISED_BUD])</f>
        <v>242735981.81999955</v>
      </c>
      <c r="J4078" s="274">
        <f>SUBTOTAL(109,Table17[CY_REQ])</f>
        <v>17346370.09</v>
      </c>
      <c r="K4078" s="274">
        <f>SUBTOTAL(109,Table17[CY_ENCUMB])</f>
        <v>80687.75</v>
      </c>
      <c r="L4078" s="274">
        <f>SUBTOTAL(109,Table17[CY_EXPEND])</f>
        <v>63094959.40999978</v>
      </c>
      <c r="M4078" s="275">
        <f>SUBTOTAL(109,Table17[TOTAL YTD])</f>
        <v>80522017.249999911</v>
      </c>
      <c r="N4078" s="500">
        <f>SUBTOTAL(109,Table17[FORECAST])</f>
        <v>281388188.40999895</v>
      </c>
      <c r="O4078" s="465">
        <f>SUBTOTAL(109,Table17[VARIANCE])</f>
        <v>-38652206.590000018</v>
      </c>
    </row>
    <row r="4079" spans="1:18" ht="15.75" x14ac:dyDescent="0.25">
      <c r="A4079" s="276"/>
      <c r="B4079" s="270"/>
      <c r="C4079" s="271"/>
      <c r="D4079" s="272"/>
      <c r="E4079" s="272"/>
      <c r="F4079" s="272"/>
      <c r="G4079" s="272"/>
      <c r="H4079" s="272"/>
      <c r="I4079" s="272"/>
      <c r="J4079" s="272"/>
      <c r="K4079" s="274"/>
      <c r="L4079" s="274"/>
      <c r="N4079" s="204"/>
      <c r="O4079" s="204"/>
    </row>
    <row r="4080" spans="1:18" ht="15.75" x14ac:dyDescent="0.25">
      <c r="A4080" s="276"/>
      <c r="B4080" s="270"/>
      <c r="C4080" s="271"/>
      <c r="D4080" s="272"/>
      <c r="E4080" s="272"/>
      <c r="F4080" s="272"/>
      <c r="N4080" s="204"/>
      <c r="O4080" s="757">
        <v>7740</v>
      </c>
      <c r="P4080" s="758" t="s">
        <v>2264</v>
      </c>
      <c r="Q4080" s="759">
        <v>25005</v>
      </c>
      <c r="R4080" s="760" t="s">
        <v>2192</v>
      </c>
    </row>
    <row r="4081" spans="1:18" ht="15.75" x14ac:dyDescent="0.25">
      <c r="A4081" s="276"/>
      <c r="B4081" s="270"/>
      <c r="C4081" s="271"/>
      <c r="D4081" s="272"/>
      <c r="E4081" s="272"/>
      <c r="F4081" s="272"/>
      <c r="N4081" s="204"/>
      <c r="O4081" s="757">
        <v>314424</v>
      </c>
      <c r="P4081" s="758" t="s">
        <v>1743</v>
      </c>
      <c r="Q4081" s="759">
        <v>25058</v>
      </c>
      <c r="R4081" s="761" t="s">
        <v>2193</v>
      </c>
    </row>
    <row r="4082" spans="1:18" ht="15.75" x14ac:dyDescent="0.25">
      <c r="A4082" s="276"/>
      <c r="B4082" s="270"/>
      <c r="C4082" s="271"/>
      <c r="D4082" s="272"/>
      <c r="E4082" s="272"/>
      <c r="F4082" s="272"/>
      <c r="N4082" s="204"/>
      <c r="O4082" s="757">
        <v>147451</v>
      </c>
      <c r="P4082" s="758" t="s">
        <v>1743</v>
      </c>
      <c r="Q4082" s="759">
        <v>25058</v>
      </c>
      <c r="R4082" s="762" t="s">
        <v>2194</v>
      </c>
    </row>
    <row r="4083" spans="1:18" ht="15.75" x14ac:dyDescent="0.25">
      <c r="A4083" s="276"/>
      <c r="B4083" s="270"/>
      <c r="C4083" s="271"/>
      <c r="D4083" s="272"/>
      <c r="E4083" s="272"/>
      <c r="F4083" s="272"/>
      <c r="N4083" s="204"/>
      <c r="O4083" s="757">
        <v>100000</v>
      </c>
      <c r="P4083" s="758" t="s">
        <v>1743</v>
      </c>
      <c r="Q4083" s="759">
        <v>25058</v>
      </c>
      <c r="R4083" s="762" t="s">
        <v>2195</v>
      </c>
    </row>
    <row r="4084" spans="1:18" ht="15.75" x14ac:dyDescent="0.25">
      <c r="A4084" s="276"/>
      <c r="B4084" s="270"/>
      <c r="C4084" s="271"/>
      <c r="D4084" s="272"/>
      <c r="E4084" s="272"/>
      <c r="F4084" s="272"/>
      <c r="N4084" s="204"/>
      <c r="O4084" s="763">
        <v>0</v>
      </c>
      <c r="P4084" s="758" t="s">
        <v>1743</v>
      </c>
      <c r="Q4084" s="759">
        <v>25058</v>
      </c>
      <c r="R4084" s="759" t="s">
        <v>197</v>
      </c>
    </row>
    <row r="4085" spans="1:18" ht="15.75" x14ac:dyDescent="0.25">
      <c r="A4085" s="276"/>
      <c r="B4085" s="270"/>
      <c r="C4085" s="271"/>
      <c r="D4085" s="272"/>
      <c r="E4085" s="272"/>
      <c r="F4085" s="272"/>
      <c r="J4085" s="272"/>
      <c r="K4085" s="274"/>
      <c r="L4085" s="274"/>
      <c r="N4085" s="204"/>
      <c r="O4085" s="763">
        <v>1402348</v>
      </c>
      <c r="P4085" s="758" t="s">
        <v>1743</v>
      </c>
      <c r="Q4085" s="759">
        <v>25058</v>
      </c>
      <c r="R4085" s="764" t="s">
        <v>2196</v>
      </c>
    </row>
    <row r="4086" spans="1:18" x14ac:dyDescent="0.25">
      <c r="D4086" s="272"/>
      <c r="E4086" s="272"/>
      <c r="F4086" s="272"/>
      <c r="J4086" s="272"/>
      <c r="K4086" s="274"/>
      <c r="L4086" s="274"/>
      <c r="N4086" s="204"/>
      <c r="O4086" s="757"/>
      <c r="P4086" s="758"/>
      <c r="Q4086" s="759"/>
      <c r="R4086" s="765"/>
    </row>
    <row r="4087" spans="1:18" x14ac:dyDescent="0.25">
      <c r="D4087" s="272"/>
      <c r="E4087" s="272"/>
      <c r="F4087" s="272"/>
      <c r="N4087" s="204"/>
      <c r="O4087" s="763">
        <v>55861</v>
      </c>
      <c r="P4087" s="758" t="s">
        <v>1918</v>
      </c>
      <c r="Q4087" s="759" t="s">
        <v>2197</v>
      </c>
      <c r="R4087" s="764" t="s">
        <v>2196</v>
      </c>
    </row>
    <row r="4088" spans="1:18" x14ac:dyDescent="0.25">
      <c r="D4088" s="272"/>
      <c r="E4088" s="272"/>
      <c r="F4088" s="272"/>
      <c r="J4088" s="272"/>
      <c r="K4088" s="274"/>
      <c r="L4088" s="274"/>
      <c r="N4088" s="204"/>
      <c r="O4088" s="759"/>
      <c r="P4088" s="758"/>
      <c r="Q4088" s="759"/>
      <c r="R4088" s="759"/>
    </row>
    <row r="4089" spans="1:18" x14ac:dyDescent="0.25">
      <c r="D4089" s="272"/>
      <c r="E4089" s="272"/>
      <c r="F4089" s="272"/>
      <c r="N4089" s="204"/>
      <c r="O4089" s="763">
        <f>600000-100000</f>
        <v>500000</v>
      </c>
      <c r="P4089" s="758" t="s">
        <v>1744</v>
      </c>
      <c r="Q4089" s="759">
        <v>25110</v>
      </c>
      <c r="R4089" s="766" t="s">
        <v>2198</v>
      </c>
    </row>
    <row r="4090" spans="1:18" x14ac:dyDescent="0.25">
      <c r="D4090" s="272"/>
      <c r="E4090" s="272"/>
      <c r="F4090" s="272"/>
      <c r="J4090" s="272"/>
      <c r="K4090" s="274"/>
      <c r="L4090" s="274"/>
      <c r="N4090" s="204"/>
      <c r="O4090" s="757">
        <v>45761</v>
      </c>
      <c r="P4090" s="758" t="s">
        <v>1744</v>
      </c>
      <c r="Q4090" s="759">
        <v>25110</v>
      </c>
      <c r="R4090" s="767" t="s">
        <v>1919</v>
      </c>
    </row>
    <row r="4091" spans="1:18" x14ac:dyDescent="0.25">
      <c r="D4091" s="272"/>
      <c r="E4091" s="272"/>
      <c r="F4091" s="272"/>
      <c r="N4091" s="204"/>
      <c r="O4091" s="768"/>
      <c r="P4091" s="768"/>
      <c r="Q4091" s="768"/>
      <c r="R4091" s="769"/>
    </row>
    <row r="4092" spans="1:18" x14ac:dyDescent="0.25">
      <c r="D4092" s="272"/>
      <c r="E4092" s="272"/>
      <c r="F4092" s="272"/>
      <c r="J4092" s="272"/>
      <c r="K4092" s="274"/>
      <c r="L4092" s="274"/>
      <c r="N4092" s="204"/>
      <c r="O4092" s="763">
        <v>70000</v>
      </c>
      <c r="P4092" s="758" t="s">
        <v>1745</v>
      </c>
      <c r="Q4092" s="770"/>
      <c r="R4092" s="759" t="s">
        <v>2199</v>
      </c>
    </row>
    <row r="4093" spans="1:18" x14ac:dyDescent="0.25">
      <c r="D4093" s="272"/>
      <c r="E4093" s="272"/>
      <c r="F4093" s="272"/>
      <c r="N4093" s="204"/>
      <c r="O4093" s="757"/>
      <c r="P4093" s="771"/>
      <c r="Q4093" s="771"/>
      <c r="R4093" s="759"/>
    </row>
    <row r="4094" spans="1:18" x14ac:dyDescent="0.25">
      <c r="D4094" s="272"/>
      <c r="E4094" s="272"/>
      <c r="F4094" s="272"/>
      <c r="J4094" s="272"/>
      <c r="K4094" s="274"/>
      <c r="L4094" s="274"/>
      <c r="N4094" s="204"/>
      <c r="O4094" s="763">
        <v>45000</v>
      </c>
      <c r="P4094" s="758" t="s">
        <v>1078</v>
      </c>
      <c r="Q4094" s="759">
        <v>25021</v>
      </c>
      <c r="R4094" s="772" t="s">
        <v>2200</v>
      </c>
    </row>
    <row r="4095" spans="1:18" x14ac:dyDescent="0.25">
      <c r="D4095" s="272"/>
      <c r="E4095" s="272"/>
      <c r="F4095" s="272"/>
      <c r="N4095" s="204"/>
      <c r="O4095" s="763">
        <v>1950000</v>
      </c>
      <c r="P4095" s="758" t="s">
        <v>1078</v>
      </c>
      <c r="Q4095" s="759">
        <v>25021</v>
      </c>
      <c r="R4095" s="759" t="s">
        <v>111</v>
      </c>
    </row>
    <row r="4096" spans="1:18" x14ac:dyDescent="0.25">
      <c r="D4096" s="272"/>
      <c r="E4096" s="272"/>
      <c r="F4096" s="272"/>
      <c r="J4096" s="272"/>
      <c r="K4096" s="274"/>
      <c r="L4096" s="274"/>
      <c r="N4096" s="204"/>
      <c r="O4096" s="763">
        <v>57600</v>
      </c>
      <c r="P4096" s="758" t="s">
        <v>1078</v>
      </c>
      <c r="Q4096" s="759">
        <v>25021</v>
      </c>
      <c r="R4096" s="764" t="s">
        <v>2196</v>
      </c>
    </row>
    <row r="4097" spans="4:18" x14ac:dyDescent="0.25">
      <c r="D4097" s="272"/>
      <c r="E4097" s="272"/>
      <c r="F4097" s="272"/>
      <c r="N4097" s="204"/>
      <c r="O4097" s="773"/>
      <c r="P4097" s="773"/>
      <c r="Q4097" s="773"/>
      <c r="R4097" s="774"/>
    </row>
    <row r="4098" spans="4:18" x14ac:dyDescent="0.25">
      <c r="D4098" s="272"/>
      <c r="E4098" s="272"/>
      <c r="F4098" s="272"/>
      <c r="J4098" s="272"/>
      <c r="K4098" s="274"/>
      <c r="L4098" s="274"/>
      <c r="N4098" s="204"/>
      <c r="O4098" s="775">
        <v>0</v>
      </c>
      <c r="P4098" s="758" t="s">
        <v>1920</v>
      </c>
      <c r="Q4098" s="759">
        <v>25049</v>
      </c>
      <c r="R4098" s="764" t="s">
        <v>2196</v>
      </c>
    </row>
    <row r="4099" spans="4:18" x14ac:dyDescent="0.25">
      <c r="D4099" s="272"/>
      <c r="E4099" s="272"/>
      <c r="F4099" s="272"/>
      <c r="N4099" s="204"/>
      <c r="O4099" s="773"/>
      <c r="P4099" s="773"/>
      <c r="Q4099" s="773"/>
      <c r="R4099" s="774"/>
    </row>
    <row r="4100" spans="4:18" x14ac:dyDescent="0.25">
      <c r="D4100" s="272"/>
      <c r="E4100" s="272"/>
      <c r="F4100" s="272"/>
      <c r="J4100" s="272"/>
      <c r="K4100" s="274"/>
      <c r="L4100" s="274"/>
      <c r="N4100" s="204"/>
      <c r="O4100" s="757">
        <v>44039</v>
      </c>
      <c r="P4100" s="758" t="s">
        <v>2201</v>
      </c>
      <c r="Q4100" s="759" t="s">
        <v>2202</v>
      </c>
      <c r="R4100" s="762" t="s">
        <v>2203</v>
      </c>
    </row>
    <row r="4101" spans="4:18" x14ac:dyDescent="0.25">
      <c r="N4101" s="204"/>
      <c r="O4101" s="768"/>
      <c r="P4101" s="768"/>
      <c r="Q4101" s="768"/>
      <c r="R4101" s="769"/>
    </row>
    <row r="4102" spans="4:18" x14ac:dyDescent="0.25">
      <c r="D4102" s="272"/>
      <c r="E4102" s="272"/>
      <c r="F4102" s="272"/>
      <c r="J4102" s="272"/>
      <c r="K4102" s="274"/>
      <c r="L4102" s="274"/>
      <c r="N4102" s="204"/>
      <c r="O4102" s="776">
        <v>50000</v>
      </c>
      <c r="P4102" s="758" t="s">
        <v>1079</v>
      </c>
      <c r="Q4102" s="759">
        <v>25060</v>
      </c>
      <c r="R4102" s="760" t="s">
        <v>2192</v>
      </c>
    </row>
    <row r="4103" spans="4:18" x14ac:dyDescent="0.25">
      <c r="D4103" s="272"/>
      <c r="E4103" s="272"/>
      <c r="F4103" s="272"/>
      <c r="N4103" s="204"/>
      <c r="O4103" s="776">
        <v>34107</v>
      </c>
      <c r="P4103" s="758" t="s">
        <v>1079</v>
      </c>
      <c r="Q4103" s="759">
        <v>25060</v>
      </c>
      <c r="R4103" s="777" t="s">
        <v>2204</v>
      </c>
    </row>
    <row r="4104" spans="4:18" x14ac:dyDescent="0.25">
      <c r="D4104" s="272"/>
      <c r="E4104" s="272"/>
      <c r="F4104" s="272"/>
      <c r="J4104" s="272"/>
      <c r="K4104" s="274"/>
      <c r="L4104" s="274"/>
      <c r="N4104" s="204"/>
      <c r="O4104" s="763">
        <v>225600</v>
      </c>
      <c r="P4104" s="758" t="s">
        <v>1079</v>
      </c>
      <c r="Q4104" s="759">
        <v>25060</v>
      </c>
      <c r="R4104" s="764" t="s">
        <v>2196</v>
      </c>
    </row>
    <row r="4105" spans="4:18" x14ac:dyDescent="0.25">
      <c r="D4105" s="272"/>
      <c r="E4105" s="272"/>
      <c r="F4105" s="272"/>
      <c r="N4105" s="204"/>
      <c r="O4105" s="763">
        <v>280308</v>
      </c>
      <c r="P4105" s="758" t="s">
        <v>1079</v>
      </c>
      <c r="Q4105" s="759">
        <v>25060</v>
      </c>
      <c r="R4105" s="766" t="s">
        <v>2198</v>
      </c>
    </row>
    <row r="4106" spans="4:18" x14ac:dyDescent="0.25">
      <c r="D4106" s="272"/>
      <c r="E4106" s="272"/>
      <c r="F4106" s="272"/>
      <c r="J4106" s="272"/>
      <c r="K4106" s="274"/>
      <c r="L4106" s="274"/>
      <c r="N4106" s="204"/>
      <c r="O4106" s="771"/>
      <c r="P4106" s="758"/>
      <c r="Q4106" s="771"/>
      <c r="R4106" s="759"/>
    </row>
    <row r="4107" spans="4:18" x14ac:dyDescent="0.25">
      <c r="D4107" s="272"/>
      <c r="E4107" s="272"/>
      <c r="F4107" s="272"/>
      <c r="N4107" s="204"/>
      <c r="O4107" s="757">
        <v>5000</v>
      </c>
      <c r="P4107" s="758" t="s">
        <v>1921</v>
      </c>
      <c r="Q4107" s="759">
        <v>25061</v>
      </c>
      <c r="R4107" s="760" t="s">
        <v>2192</v>
      </c>
    </row>
    <row r="4108" spans="4:18" x14ac:dyDescent="0.25">
      <c r="D4108" s="272"/>
      <c r="E4108" s="272"/>
      <c r="F4108" s="272"/>
      <c r="J4108" s="272"/>
      <c r="K4108" s="274"/>
      <c r="L4108" s="274"/>
      <c r="N4108" s="204"/>
      <c r="O4108" s="778">
        <v>2475</v>
      </c>
      <c r="P4108" s="758" t="s">
        <v>1921</v>
      </c>
      <c r="Q4108" s="759">
        <v>25061</v>
      </c>
      <c r="R4108" s="759" t="s">
        <v>1922</v>
      </c>
    </row>
    <row r="4109" spans="4:18" x14ac:dyDescent="0.25">
      <c r="D4109" s="272"/>
      <c r="E4109" s="272"/>
      <c r="F4109" s="272"/>
      <c r="N4109" s="204"/>
      <c r="O4109" s="778">
        <v>16122</v>
      </c>
      <c r="P4109" s="758" t="s">
        <v>1921</v>
      </c>
      <c r="Q4109" s="759">
        <v>25061</v>
      </c>
      <c r="R4109" s="759" t="s">
        <v>1923</v>
      </c>
    </row>
    <row r="4110" spans="4:18" x14ac:dyDescent="0.25">
      <c r="D4110" s="272"/>
      <c r="E4110" s="272"/>
      <c r="F4110" s="272"/>
      <c r="J4110" s="272"/>
      <c r="K4110" s="274"/>
      <c r="L4110" s="274"/>
      <c r="N4110" s="204"/>
      <c r="O4110" s="778">
        <v>20364</v>
      </c>
      <c r="P4110" s="758" t="s">
        <v>1921</v>
      </c>
      <c r="Q4110" s="759">
        <v>25061</v>
      </c>
      <c r="R4110" s="759" t="s">
        <v>2205</v>
      </c>
    </row>
    <row r="4111" spans="4:18" x14ac:dyDescent="0.25">
      <c r="D4111" s="272"/>
      <c r="E4111" s="272"/>
      <c r="F4111" s="272"/>
      <c r="N4111" s="204"/>
      <c r="O4111" s="768"/>
      <c r="P4111" s="768"/>
      <c r="Q4111" s="768"/>
      <c r="R4111" s="769"/>
    </row>
    <row r="4112" spans="4:18" x14ac:dyDescent="0.25">
      <c r="D4112" s="272"/>
      <c r="E4112" s="272"/>
      <c r="F4112" s="272"/>
      <c r="J4112" s="272"/>
      <c r="K4112" s="274"/>
      <c r="L4112" s="274"/>
      <c r="N4112" s="204"/>
      <c r="O4112" s="757">
        <v>64375</v>
      </c>
      <c r="P4112" s="758" t="s">
        <v>1080</v>
      </c>
      <c r="Q4112" s="759">
        <v>25090</v>
      </c>
      <c r="R4112" s="759" t="s">
        <v>1924</v>
      </c>
    </row>
    <row r="4113" spans="4:18" x14ac:dyDescent="0.25">
      <c r="D4113" s="272"/>
      <c r="E4113" s="272"/>
      <c r="F4113" s="272"/>
      <c r="N4113" s="204"/>
      <c r="O4113" s="775">
        <v>15744</v>
      </c>
      <c r="P4113" s="758" t="s">
        <v>1080</v>
      </c>
      <c r="Q4113" s="759">
        <v>25090</v>
      </c>
      <c r="R4113" s="764" t="s">
        <v>2196</v>
      </c>
    </row>
    <row r="4114" spans="4:18" x14ac:dyDescent="0.25">
      <c r="D4114" s="272"/>
      <c r="E4114" s="272"/>
      <c r="F4114" s="272"/>
      <c r="O4114" s="757">
        <v>20000</v>
      </c>
      <c r="P4114" s="758" t="s">
        <v>1080</v>
      </c>
      <c r="Q4114" s="759">
        <v>25090</v>
      </c>
      <c r="R4114" s="760" t="s">
        <v>2192</v>
      </c>
    </row>
    <row r="4115" spans="4:18" x14ac:dyDescent="0.25">
      <c r="D4115" s="272"/>
      <c r="E4115" s="272"/>
      <c r="F4115" s="272"/>
      <c r="O4115" s="757">
        <v>15000</v>
      </c>
      <c r="P4115" s="758" t="s">
        <v>2206</v>
      </c>
      <c r="Q4115" s="759">
        <v>25059</v>
      </c>
      <c r="R4115" s="760" t="s">
        <v>2192</v>
      </c>
    </row>
    <row r="4116" spans="4:18" x14ac:dyDescent="0.25">
      <c r="D4116" s="272"/>
      <c r="E4116" s="272"/>
      <c r="F4116" s="272"/>
      <c r="O4116" s="763">
        <v>600000</v>
      </c>
      <c r="P4116" s="758" t="s">
        <v>2207</v>
      </c>
      <c r="Q4116" s="759" t="s">
        <v>2208</v>
      </c>
      <c r="R4116" s="759" t="s">
        <v>2209</v>
      </c>
    </row>
    <row r="4117" spans="4:18" x14ac:dyDescent="0.25">
      <c r="D4117" s="272"/>
      <c r="E4117" s="272"/>
      <c r="F4117" s="272"/>
      <c r="O4117" s="757"/>
      <c r="P4117" s="771"/>
      <c r="Q4117" s="771"/>
      <c r="R4117" s="759"/>
    </row>
    <row r="4118" spans="4:18" x14ac:dyDescent="0.25">
      <c r="F4118" s="272"/>
      <c r="O4118" s="763">
        <f>804000*0.58</f>
        <v>466319.99999999994</v>
      </c>
      <c r="P4118" s="772" t="s">
        <v>1925</v>
      </c>
      <c r="Q4118" s="772"/>
      <c r="R4118" s="759" t="s">
        <v>2210</v>
      </c>
    </row>
    <row r="4119" spans="4:18" ht="15.75" thickBot="1" x14ac:dyDescent="0.3">
      <c r="F4119" s="272"/>
      <c r="O4119"/>
      <c r="P4119"/>
      <c r="Q4119"/>
      <c r="R4119" s="721"/>
    </row>
    <row r="4120" spans="4:18" ht="15.75" thickBot="1" x14ac:dyDescent="0.3">
      <c r="F4120" s="272"/>
      <c r="M4120" s="781" t="s">
        <v>1409</v>
      </c>
      <c r="N4120" s="782"/>
      <c r="O4120" s="838">
        <f>SUM(O4080:O4119)</f>
        <v>6555639</v>
      </c>
      <c r="P4120"/>
      <c r="Q4120"/>
      <c r="R4120" s="721"/>
    </row>
    <row r="4121" spans="4:18" ht="15.75" thickBot="1" x14ac:dyDescent="0.3">
      <c r="F4121" s="272"/>
      <c r="N4121" s="783"/>
      <c r="O4121" s="834"/>
      <c r="P4121"/>
      <c r="Q4121"/>
      <c r="R4121" s="721"/>
    </row>
    <row r="4122" spans="4:18" ht="15.75" thickBot="1" x14ac:dyDescent="0.3">
      <c r="F4122" s="272"/>
      <c r="M4122" s="784" t="s">
        <v>2212</v>
      </c>
      <c r="N4122" s="785"/>
      <c r="O4122" s="779">
        <f>Table17[[#Totals],[VARIANCE]]+O4120</f>
        <v>-32096567.590000018</v>
      </c>
      <c r="P4122"/>
      <c r="Q4122"/>
      <c r="R4122" s="721"/>
    </row>
    <row r="4123" spans="4:18" ht="15.75" thickBot="1" x14ac:dyDescent="0.3">
      <c r="O4123" s="834"/>
      <c r="P4123"/>
      <c r="Q4123"/>
      <c r="R4123" s="721"/>
    </row>
    <row r="4124" spans="4:18" ht="15.75" thickBot="1" x14ac:dyDescent="0.3">
      <c r="F4124" s="272"/>
      <c r="M4124" s="780" t="s">
        <v>2347</v>
      </c>
      <c r="N4124" s="835"/>
      <c r="O4124" s="839">
        <v>14000000</v>
      </c>
      <c r="P4124" s="552" t="s">
        <v>2211</v>
      </c>
      <c r="Q4124"/>
      <c r="R4124" s="721"/>
    </row>
    <row r="4125" spans="4:18" ht="15.75" thickBot="1" x14ac:dyDescent="0.3">
      <c r="F4125" s="272"/>
      <c r="N4125" s="783"/>
      <c r="O4125" s="837"/>
      <c r="P4125"/>
      <c r="Q4125"/>
      <c r="R4125" s="721"/>
    </row>
    <row r="4126" spans="4:18" ht="15.75" thickBot="1" x14ac:dyDescent="0.3">
      <c r="G4126" s="245" t="s">
        <v>2345</v>
      </c>
      <c r="H4126" s="245"/>
      <c r="I4126" s="243"/>
      <c r="J4126" s="243"/>
      <c r="K4126" s="243"/>
      <c r="L4126" s="206"/>
      <c r="M4126" s="780" t="s">
        <v>2265</v>
      </c>
      <c r="N4126" s="835"/>
      <c r="O4126" s="839">
        <f>O4136</f>
        <v>10300000</v>
      </c>
      <c r="P4126"/>
      <c r="Q4126" s="836"/>
      <c r="R4126" s="723"/>
    </row>
    <row r="4127" spans="4:18" ht="15.75" thickBot="1" x14ac:dyDescent="0.3">
      <c r="N4127" s="783"/>
      <c r="O4127" s="837"/>
      <c r="P4127"/>
      <c r="R4127" s="723"/>
    </row>
    <row r="4128" spans="4:18" ht="15.75" thickBot="1" x14ac:dyDescent="0.3">
      <c r="G4128" s="245" t="s">
        <v>2346</v>
      </c>
      <c r="H4128" s="245"/>
      <c r="I4128" s="243"/>
      <c r="J4128" s="243"/>
      <c r="K4128" s="243"/>
      <c r="M4128" s="784" t="s">
        <v>2266</v>
      </c>
      <c r="N4128" s="785"/>
      <c r="O4128" s="786">
        <f>SUM(O4122:O4127)</f>
        <v>-7796567.5900000185</v>
      </c>
    </row>
    <row r="4130" spans="6:15" ht="15.75" thickBot="1" x14ac:dyDescent="0.3">
      <c r="G4130" s="846" t="s">
        <v>2344</v>
      </c>
      <c r="H4130" s="847"/>
      <c r="I4130" s="848"/>
      <c r="J4130" s="849"/>
    </row>
    <row r="4131" spans="6:15" ht="8.1" customHeight="1" x14ac:dyDescent="0.25">
      <c r="O4131" s="641"/>
    </row>
    <row r="4132" spans="6:15" x14ac:dyDescent="0.25">
      <c r="F4132" s="850" t="s">
        <v>2337</v>
      </c>
      <c r="G4132" s="845" t="s">
        <v>2340</v>
      </c>
      <c r="H4132" s="845"/>
      <c r="I4132" s="845"/>
      <c r="J4132" s="845"/>
      <c r="O4132" s="851">
        <v>3500000</v>
      </c>
    </row>
    <row r="4133" spans="6:15" x14ac:dyDescent="0.25">
      <c r="F4133" s="850" t="s">
        <v>2338</v>
      </c>
      <c r="G4133" s="243" t="s">
        <v>2341</v>
      </c>
      <c r="H4133" s="243"/>
      <c r="I4133" s="243"/>
      <c r="J4133" s="243"/>
      <c r="O4133" s="851">
        <v>6000000</v>
      </c>
    </row>
    <row r="4134" spans="6:15" x14ac:dyDescent="0.25">
      <c r="F4134" s="850" t="s">
        <v>2339</v>
      </c>
      <c r="G4134" s="845" t="s">
        <v>2342</v>
      </c>
      <c r="I4134" s="243"/>
      <c r="J4134" s="243"/>
      <c r="N4134" s="642"/>
      <c r="O4134" s="851">
        <v>800000</v>
      </c>
    </row>
    <row r="4135" spans="6:15" ht="9.9499999999999993" customHeight="1" thickBot="1" x14ac:dyDescent="0.3">
      <c r="F4135" s="850"/>
      <c r="G4135" s="852"/>
      <c r="H4135" s="853"/>
      <c r="I4135" s="848"/>
      <c r="J4135" s="848"/>
      <c r="K4135" s="849"/>
      <c r="L4135" s="849"/>
      <c r="M4135" s="849"/>
      <c r="N4135" s="847"/>
      <c r="O4135" s="854"/>
    </row>
    <row r="4136" spans="6:15" x14ac:dyDescent="0.25">
      <c r="F4136" s="850"/>
      <c r="G4136" s="845" t="s">
        <v>2343</v>
      </c>
      <c r="H4136" s="245"/>
      <c r="I4136" s="243"/>
      <c r="J4136" s="243"/>
      <c r="K4136" s="243"/>
      <c r="L4136" s="243"/>
      <c r="M4136" s="243"/>
      <c r="O4136" s="851">
        <f>SUM(O4132:O4135)</f>
        <v>10300000</v>
      </c>
    </row>
    <row r="4137" spans="6:15" x14ac:dyDescent="0.25">
      <c r="F4137" s="850"/>
      <c r="G4137" s="844"/>
      <c r="I4137" s="243"/>
      <c r="J4137" s="243"/>
      <c r="O4137" s="851"/>
    </row>
    <row r="4138" spans="6:15" x14ac:dyDescent="0.25">
      <c r="F4138" s="850"/>
      <c r="G4138" s="845"/>
      <c r="H4138" s="245"/>
      <c r="I4138" s="243"/>
      <c r="J4138" s="243"/>
      <c r="K4138" s="243"/>
      <c r="L4138" s="243"/>
      <c r="M4138" s="243"/>
      <c r="O4138" s="851"/>
    </row>
    <row r="4139" spans="6:15" x14ac:dyDescent="0.25">
      <c r="F4139" s="850"/>
      <c r="G4139" s="844"/>
    </row>
  </sheetData>
  <sheetProtection algorithmName="SHA-512" hashValue="Arvmfvco0SjXOOqemHAsqQDGs1eWF+lecIKVQTmNENYf1jTHoFySlkyfpvYtQ47WvNb44lwkMu8PFlWQODkzxA==" saltValue="+epEQi4WduTeFfLX5YpSfA==" spinCount="100000" sheet="1" selectLockedCells="1" sort="0" autoFilter="0" selectUnlockedCells="1"/>
  <phoneticPr fontId="133" type="noConversion"/>
  <pageMargins left="0.45" right="0.45" top="0.5" bottom="0.5" header="0.3" footer="0.3"/>
  <pageSetup orientation="landscape" r:id="rId1"/>
  <headerFooter>
    <oddHeader>&amp;R&amp;P</oddHeader>
    <oddFooter>&amp;R&amp;D</oddFooter>
  </headerFooter>
  <legacy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738D-D1E7-4DA5-B578-891B7705E1F2}">
  <sheetPr>
    <tabColor rgb="FF00B050"/>
    <pageSetUpPr fitToPage="1"/>
  </sheetPr>
  <dimension ref="A1:Y232"/>
  <sheetViews>
    <sheetView showGridLines="0" zoomScale="110" zoomScaleNormal="110" workbookViewId="0">
      <pane ySplit="5" topLeftCell="A99" activePane="bottomLeft" state="frozen"/>
      <selection activeCell="F251" sqref="F251"/>
      <selection pane="bottomLeft" activeCell="F251" sqref="F251"/>
    </sheetView>
  </sheetViews>
  <sheetFormatPr defaultColWidth="9.140625" defaultRowHeight="15" x14ac:dyDescent="0.25"/>
  <cols>
    <col min="1" max="1" width="9.5703125" style="43" customWidth="1"/>
    <col min="2" max="2" width="26.85546875" style="51" customWidth="1"/>
    <col min="3" max="3" width="4.7109375" style="20" customWidth="1"/>
    <col min="4" max="4" width="5.140625" style="17" customWidth="1"/>
    <col min="5" max="5" width="7.140625" style="17" customWidth="1"/>
    <col min="6" max="6" width="7" style="17" customWidth="1"/>
    <col min="7" max="7" width="10.42578125" style="45" customWidth="1"/>
    <col min="8" max="8" width="11.7109375" style="45" customWidth="1"/>
    <col min="9" max="9" width="10.5703125" style="45" customWidth="1"/>
    <col min="10" max="10" width="11" style="45" customWidth="1"/>
    <col min="11" max="11" width="12" style="302" customWidth="1"/>
    <col min="12" max="14" width="10.140625" style="47" customWidth="1"/>
    <col min="15" max="15" width="9.5703125" style="45" customWidth="1"/>
    <col min="16" max="16" width="9.5703125" style="115" customWidth="1"/>
    <col min="17" max="17" width="11.140625" style="48" customWidth="1"/>
    <col min="18" max="18" width="16.85546875" style="114" customWidth="1"/>
    <col min="19" max="19" width="9.5703125" style="114" customWidth="1"/>
    <col min="20" max="16384" width="9.140625" style="114"/>
  </cols>
  <sheetData>
    <row r="1" spans="1:18" s="2" customFormat="1" ht="18" customHeight="1" x14ac:dyDescent="0.3">
      <c r="A1" s="36" t="s">
        <v>0</v>
      </c>
      <c r="B1" s="51"/>
      <c r="C1" s="20"/>
      <c r="D1" s="17"/>
      <c r="E1" s="17"/>
      <c r="F1" s="17"/>
      <c r="G1" s="37"/>
      <c r="H1" s="37"/>
      <c r="I1" s="37"/>
      <c r="J1" s="37"/>
      <c r="K1" s="134"/>
      <c r="L1" s="47"/>
      <c r="M1" s="47"/>
      <c r="N1" s="47"/>
      <c r="O1" s="37"/>
      <c r="P1" s="37"/>
      <c r="Q1" s="36"/>
    </row>
    <row r="2" spans="1:18" s="2" customFormat="1" ht="18.75" customHeight="1" thickBot="1" x14ac:dyDescent="0.35">
      <c r="A2" s="36" t="s">
        <v>92</v>
      </c>
      <c r="B2" s="51"/>
      <c r="C2" s="20"/>
      <c r="D2" s="17"/>
      <c r="E2" s="17"/>
      <c r="F2" s="17"/>
      <c r="G2" s="37"/>
      <c r="H2" s="37"/>
      <c r="I2" s="37"/>
      <c r="J2" s="37"/>
      <c r="K2" s="134"/>
      <c r="L2" s="47"/>
      <c r="M2" s="47"/>
      <c r="N2" s="47"/>
      <c r="O2" s="37"/>
      <c r="P2" s="37"/>
      <c r="Q2" s="36"/>
    </row>
    <row r="3" spans="1:18" ht="24" customHeight="1" thickBot="1" x14ac:dyDescent="0.3">
      <c r="A3" s="48"/>
      <c r="G3" s="736" t="s">
        <v>2149</v>
      </c>
      <c r="H3" s="737" t="s">
        <v>2216</v>
      </c>
      <c r="I3" s="738">
        <v>2024</v>
      </c>
      <c r="P3" s="37"/>
    </row>
    <row r="4" spans="1:18" s="2" customFormat="1" ht="18" customHeight="1" x14ac:dyDescent="0.3">
      <c r="A4" s="890" t="s">
        <v>2217</v>
      </c>
      <c r="B4" s="890"/>
      <c r="C4" s="890"/>
      <c r="D4" s="890"/>
      <c r="E4" s="890"/>
      <c r="F4" s="890"/>
      <c r="G4" s="890"/>
      <c r="H4" s="890"/>
      <c r="I4" s="890"/>
      <c r="J4" s="890"/>
      <c r="K4" s="890"/>
      <c r="L4" s="890"/>
      <c r="M4" s="890"/>
      <c r="N4" s="890"/>
      <c r="O4" s="890"/>
      <c r="P4" s="890"/>
      <c r="Q4" s="890"/>
      <c r="R4" s="890"/>
    </row>
    <row r="5" spans="1:18" s="11" customFormat="1" ht="25.5" customHeight="1" thickBot="1" x14ac:dyDescent="0.3">
      <c r="A5" s="739" t="s">
        <v>1082</v>
      </c>
      <c r="B5" s="740" t="s">
        <v>1083</v>
      </c>
      <c r="C5" s="740" t="s">
        <v>2150</v>
      </c>
      <c r="D5" s="740" t="s">
        <v>1175</v>
      </c>
      <c r="E5" s="740" t="s">
        <v>1176</v>
      </c>
      <c r="F5" s="740" t="s">
        <v>1177</v>
      </c>
      <c r="G5" s="741" t="s">
        <v>2218</v>
      </c>
      <c r="H5" s="742" t="s">
        <v>2151</v>
      </c>
      <c r="I5" s="742" t="s">
        <v>2152</v>
      </c>
      <c r="J5" s="742" t="s">
        <v>2153</v>
      </c>
      <c r="K5" s="742" t="s">
        <v>97</v>
      </c>
      <c r="L5" s="743" t="s">
        <v>99</v>
      </c>
      <c r="M5" s="743" t="s">
        <v>2154</v>
      </c>
      <c r="N5" s="743" t="s">
        <v>2155</v>
      </c>
      <c r="O5" s="742" t="s">
        <v>100</v>
      </c>
      <c r="P5" s="742" t="s">
        <v>2156</v>
      </c>
      <c r="Q5" s="744" t="s">
        <v>1174</v>
      </c>
      <c r="R5" s="744" t="s">
        <v>226</v>
      </c>
    </row>
    <row r="6" spans="1:18" ht="20.25" customHeight="1" x14ac:dyDescent="0.25">
      <c r="A6" s="464" t="s">
        <v>2219</v>
      </c>
      <c r="B6" s="556" t="s">
        <v>1084</v>
      </c>
      <c r="C6" s="21">
        <v>826</v>
      </c>
      <c r="D6" s="117" t="s">
        <v>1085</v>
      </c>
      <c r="E6" s="116"/>
      <c r="F6" s="117"/>
      <c r="G6" s="440">
        <v>111363</v>
      </c>
      <c r="H6" s="47"/>
      <c r="I6" s="47">
        <f>Table2726731436383210271164102[[#This Row],[FY2024-2025 BUDGET]]+Table2726731436383210271164102[[#This Row],[ADDITIONAL REVENUE ]]</f>
        <v>111363</v>
      </c>
      <c r="J6" s="47">
        <v>60637.96</v>
      </c>
      <c r="K6" s="707">
        <v>0</v>
      </c>
      <c r="L6" s="441">
        <f>Table2726731436383210271164102[[#This Row],[EXPENDED ]]+Table2726731436383210271164102[[#This Row],[ENCUMBERED]]</f>
        <v>60637.96</v>
      </c>
      <c r="M6" s="441">
        <f>Table2726731436383210271164102[[#This Row],[FORECAST]]-Table2726731436383210271164102[[#This Row],[TOTAL YTD]]</f>
        <v>50725.04</v>
      </c>
      <c r="N6" s="745">
        <f>Table2726731436383210271164102[[#This Row],[TOTAL YTD]]/Table2726731436383210271164102[[#This Row],[FINAL BUDGET]]</f>
        <v>0.54450724208219969</v>
      </c>
      <c r="O6" s="47">
        <f>Table2726731436383210271164102[[#This Row],[FINAL BUDGET]]</f>
        <v>111363</v>
      </c>
      <c r="P6" s="802">
        <f t="shared" ref="P6:P24" si="0">I6-O6</f>
        <v>0</v>
      </c>
      <c r="Q6" s="803" t="s">
        <v>2138</v>
      </c>
      <c r="R6" s="804"/>
    </row>
    <row r="7" spans="1:18" ht="19.5" customHeight="1" x14ac:dyDescent="0.25">
      <c r="A7" s="746">
        <v>25003</v>
      </c>
      <c r="B7" s="557" t="s">
        <v>1086</v>
      </c>
      <c r="C7" s="21">
        <v>814</v>
      </c>
      <c r="D7" s="117" t="s">
        <v>1085</v>
      </c>
      <c r="E7" s="116"/>
      <c r="F7" s="117"/>
      <c r="G7" s="440">
        <v>111363</v>
      </c>
      <c r="H7" s="47"/>
      <c r="I7" s="47">
        <f>Table2726731436383210271164102[[#This Row],[FY2024-2025 BUDGET]]+Table2726731436383210271164102[[#This Row],[ADDITIONAL REVENUE ]]</f>
        <v>111363</v>
      </c>
      <c r="J7" s="47">
        <v>21641.38</v>
      </c>
      <c r="K7" s="707">
        <v>0</v>
      </c>
      <c r="L7" s="441">
        <f>Table2726731436383210271164102[[#This Row],[EXPENDED ]]+Table2726731436383210271164102[[#This Row],[ENCUMBERED]]</f>
        <v>21641.38</v>
      </c>
      <c r="M7" s="550">
        <f>Table2726731436383210271164102[[#This Row],[FORECAST]]-Table2726731436383210271164102[[#This Row],[TOTAL YTD]]</f>
        <v>89721.62</v>
      </c>
      <c r="N7" s="745">
        <f>Table2726731436383210271164102[[#This Row],[TOTAL YTD]]/Table2726731436383210271164102[[#This Row],[FINAL BUDGET]]</f>
        <v>0.19433186965150007</v>
      </c>
      <c r="O7" s="47">
        <f>Table2726731436383210271164102[[#This Row],[FINAL BUDGET]]</f>
        <v>111363</v>
      </c>
      <c r="P7" s="802">
        <f t="shared" si="0"/>
        <v>0</v>
      </c>
      <c r="Q7" s="16" t="s">
        <v>2138</v>
      </c>
      <c r="R7" s="805"/>
    </row>
    <row r="8" spans="1:18" ht="19.5" customHeight="1" x14ac:dyDescent="0.25">
      <c r="A8" s="464" t="s">
        <v>2220</v>
      </c>
      <c r="B8" s="557" t="s">
        <v>1087</v>
      </c>
      <c r="C8" s="21">
        <v>841</v>
      </c>
      <c r="D8" s="117" t="s">
        <v>1085</v>
      </c>
      <c r="E8" s="116"/>
      <c r="F8" s="117"/>
      <c r="G8" s="440">
        <v>111363</v>
      </c>
      <c r="H8" s="47"/>
      <c r="I8" s="47">
        <f>Table2726731436383210271164102[[#This Row],[FY2024-2025 BUDGET]]+Table2726731436383210271164102[[#This Row],[ADDITIONAL REVENUE ]]</f>
        <v>111363</v>
      </c>
      <c r="J8" s="47">
        <v>1994.4</v>
      </c>
      <c r="K8" s="707">
        <v>0</v>
      </c>
      <c r="L8" s="441">
        <f>Table2726731436383210271164102[[#This Row],[EXPENDED ]]+Table2726731436383210271164102[[#This Row],[ENCUMBERED]]</f>
        <v>1994.4</v>
      </c>
      <c r="M8" s="441">
        <f>Table2726731436383210271164102[[#This Row],[FORECAST]]-Table2726731436383210271164102[[#This Row],[TOTAL YTD]]</f>
        <v>109368.6</v>
      </c>
      <c r="N8" s="745">
        <f>Table2726731436383210271164102[[#This Row],[TOTAL YTD]]/Table2726731436383210271164102[[#This Row],[FINAL BUDGET]]</f>
        <v>1.7909000296328224E-2</v>
      </c>
      <c r="O8" s="47">
        <f>Table2726731436383210271164102[[#This Row],[FINAL BUDGET]]</f>
        <v>111363</v>
      </c>
      <c r="P8" s="802">
        <f t="shared" si="0"/>
        <v>0</v>
      </c>
      <c r="Q8" s="16" t="s">
        <v>2138</v>
      </c>
      <c r="R8" s="805"/>
    </row>
    <row r="9" spans="1:18" ht="19.5" customHeight="1" x14ac:dyDescent="0.25">
      <c r="A9" s="746">
        <v>25005</v>
      </c>
      <c r="B9" s="557" t="s">
        <v>148</v>
      </c>
      <c r="C9" s="21"/>
      <c r="D9" s="117" t="s">
        <v>1085</v>
      </c>
      <c r="E9" s="116"/>
      <c r="F9" s="117"/>
      <c r="G9" s="440">
        <v>4863134</v>
      </c>
      <c r="H9" s="47"/>
      <c r="I9" s="441">
        <f>Table2726731436383210271164102[[#This Row],[FY2024-2025 BUDGET]]+Table2726731436383210271164102[[#This Row],[ADDITIONAL REVENUE ]]</f>
        <v>4863134</v>
      </c>
      <c r="J9" s="441">
        <v>550992.85</v>
      </c>
      <c r="K9" s="707">
        <v>8749.8799999999992</v>
      </c>
      <c r="L9" s="441">
        <f>Table2726731436383210271164102[[#This Row],[EXPENDED ]]+Table2726731436383210271164102[[#This Row],[ENCUMBERED]]</f>
        <v>559742.73</v>
      </c>
      <c r="M9" s="441">
        <f>Table2726731436383210271164102[[#This Row],[FORECAST]]-Table2726731436383210271164102[[#This Row],[TOTAL YTD]]</f>
        <v>4303391.2699999996</v>
      </c>
      <c r="N9" s="745">
        <f>Table2726731436383210271164102[[#This Row],[TOTAL YTD]]/Table2726731436383210271164102[[#This Row],[FINAL BUDGET]]</f>
        <v>0.11509917884228565</v>
      </c>
      <c r="O9" s="47">
        <f>Table2726731436383210271164102[[#This Row],[FINAL BUDGET]]</f>
        <v>4863134</v>
      </c>
      <c r="P9" s="802">
        <f t="shared" si="0"/>
        <v>0</v>
      </c>
      <c r="Q9" s="16" t="s">
        <v>2138</v>
      </c>
      <c r="R9" s="806"/>
    </row>
    <row r="10" spans="1:18" ht="19.5" customHeight="1" x14ac:dyDescent="0.25">
      <c r="A10" s="746">
        <v>24006</v>
      </c>
      <c r="B10" s="557" t="s">
        <v>1936</v>
      </c>
      <c r="C10" s="617">
        <v>801</v>
      </c>
      <c r="D10" s="116" t="s">
        <v>1085</v>
      </c>
      <c r="E10" s="135"/>
      <c r="F10" s="117"/>
      <c r="G10" s="440">
        <v>1253</v>
      </c>
      <c r="H10" s="47"/>
      <c r="I10" s="47">
        <f>Table2726731436383210271164102[[#This Row],[FY2024-2025 BUDGET]]+Table2726731436383210271164102[[#This Row],[ADDITIONAL REVENUE ]]</f>
        <v>1253</v>
      </c>
      <c r="J10" s="47">
        <v>946.68</v>
      </c>
      <c r="K10" s="47">
        <v>0</v>
      </c>
      <c r="L10" s="441">
        <f>Table2726731436383210271164102[[#This Row],[EXPENDED ]]+Table2726731436383210271164102[[#This Row],[ENCUMBERED]]</f>
        <v>946.68</v>
      </c>
      <c r="M10" s="441">
        <f>Table2726731436383210271164102[[#This Row],[FORECAST]]-Table2726731436383210271164102[[#This Row],[TOTAL YTD]]</f>
        <v>306.32000000000005</v>
      </c>
      <c r="N10" s="745">
        <f>Table2726731436383210271164102[[#This Row],[TOTAL YTD]]/Table2726731436383210271164102[[#This Row],[FINAL BUDGET]]</f>
        <v>0.75553072625698325</v>
      </c>
      <c r="O10" s="47">
        <f>Table2726731436383210271164102[[#This Row],[FINAL BUDGET]]</f>
        <v>1253</v>
      </c>
      <c r="P10" s="802">
        <f t="shared" si="0"/>
        <v>0</v>
      </c>
      <c r="Q10" s="16" t="s">
        <v>2138</v>
      </c>
      <c r="R10" s="805"/>
    </row>
    <row r="11" spans="1:18" ht="19.5" customHeight="1" x14ac:dyDescent="0.25">
      <c r="A11" s="746">
        <v>24007</v>
      </c>
      <c r="B11" s="557" t="s">
        <v>1938</v>
      </c>
      <c r="C11" s="617">
        <v>861</v>
      </c>
      <c r="D11" s="116" t="s">
        <v>1085</v>
      </c>
      <c r="E11" s="135"/>
      <c r="F11" s="117"/>
      <c r="G11" s="440">
        <v>50857</v>
      </c>
      <c r="H11" s="47"/>
      <c r="I11" s="47">
        <f>Table2726731436383210271164102[[#This Row],[FY2024-2025 BUDGET]]+Table2726731436383210271164102[[#This Row],[ADDITIONAL REVENUE ]]</f>
        <v>50857</v>
      </c>
      <c r="J11" s="47">
        <v>0</v>
      </c>
      <c r="K11" s="47">
        <v>0</v>
      </c>
      <c r="L11" s="441">
        <f>Table2726731436383210271164102[[#This Row],[EXPENDED ]]+Table2726731436383210271164102[[#This Row],[ENCUMBERED]]</f>
        <v>0</v>
      </c>
      <c r="M11" s="441">
        <f>Table2726731436383210271164102[[#This Row],[FORECAST]]-Table2726731436383210271164102[[#This Row],[TOTAL YTD]]</f>
        <v>50857</v>
      </c>
      <c r="N11" s="745">
        <f>Table2726731436383210271164102[[#This Row],[TOTAL YTD]]/Table2726731436383210271164102[[#This Row],[FINAL BUDGET]]</f>
        <v>0</v>
      </c>
      <c r="O11" s="47">
        <f>Table2726731436383210271164102[[#This Row],[FINAL BUDGET]]</f>
        <v>50857</v>
      </c>
      <c r="P11" s="802">
        <f t="shared" si="0"/>
        <v>0</v>
      </c>
      <c r="Q11" s="16" t="s">
        <v>2138</v>
      </c>
      <c r="R11" s="805"/>
    </row>
    <row r="12" spans="1:18" ht="19.5" customHeight="1" x14ac:dyDescent="0.25">
      <c r="A12" s="746">
        <v>24008</v>
      </c>
      <c r="B12" s="557" t="s">
        <v>1940</v>
      </c>
      <c r="C12" s="617">
        <v>816</v>
      </c>
      <c r="D12" s="116" t="s">
        <v>1085</v>
      </c>
      <c r="E12" s="135"/>
      <c r="F12" s="117"/>
      <c r="G12" s="440">
        <v>299914</v>
      </c>
      <c r="H12" s="47"/>
      <c r="I12" s="47">
        <f>Table2726731436383210271164102[[#This Row],[FY2024-2025 BUDGET]]+Table2726731436383210271164102[[#This Row],[ADDITIONAL REVENUE ]]</f>
        <v>299914</v>
      </c>
      <c r="J12" s="47">
        <v>0</v>
      </c>
      <c r="K12" s="47">
        <v>0</v>
      </c>
      <c r="L12" s="441">
        <f>Table2726731436383210271164102[[#This Row],[EXPENDED ]]+Table2726731436383210271164102[[#This Row],[ENCUMBERED]]</f>
        <v>0</v>
      </c>
      <c r="M12" s="441">
        <f>Table2726731436383210271164102[[#This Row],[FORECAST]]-Table2726731436383210271164102[[#This Row],[TOTAL YTD]]</f>
        <v>299914</v>
      </c>
      <c r="N12" s="745">
        <f>Table2726731436383210271164102[[#This Row],[TOTAL YTD]]/Table2726731436383210271164102[[#This Row],[FINAL BUDGET]]</f>
        <v>0</v>
      </c>
      <c r="O12" s="47">
        <f>Table2726731436383210271164102[[#This Row],[FINAL BUDGET]]</f>
        <v>299914</v>
      </c>
      <c r="P12" s="802">
        <f t="shared" si="0"/>
        <v>0</v>
      </c>
      <c r="Q12" s="16" t="s">
        <v>2138</v>
      </c>
      <c r="R12" s="805"/>
    </row>
    <row r="13" spans="1:18" ht="19.5" customHeight="1" x14ac:dyDescent="0.25">
      <c r="A13" s="746">
        <v>24009</v>
      </c>
      <c r="B13" s="557" t="s">
        <v>1942</v>
      </c>
      <c r="C13" s="617">
        <v>839</v>
      </c>
      <c r="D13" s="116" t="s">
        <v>1085</v>
      </c>
      <c r="E13" s="135"/>
      <c r="F13" s="117"/>
      <c r="G13" s="440">
        <v>64592</v>
      </c>
      <c r="H13" s="47"/>
      <c r="I13" s="47">
        <f>Table2726731436383210271164102[[#This Row],[FY2024-2025 BUDGET]]+Table2726731436383210271164102[[#This Row],[ADDITIONAL REVENUE ]]</f>
        <v>64592</v>
      </c>
      <c r="J13" s="47">
        <v>1184.24</v>
      </c>
      <c r="K13" s="47">
        <v>0</v>
      </c>
      <c r="L13" s="441">
        <f>Table2726731436383210271164102[[#This Row],[EXPENDED ]]+Table2726731436383210271164102[[#This Row],[ENCUMBERED]]</f>
        <v>1184.24</v>
      </c>
      <c r="M13" s="441">
        <f>Table2726731436383210271164102[[#This Row],[FORECAST]]-Table2726731436383210271164102[[#This Row],[TOTAL YTD]]</f>
        <v>63407.76</v>
      </c>
      <c r="N13" s="745">
        <f>Table2726731436383210271164102[[#This Row],[TOTAL YTD]]/Table2726731436383210271164102[[#This Row],[FINAL BUDGET]]</f>
        <v>1.8334159028981917E-2</v>
      </c>
      <c r="O13" s="47">
        <f>Table2726731436383210271164102[[#This Row],[FINAL BUDGET]]</f>
        <v>64592</v>
      </c>
      <c r="P13" s="802">
        <f t="shared" si="0"/>
        <v>0</v>
      </c>
      <c r="Q13" s="16" t="s">
        <v>2138</v>
      </c>
      <c r="R13" s="805"/>
    </row>
    <row r="14" spans="1:18" ht="19.5" customHeight="1" x14ac:dyDescent="0.25">
      <c r="A14" s="746">
        <v>24010</v>
      </c>
      <c r="B14" s="557" t="s">
        <v>1944</v>
      </c>
      <c r="C14" s="617">
        <v>841</v>
      </c>
      <c r="D14" s="116" t="s">
        <v>1085</v>
      </c>
      <c r="E14" s="135"/>
      <c r="F14" s="117"/>
      <c r="G14" s="440">
        <v>65350</v>
      </c>
      <c r="H14" s="47"/>
      <c r="I14" s="47">
        <f>Table2726731436383210271164102[[#This Row],[FY2024-2025 BUDGET]]+Table2726731436383210271164102[[#This Row],[ADDITIONAL REVENUE ]]</f>
        <v>65350</v>
      </c>
      <c r="J14" s="47">
        <v>0</v>
      </c>
      <c r="K14" s="47">
        <v>50066</v>
      </c>
      <c r="L14" s="441">
        <f>Table2726731436383210271164102[[#This Row],[EXPENDED ]]+Table2726731436383210271164102[[#This Row],[ENCUMBERED]]</f>
        <v>50066</v>
      </c>
      <c r="M14" s="441">
        <f>Table2726731436383210271164102[[#This Row],[FORECAST]]-Table2726731436383210271164102[[#This Row],[TOTAL YTD]]</f>
        <v>15284</v>
      </c>
      <c r="N14" s="745">
        <f>Table2726731436383210271164102[[#This Row],[TOTAL YTD]]/Table2726731436383210271164102[[#This Row],[FINAL BUDGET]]</f>
        <v>0.76612088752869167</v>
      </c>
      <c r="O14" s="47">
        <f>Table2726731436383210271164102[[#This Row],[FINAL BUDGET]]</f>
        <v>65350</v>
      </c>
      <c r="P14" s="802">
        <f t="shared" si="0"/>
        <v>0</v>
      </c>
      <c r="Q14" s="16" t="s">
        <v>2138</v>
      </c>
      <c r="R14" s="805"/>
    </row>
    <row r="15" spans="1:18" ht="19.5" customHeight="1" x14ac:dyDescent="0.25">
      <c r="A15" s="746">
        <v>24011</v>
      </c>
      <c r="B15" s="557" t="s">
        <v>1946</v>
      </c>
      <c r="C15" s="617">
        <v>863</v>
      </c>
      <c r="D15" s="116" t="s">
        <v>1085</v>
      </c>
      <c r="E15" s="135"/>
      <c r="F15" s="117"/>
      <c r="G15" s="440">
        <v>15025</v>
      </c>
      <c r="H15" s="47"/>
      <c r="I15" s="47">
        <f>Table2726731436383210271164102[[#This Row],[FY2024-2025 BUDGET]]+Table2726731436383210271164102[[#This Row],[ADDITIONAL REVENUE ]]</f>
        <v>15025</v>
      </c>
      <c r="J15" s="47">
        <v>0</v>
      </c>
      <c r="K15" s="47">
        <v>0</v>
      </c>
      <c r="L15" s="441">
        <f>Table2726731436383210271164102[[#This Row],[EXPENDED ]]+Table2726731436383210271164102[[#This Row],[ENCUMBERED]]</f>
        <v>0</v>
      </c>
      <c r="M15" s="441">
        <f>Table2726731436383210271164102[[#This Row],[FORECAST]]-Table2726731436383210271164102[[#This Row],[TOTAL YTD]]</f>
        <v>15025</v>
      </c>
      <c r="N15" s="745">
        <f>Table2726731436383210271164102[[#This Row],[TOTAL YTD]]/Table2726731436383210271164102[[#This Row],[FINAL BUDGET]]</f>
        <v>0</v>
      </c>
      <c r="O15" s="47">
        <f>Table2726731436383210271164102[[#This Row],[FINAL BUDGET]]</f>
        <v>15025</v>
      </c>
      <c r="P15" s="802">
        <f t="shared" si="0"/>
        <v>0</v>
      </c>
      <c r="Q15" s="16" t="s">
        <v>2138</v>
      </c>
      <c r="R15" s="805"/>
    </row>
    <row r="16" spans="1:18" ht="19.5" customHeight="1" x14ac:dyDescent="0.25">
      <c r="A16" s="746">
        <v>24012</v>
      </c>
      <c r="B16" s="557" t="s">
        <v>1948</v>
      </c>
      <c r="C16" s="617">
        <v>810</v>
      </c>
      <c r="D16" s="116" t="s">
        <v>1085</v>
      </c>
      <c r="E16" s="135"/>
      <c r="F16" s="117"/>
      <c r="G16" s="440">
        <v>10515</v>
      </c>
      <c r="H16" s="47"/>
      <c r="I16" s="47">
        <f>Table2726731436383210271164102[[#This Row],[FY2024-2025 BUDGET]]+Table2726731436383210271164102[[#This Row],[ADDITIONAL REVENUE ]]</f>
        <v>10515</v>
      </c>
      <c r="J16" s="47">
        <v>0</v>
      </c>
      <c r="K16" s="47">
        <v>0</v>
      </c>
      <c r="L16" s="441">
        <f>Table2726731436383210271164102[[#This Row],[EXPENDED ]]+Table2726731436383210271164102[[#This Row],[ENCUMBERED]]</f>
        <v>0</v>
      </c>
      <c r="M16" s="441">
        <f>Table2726731436383210271164102[[#This Row],[FORECAST]]-Table2726731436383210271164102[[#This Row],[TOTAL YTD]]</f>
        <v>10515</v>
      </c>
      <c r="N16" s="745">
        <f>Table2726731436383210271164102[[#This Row],[TOTAL YTD]]/Table2726731436383210271164102[[#This Row],[FINAL BUDGET]]</f>
        <v>0</v>
      </c>
      <c r="O16" s="47">
        <f>Table2726731436383210271164102[[#This Row],[FINAL BUDGET]]</f>
        <v>10515</v>
      </c>
      <c r="P16" s="802">
        <f t="shared" si="0"/>
        <v>0</v>
      </c>
      <c r="Q16" s="16" t="s">
        <v>2138</v>
      </c>
      <c r="R16" s="805"/>
    </row>
    <row r="17" spans="1:24" ht="19.5" customHeight="1" x14ac:dyDescent="0.25">
      <c r="A17" s="746">
        <v>23013</v>
      </c>
      <c r="B17" s="557" t="s">
        <v>1989</v>
      </c>
      <c r="C17" s="617"/>
      <c r="D17" s="116" t="s">
        <v>1085</v>
      </c>
      <c r="E17" s="135"/>
      <c r="F17" s="117"/>
      <c r="G17" s="440">
        <v>835339</v>
      </c>
      <c r="H17" s="47"/>
      <c r="I17" s="47">
        <f>Table2726731436383210271164102[[#This Row],[FY2024-2025 BUDGET]]+Table2726731436383210271164102[[#This Row],[ADDITIONAL REVENUE ]]</f>
        <v>835339</v>
      </c>
      <c r="J17" s="47">
        <v>0</v>
      </c>
      <c r="K17" s="47">
        <v>0</v>
      </c>
      <c r="L17" s="441">
        <f>Table2726731436383210271164102[[#This Row],[EXPENDED ]]+Table2726731436383210271164102[[#This Row],[ENCUMBERED]]</f>
        <v>0</v>
      </c>
      <c r="M17" s="441">
        <f>Table2726731436383210271164102[[#This Row],[FORECAST]]-Table2726731436383210271164102[[#This Row],[TOTAL YTD]]</f>
        <v>835339</v>
      </c>
      <c r="N17" s="745">
        <f>Table2726731436383210271164102[[#This Row],[TOTAL YTD]]/Table2726731436383210271164102[[#This Row],[FINAL BUDGET]]</f>
        <v>0</v>
      </c>
      <c r="O17" s="47">
        <f>Table2726731436383210271164102[[#This Row],[FINAL BUDGET]]</f>
        <v>835339</v>
      </c>
      <c r="P17" s="802">
        <f t="shared" si="0"/>
        <v>0</v>
      </c>
      <c r="Q17" s="807" t="s">
        <v>2045</v>
      </c>
      <c r="R17" s="808"/>
    </row>
    <row r="18" spans="1:24" ht="19.5" customHeight="1" x14ac:dyDescent="0.25">
      <c r="A18" s="746">
        <v>24015</v>
      </c>
      <c r="B18" s="557" t="s">
        <v>1837</v>
      </c>
      <c r="C18" s="21"/>
      <c r="D18" s="116" t="s">
        <v>1085</v>
      </c>
      <c r="E18" s="135"/>
      <c r="F18" s="117"/>
      <c r="G18" s="440">
        <v>500000</v>
      </c>
      <c r="H18" s="47"/>
      <c r="I18" s="47">
        <f>Table2726731436383210271164102[[#This Row],[FY2024-2025 BUDGET]]+Table2726731436383210271164102[[#This Row],[ADDITIONAL REVENUE ]]</f>
        <v>500000</v>
      </c>
      <c r="J18" s="47">
        <v>375.88</v>
      </c>
      <c r="K18" s="47">
        <v>0</v>
      </c>
      <c r="L18" s="441">
        <f>Table2726731436383210271164102[[#This Row],[EXPENDED ]]+Table2726731436383210271164102[[#This Row],[ENCUMBERED]]</f>
        <v>375.88</v>
      </c>
      <c r="M18" s="441">
        <f>Table2726731436383210271164102[[#This Row],[FORECAST]]-Table2726731436383210271164102[[#This Row],[TOTAL YTD]]</f>
        <v>499624.12</v>
      </c>
      <c r="N18" s="745">
        <f>Table2726731436383210271164102[[#This Row],[TOTAL YTD]]/Table2726731436383210271164102[[#This Row],[FINAL BUDGET]]</f>
        <v>7.5175999999999997E-4</v>
      </c>
      <c r="O18" s="47">
        <f>Table2726731436383210271164102[[#This Row],[FINAL BUDGET]]</f>
        <v>500000</v>
      </c>
      <c r="P18" s="802">
        <f t="shared" si="0"/>
        <v>0</v>
      </c>
      <c r="Q18" s="807" t="s">
        <v>2269</v>
      </c>
      <c r="R18" s="806"/>
    </row>
    <row r="19" spans="1:24" ht="19.5" customHeight="1" x14ac:dyDescent="0.25">
      <c r="A19" s="746">
        <v>23017</v>
      </c>
      <c r="B19" s="557" t="s">
        <v>1822</v>
      </c>
      <c r="C19" s="21"/>
      <c r="D19" s="116"/>
      <c r="E19" s="135" t="s">
        <v>1085</v>
      </c>
      <c r="F19" s="117"/>
      <c r="G19" s="440">
        <v>54385</v>
      </c>
      <c r="H19" s="47"/>
      <c r="I19" s="441">
        <f>Table2726731436383210271164102[[#This Row],[FY2024-2025 BUDGET]]+Table2726731436383210271164102[[#This Row],[ADDITIONAL REVENUE ]]</f>
        <v>54385</v>
      </c>
      <c r="J19" s="441">
        <f>47830.24-2168</f>
        <v>45662.239999999998</v>
      </c>
      <c r="K19" s="707">
        <v>8722.73</v>
      </c>
      <c r="L19" s="441">
        <f>Table2726731436383210271164102[[#This Row],[EXPENDED ]]+Table2726731436383210271164102[[#This Row],[ENCUMBERED]]</f>
        <v>54384.97</v>
      </c>
      <c r="M19" s="550">
        <f>Table2726731436383210271164102[[#This Row],[FORECAST]]-Table2726731436383210271164102[[#This Row],[TOTAL YTD]]</f>
        <v>2.9999999998835847E-2</v>
      </c>
      <c r="N19" s="745">
        <f>Table2726731436383210271164102[[#This Row],[TOTAL YTD]]/Table2726731436383210271164102[[#This Row],[FINAL BUDGET]]</f>
        <v>0.99999944837730992</v>
      </c>
      <c r="O19" s="47">
        <f>Table2726731436383210271164102[[#This Row],[FINAL BUDGET]]</f>
        <v>54385</v>
      </c>
      <c r="P19" s="802">
        <f t="shared" si="0"/>
        <v>0</v>
      </c>
      <c r="Q19" s="16" t="s">
        <v>1826</v>
      </c>
      <c r="R19" s="805"/>
    </row>
    <row r="20" spans="1:24" ht="25.5" customHeight="1" x14ac:dyDescent="0.25">
      <c r="A20" s="746">
        <v>24017</v>
      </c>
      <c r="B20" s="557" t="s">
        <v>1822</v>
      </c>
      <c r="C20" s="21"/>
      <c r="D20" s="116"/>
      <c r="E20" s="135" t="s">
        <v>1085</v>
      </c>
      <c r="F20" s="117"/>
      <c r="G20" s="440">
        <v>186634</v>
      </c>
      <c r="H20" s="47"/>
      <c r="I20" s="441">
        <f>Table2726731436383210271164102[[#This Row],[FY2024-2025 BUDGET]]+Table2726731436383210271164102[[#This Row],[ADDITIONAL REVENUE ]]</f>
        <v>186634</v>
      </c>
      <c r="J20" s="441">
        <f>176178.47-2309</f>
        <v>173869.47</v>
      </c>
      <c r="K20" s="707">
        <v>12764.5</v>
      </c>
      <c r="L20" s="441">
        <f>Table2726731436383210271164102[[#This Row],[EXPENDED ]]+Table2726731436383210271164102[[#This Row],[ENCUMBERED]]</f>
        <v>186633.97</v>
      </c>
      <c r="M20" s="550">
        <f>Table2726731436383210271164102[[#This Row],[FORECAST]]-Table2726731436383210271164102[[#This Row],[TOTAL YTD]]</f>
        <v>2.9999999998835847E-2</v>
      </c>
      <c r="N20" s="745">
        <f>Table2726731436383210271164102[[#This Row],[TOTAL YTD]]/Table2726731436383210271164102[[#This Row],[FINAL BUDGET]]</f>
        <v>0.9999998392575844</v>
      </c>
      <c r="O20" s="47">
        <f>Table2726731436383210271164102[[#This Row],[FINAL BUDGET]]</f>
        <v>186634</v>
      </c>
      <c r="P20" s="802">
        <f t="shared" si="0"/>
        <v>0</v>
      </c>
      <c r="Q20" s="16" t="s">
        <v>1826</v>
      </c>
      <c r="R20" s="805"/>
    </row>
    <row r="21" spans="1:24" ht="25.5" customHeight="1" x14ac:dyDescent="0.25">
      <c r="A21" s="746">
        <v>25018</v>
      </c>
      <c r="B21" s="557" t="s">
        <v>2221</v>
      </c>
      <c r="C21" s="617"/>
      <c r="D21" s="116"/>
      <c r="E21" s="135" t="s">
        <v>1085</v>
      </c>
      <c r="F21" s="117"/>
      <c r="G21" s="440">
        <v>706000</v>
      </c>
      <c r="H21" s="47"/>
      <c r="I21" s="47">
        <f>Table2726731436383210271164102[[#This Row],[FY2024-2025 BUDGET]]+Table2726731436383210271164102[[#This Row],[ADDITIONAL REVENUE ]]</f>
        <v>706000</v>
      </c>
      <c r="J21" s="47">
        <v>0</v>
      </c>
      <c r="K21" s="47">
        <v>0</v>
      </c>
      <c r="L21" s="441">
        <f>Table2726731436383210271164102[[#This Row],[EXPENDED ]]+Table2726731436383210271164102[[#This Row],[ENCUMBERED]]</f>
        <v>0</v>
      </c>
      <c r="M21" s="441">
        <f>Table2726731436383210271164102[[#This Row],[FORECAST]]-Table2726731436383210271164102[[#This Row],[TOTAL YTD]]</f>
        <v>706000</v>
      </c>
      <c r="N21" s="745">
        <f>Table2726731436383210271164102[[#This Row],[TOTAL YTD]]/Table2726731436383210271164102[[#This Row],[FINAL BUDGET]]</f>
        <v>0</v>
      </c>
      <c r="O21" s="47">
        <f>Table2726731436383210271164102[[#This Row],[FINAL BUDGET]]</f>
        <v>706000</v>
      </c>
      <c r="P21" s="802">
        <f t="shared" si="0"/>
        <v>0</v>
      </c>
      <c r="Q21" s="16" t="s">
        <v>1807</v>
      </c>
      <c r="R21" s="805"/>
    </row>
    <row r="22" spans="1:24" ht="19.5" customHeight="1" x14ac:dyDescent="0.25">
      <c r="A22" s="746">
        <v>23019</v>
      </c>
      <c r="B22" s="557" t="s">
        <v>1803</v>
      </c>
      <c r="C22" s="21"/>
      <c r="D22" s="116"/>
      <c r="E22" s="135" t="s">
        <v>1085</v>
      </c>
      <c r="F22" s="117"/>
      <c r="G22" s="440">
        <v>388609</v>
      </c>
      <c r="H22" s="47"/>
      <c r="I22" s="441">
        <f>Table2726731436383210271164102[[#This Row],[FY2024-2025 BUDGET]]+Table2726731436383210271164102[[#This Row],[ADDITIONAL REVENUE ]]</f>
        <v>388609</v>
      </c>
      <c r="J22" s="441">
        <v>130723.22</v>
      </c>
      <c r="K22" s="707">
        <v>35776</v>
      </c>
      <c r="L22" s="441">
        <f>Table2726731436383210271164102[[#This Row],[EXPENDED ]]+Table2726731436383210271164102[[#This Row],[ENCUMBERED]]</f>
        <v>166499.22</v>
      </c>
      <c r="M22" s="441">
        <f>Table2726731436383210271164102[[#This Row],[FORECAST]]-Table2726731436383210271164102[[#This Row],[TOTAL YTD]]</f>
        <v>222109.78</v>
      </c>
      <c r="N22" s="745">
        <f>Table2726731436383210271164102[[#This Row],[TOTAL YTD]]/Table2726731436383210271164102[[#This Row],[FINAL BUDGET]]</f>
        <v>0.42844921244747292</v>
      </c>
      <c r="O22" s="47">
        <f>Table2726731436383210271164102[[#This Row],[FINAL BUDGET]]</f>
        <v>388609</v>
      </c>
      <c r="P22" s="802">
        <f t="shared" si="0"/>
        <v>0</v>
      </c>
      <c r="Q22" s="16" t="s">
        <v>2045</v>
      </c>
      <c r="R22" s="805"/>
    </row>
    <row r="23" spans="1:24" ht="19.5" customHeight="1" x14ac:dyDescent="0.25">
      <c r="A23" s="746">
        <v>25020</v>
      </c>
      <c r="B23" s="557" t="s">
        <v>1077</v>
      </c>
      <c r="C23" s="21"/>
      <c r="D23" s="117" t="s">
        <v>1085</v>
      </c>
      <c r="E23" s="116"/>
      <c r="F23" s="117"/>
      <c r="G23" s="440">
        <v>506635</v>
      </c>
      <c r="H23" s="47"/>
      <c r="I23" s="441">
        <f>Table2726731436383210271164102[[#This Row],[FY2024-2025 BUDGET]]+Table2726731436383210271164102[[#This Row],[ADDITIONAL REVENUE ]]</f>
        <v>506635</v>
      </c>
      <c r="J23" s="441">
        <v>120535.71</v>
      </c>
      <c r="K23" s="707">
        <v>0</v>
      </c>
      <c r="L23" s="441">
        <f>Table2726731436383210271164102[[#This Row],[EXPENDED ]]+Table2726731436383210271164102[[#This Row],[ENCUMBERED]]</f>
        <v>120535.71</v>
      </c>
      <c r="M23" s="441">
        <f>Table2726731436383210271164102[[#This Row],[FORECAST]]-Table2726731436383210271164102[[#This Row],[TOTAL YTD]]</f>
        <v>386099.29</v>
      </c>
      <c r="N23" s="745">
        <f>Table2726731436383210271164102[[#This Row],[TOTAL YTD]]/Table2726731436383210271164102[[#This Row],[FINAL BUDGET]]</f>
        <v>0.23791429727515867</v>
      </c>
      <c r="O23" s="47">
        <f>Table2726731436383210271164102[[#This Row],[FINAL BUDGET]]</f>
        <v>506635</v>
      </c>
      <c r="P23" s="802">
        <f t="shared" si="0"/>
        <v>0</v>
      </c>
      <c r="Q23" s="16" t="s">
        <v>2138</v>
      </c>
      <c r="R23" s="805"/>
    </row>
    <row r="24" spans="1:24" ht="19.5" customHeight="1" thickBot="1" x14ac:dyDescent="0.3">
      <c r="A24" s="746">
        <v>25021</v>
      </c>
      <c r="B24" s="557" t="s">
        <v>1088</v>
      </c>
      <c r="C24" s="21"/>
      <c r="D24" s="117" t="s">
        <v>1085</v>
      </c>
      <c r="E24" s="116"/>
      <c r="F24" s="117"/>
      <c r="G24" s="440">
        <v>4800821</v>
      </c>
      <c r="H24" s="47"/>
      <c r="I24" s="441">
        <f>Table2726731436383210271164102[[#This Row],[FY2024-2025 BUDGET]]+Table2726731436383210271164102[[#This Row],[ADDITIONAL REVENUE ]]</f>
        <v>4800821</v>
      </c>
      <c r="J24" s="441">
        <v>580763.64999999991</v>
      </c>
      <c r="K24" s="707">
        <v>1200</v>
      </c>
      <c r="L24" s="441">
        <f>Table2726731436383210271164102[[#This Row],[EXPENDED ]]+Table2726731436383210271164102[[#This Row],[ENCUMBERED]]</f>
        <v>581963.64999999991</v>
      </c>
      <c r="M24" s="441">
        <f>Table2726731436383210271164102[[#This Row],[FORECAST]]-Table2726731436383210271164102[[#This Row],[TOTAL YTD]]</f>
        <v>4218857.3499999996</v>
      </c>
      <c r="N24" s="745">
        <f>Table2726731436383210271164102[[#This Row],[TOTAL YTD]]/Table2726731436383210271164102[[#This Row],[FINAL BUDGET]]</f>
        <v>0.12122169312290541</v>
      </c>
      <c r="O24" s="47">
        <f>Table2726731436383210271164102[[#This Row],[FINAL BUDGET]]</f>
        <v>4800821</v>
      </c>
      <c r="P24" s="802">
        <f t="shared" si="0"/>
        <v>0</v>
      </c>
      <c r="Q24" s="16" t="s">
        <v>2138</v>
      </c>
      <c r="R24" s="805"/>
    </row>
    <row r="25" spans="1:24" ht="19.5" customHeight="1" thickBot="1" x14ac:dyDescent="0.3">
      <c r="A25" s="746">
        <v>25022</v>
      </c>
      <c r="B25" s="557" t="s">
        <v>1089</v>
      </c>
      <c r="C25" s="809"/>
      <c r="D25" s="810"/>
      <c r="E25" s="811"/>
      <c r="F25" s="810"/>
      <c r="G25" s="812"/>
      <c r="H25" s="813"/>
      <c r="I25" s="813"/>
      <c r="J25" s="813"/>
      <c r="K25" s="813"/>
      <c r="L25" s="813"/>
      <c r="M25" s="813"/>
      <c r="N25" s="813"/>
      <c r="O25" s="813"/>
      <c r="P25" s="814"/>
      <c r="Q25" s="815"/>
      <c r="R25" s="816">
        <f>SUM(I26:I30)</f>
        <v>338929</v>
      </c>
    </row>
    <row r="26" spans="1:24" x14ac:dyDescent="0.25">
      <c r="A26" s="746">
        <v>25022</v>
      </c>
      <c r="B26" s="557" t="s">
        <v>2222</v>
      </c>
      <c r="C26" s="21">
        <v>804</v>
      </c>
      <c r="D26" s="117" t="s">
        <v>1085</v>
      </c>
      <c r="E26" s="116"/>
      <c r="F26" s="117"/>
      <c r="G26" s="439">
        <v>28500</v>
      </c>
      <c r="H26" s="441"/>
      <c r="I26" s="441">
        <f>Table2726731436383210271164102[[#This Row],[FY2024-2025 BUDGET]]+Table2726731436383210271164102[[#This Row],[ADDITIONAL REVENUE ]]</f>
        <v>28500</v>
      </c>
      <c r="J26" s="441">
        <v>0</v>
      </c>
      <c r="K26" s="708">
        <v>0</v>
      </c>
      <c r="L26" s="441">
        <f>Table2726731436383210271164102[[#This Row],[EXPENDED ]]+Table2726731436383210271164102[[#This Row],[ENCUMBERED]]</f>
        <v>0</v>
      </c>
      <c r="M26" s="441">
        <f>Table2726731436383210271164102[[#This Row],[FORECAST]]-Table2726731436383210271164102[[#This Row],[TOTAL YTD]]</f>
        <v>28500</v>
      </c>
      <c r="N26" s="745">
        <f>Table2726731436383210271164102[[#This Row],[TOTAL YTD]]/Table2726731436383210271164102[[#This Row],[FINAL BUDGET]]</f>
        <v>0</v>
      </c>
      <c r="O26" s="47">
        <f>Table2726731436383210271164102[[#This Row],[FINAL BUDGET]]</f>
        <v>28500</v>
      </c>
      <c r="P26" s="802">
        <f t="shared" ref="P26:P89" si="1">I26-O26</f>
        <v>0</v>
      </c>
      <c r="Q26" s="16" t="s">
        <v>2138</v>
      </c>
      <c r="R26" s="805"/>
    </row>
    <row r="27" spans="1:24" ht="22.5" x14ac:dyDescent="0.25">
      <c r="A27" s="746">
        <v>25022</v>
      </c>
      <c r="B27" s="557" t="s">
        <v>2223</v>
      </c>
      <c r="C27" s="617">
        <v>821</v>
      </c>
      <c r="D27" s="116" t="s">
        <v>1085</v>
      </c>
      <c r="E27" s="135"/>
      <c r="F27" s="117"/>
      <c r="G27" s="440">
        <v>224000</v>
      </c>
      <c r="H27" s="47"/>
      <c r="I27" s="47">
        <f>Table2726731436383210271164102[[#This Row],[FY2024-2025 BUDGET]]+Table2726731436383210271164102[[#This Row],[ADDITIONAL REVENUE ]]</f>
        <v>224000</v>
      </c>
      <c r="J27" s="47">
        <v>0</v>
      </c>
      <c r="K27" s="47">
        <v>0</v>
      </c>
      <c r="L27" s="441">
        <f>Table2726731436383210271164102[[#This Row],[EXPENDED ]]+Table2726731436383210271164102[[#This Row],[ENCUMBERED]]</f>
        <v>0</v>
      </c>
      <c r="M27" s="441">
        <f>Table2726731436383210271164102[[#This Row],[FORECAST]]-Table2726731436383210271164102[[#This Row],[TOTAL YTD]]</f>
        <v>224000</v>
      </c>
      <c r="N27" s="745">
        <f>Table2726731436383210271164102[[#This Row],[TOTAL YTD]]/Table2726731436383210271164102[[#This Row],[FINAL BUDGET]]</f>
        <v>0</v>
      </c>
      <c r="O27" s="47">
        <f>Table2726731436383210271164102[[#This Row],[FINAL BUDGET]]</f>
        <v>224000</v>
      </c>
      <c r="P27" s="802">
        <f t="shared" si="1"/>
        <v>0</v>
      </c>
      <c r="Q27" s="16" t="s">
        <v>2138</v>
      </c>
      <c r="R27" s="805"/>
    </row>
    <row r="28" spans="1:24" x14ac:dyDescent="0.25">
      <c r="A28" s="746">
        <v>25022</v>
      </c>
      <c r="B28" s="557" t="s">
        <v>2224</v>
      </c>
      <c r="C28" s="21">
        <v>839</v>
      </c>
      <c r="D28" s="117" t="s">
        <v>1085</v>
      </c>
      <c r="E28" s="116"/>
      <c r="F28" s="117"/>
      <c r="G28" s="440">
        <v>28500</v>
      </c>
      <c r="H28" s="47"/>
      <c r="I28" s="47">
        <f>Table2726731436383210271164102[[#This Row],[FY2024-2025 BUDGET]]+Table2726731436383210271164102[[#This Row],[ADDITIONAL REVENUE ]]</f>
        <v>28500</v>
      </c>
      <c r="J28" s="47">
        <v>0</v>
      </c>
      <c r="K28" s="47">
        <v>0</v>
      </c>
      <c r="L28" s="441">
        <f>Table2726731436383210271164102[[#This Row],[EXPENDED ]]+Table2726731436383210271164102[[#This Row],[ENCUMBERED]]</f>
        <v>0</v>
      </c>
      <c r="M28" s="441">
        <f>Table2726731436383210271164102[[#This Row],[FORECAST]]-Table2726731436383210271164102[[#This Row],[TOTAL YTD]]</f>
        <v>28500</v>
      </c>
      <c r="N28" s="745">
        <f>Table2726731436383210271164102[[#This Row],[TOTAL YTD]]/Table2726731436383210271164102[[#This Row],[FINAL BUDGET]]</f>
        <v>0</v>
      </c>
      <c r="O28" s="47">
        <f>Table2726731436383210271164102[[#This Row],[FINAL BUDGET]]</f>
        <v>28500</v>
      </c>
      <c r="P28" s="802">
        <f t="shared" si="1"/>
        <v>0</v>
      </c>
      <c r="Q28" s="16" t="s">
        <v>2138</v>
      </c>
      <c r="R28" s="805"/>
    </row>
    <row r="29" spans="1:24" x14ac:dyDescent="0.25">
      <c r="A29" s="746">
        <v>25022</v>
      </c>
      <c r="B29" s="557" t="s">
        <v>2225</v>
      </c>
      <c r="C29" s="21">
        <v>812</v>
      </c>
      <c r="D29" s="117" t="s">
        <v>1085</v>
      </c>
      <c r="E29" s="116"/>
      <c r="F29" s="117"/>
      <c r="G29" s="439">
        <v>28500</v>
      </c>
      <c r="H29" s="441"/>
      <c r="I29" s="47">
        <f>Table2726731436383210271164102[[#This Row],[FY2024-2025 BUDGET]]+Table2726731436383210271164102[[#This Row],[ADDITIONAL REVENUE ]]</f>
        <v>28500</v>
      </c>
      <c r="J29" s="47">
        <v>0</v>
      </c>
      <c r="K29" s="708">
        <v>0</v>
      </c>
      <c r="L29" s="441">
        <f>Table2726731436383210271164102[[#This Row],[EXPENDED ]]+Table2726731436383210271164102[[#This Row],[ENCUMBERED]]</f>
        <v>0</v>
      </c>
      <c r="M29" s="441">
        <f>Table2726731436383210271164102[[#This Row],[FORECAST]]-Table2726731436383210271164102[[#This Row],[TOTAL YTD]]</f>
        <v>28500</v>
      </c>
      <c r="N29" s="745">
        <f>Table2726731436383210271164102[[#This Row],[TOTAL YTD]]/Table2726731436383210271164102[[#This Row],[FINAL BUDGET]]</f>
        <v>0</v>
      </c>
      <c r="O29" s="47">
        <f>Table2726731436383210271164102[[#This Row],[FINAL BUDGET]]</f>
        <v>28500</v>
      </c>
      <c r="P29" s="802">
        <f t="shared" si="1"/>
        <v>0</v>
      </c>
      <c r="Q29" s="16" t="s">
        <v>2138</v>
      </c>
      <c r="R29" s="805"/>
    </row>
    <row r="30" spans="1:24" x14ac:dyDescent="0.25">
      <c r="A30" s="746">
        <v>25022</v>
      </c>
      <c r="B30" s="557" t="s">
        <v>2226</v>
      </c>
      <c r="C30" s="617">
        <v>825</v>
      </c>
      <c r="D30" s="116" t="s">
        <v>1085</v>
      </c>
      <c r="E30" s="135"/>
      <c r="F30" s="117"/>
      <c r="G30" s="439">
        <v>29429</v>
      </c>
      <c r="H30" s="441"/>
      <c r="I30" s="47">
        <f>Table2726731436383210271164102[[#This Row],[FY2024-2025 BUDGET]]+Table2726731436383210271164102[[#This Row],[ADDITIONAL REVENUE ]]</f>
        <v>29429</v>
      </c>
      <c r="J30" s="47">
        <v>0</v>
      </c>
      <c r="K30" s="708">
        <v>0</v>
      </c>
      <c r="L30" s="441">
        <f>Table2726731436383210271164102[[#This Row],[EXPENDED ]]+Table2726731436383210271164102[[#This Row],[ENCUMBERED]]</f>
        <v>0</v>
      </c>
      <c r="M30" s="441">
        <f>Table2726731436383210271164102[[#This Row],[FORECAST]]-Table2726731436383210271164102[[#This Row],[TOTAL YTD]]</f>
        <v>29429</v>
      </c>
      <c r="N30" s="745">
        <f>Table2726731436383210271164102[[#This Row],[TOTAL YTD]]/Table2726731436383210271164102[[#This Row],[FINAL BUDGET]]</f>
        <v>0</v>
      </c>
      <c r="O30" s="47">
        <f>Table2726731436383210271164102[[#This Row],[FINAL BUDGET]]</f>
        <v>29429</v>
      </c>
      <c r="P30" s="802">
        <f t="shared" si="1"/>
        <v>0</v>
      </c>
      <c r="Q30" s="16" t="s">
        <v>2138</v>
      </c>
      <c r="R30" s="805"/>
    </row>
    <row r="31" spans="1:24" ht="19.5" customHeight="1" x14ac:dyDescent="0.25">
      <c r="A31" s="746">
        <v>25023</v>
      </c>
      <c r="B31" s="557" t="s">
        <v>1808</v>
      </c>
      <c r="C31" s="21"/>
      <c r="D31" s="117" t="s">
        <v>1085</v>
      </c>
      <c r="E31" s="116"/>
      <c r="F31" s="117"/>
      <c r="G31" s="439">
        <v>397475</v>
      </c>
      <c r="H31" s="441"/>
      <c r="I31" s="47">
        <f>Table2726731436383210271164102[[#This Row],[FY2024-2025 BUDGET]]+Table2726731436383210271164102[[#This Row],[ADDITIONAL REVENUE ]]</f>
        <v>397475</v>
      </c>
      <c r="J31" s="47">
        <v>273485.44</v>
      </c>
      <c r="K31" s="708">
        <v>0</v>
      </c>
      <c r="L31" s="441">
        <f>Table2726731436383210271164102[[#This Row],[EXPENDED ]]+Table2726731436383210271164102[[#This Row],[ENCUMBERED]]</f>
        <v>273485.44</v>
      </c>
      <c r="M31" s="441">
        <f>Table2726731436383210271164102[[#This Row],[FORECAST]]-Table2726731436383210271164102[[#This Row],[TOTAL YTD]]</f>
        <v>123989.56</v>
      </c>
      <c r="N31" s="745">
        <f>Table2726731436383210271164102[[#This Row],[TOTAL YTD]]/Table2726731436383210271164102[[#This Row],[FINAL BUDGET]]</f>
        <v>0.68805695955720492</v>
      </c>
      <c r="O31" s="47">
        <f>Table2726731436383210271164102[[#This Row],[FINAL BUDGET]]</f>
        <v>397475</v>
      </c>
      <c r="P31" s="802">
        <f t="shared" si="1"/>
        <v>0</v>
      </c>
      <c r="Q31" s="16" t="s">
        <v>2138</v>
      </c>
      <c r="R31" s="805"/>
    </row>
    <row r="32" spans="1:24" s="551" customFormat="1" ht="19.5" customHeight="1" x14ac:dyDescent="0.25">
      <c r="A32" s="746">
        <v>25025</v>
      </c>
      <c r="B32" s="557" t="s">
        <v>2137</v>
      </c>
      <c r="C32" s="21"/>
      <c r="D32" s="117" t="s">
        <v>1085</v>
      </c>
      <c r="E32" s="116"/>
      <c r="F32" s="117"/>
      <c r="G32" s="439">
        <v>14106452</v>
      </c>
      <c r="H32" s="441"/>
      <c r="I32" s="441">
        <f>Table2726731436383210271164102[[#This Row],[FY2024-2025 BUDGET]]+Table2726731436383210271164102[[#This Row],[ADDITIONAL REVENUE ]]</f>
        <v>14106452</v>
      </c>
      <c r="J32" s="441">
        <v>3330868.02</v>
      </c>
      <c r="K32" s="708">
        <v>8427215</v>
      </c>
      <c r="L32" s="441">
        <f>Table2726731436383210271164102[[#This Row],[EXPENDED ]]+Table2726731436383210271164102[[#This Row],[ENCUMBERED]]</f>
        <v>11758083.02</v>
      </c>
      <c r="M32" s="550">
        <f>Table2726731436383210271164102[[#This Row],[FORECAST]]-Table2726731436383210271164102[[#This Row],[TOTAL YTD]]</f>
        <v>2348368.9800000004</v>
      </c>
      <c r="N32" s="745">
        <f>Table2726731436383210271164102[[#This Row],[TOTAL YTD]]/Table2726731436383210271164102[[#This Row],[FINAL BUDGET]]</f>
        <v>0.83352518549667909</v>
      </c>
      <c r="O32" s="441">
        <f>Table2726731436383210271164102[[#This Row],[FINAL BUDGET]]</f>
        <v>14106452</v>
      </c>
      <c r="P32" s="817">
        <f t="shared" si="1"/>
        <v>0</v>
      </c>
      <c r="Q32" s="16" t="s">
        <v>2138</v>
      </c>
      <c r="R32" s="805"/>
      <c r="S32" s="114"/>
      <c r="T32" s="114"/>
      <c r="U32" s="114"/>
      <c r="V32" s="114"/>
      <c r="W32" s="114"/>
      <c r="X32" s="114"/>
    </row>
    <row r="33" spans="1:18" ht="19.5" customHeight="1" x14ac:dyDescent="0.25">
      <c r="A33" s="746">
        <v>23026</v>
      </c>
      <c r="B33" s="557" t="s">
        <v>1734</v>
      </c>
      <c r="C33" s="429"/>
      <c r="D33" s="135" t="s">
        <v>1118</v>
      </c>
      <c r="E33" s="135"/>
      <c r="F33" s="117"/>
      <c r="G33" s="439">
        <v>19145</v>
      </c>
      <c r="H33" s="441"/>
      <c r="I33" s="47">
        <f>Table2726731436383210271164102[[#This Row],[FY2024-2025 BUDGET]]+Table2726731436383210271164102[[#This Row],[ADDITIONAL REVENUE ]]</f>
        <v>19145</v>
      </c>
      <c r="J33" s="47">
        <v>14445.39</v>
      </c>
      <c r="K33" s="708">
        <v>4700</v>
      </c>
      <c r="L33" s="441">
        <f>Table2726731436383210271164102[[#This Row],[EXPENDED ]]+Table2726731436383210271164102[[#This Row],[ENCUMBERED]]</f>
        <v>19145.39</v>
      </c>
      <c r="M33" s="441">
        <f>Table2726731436383210271164102[[#This Row],[FORECAST]]-Table2726731436383210271164102[[#This Row],[TOTAL YTD]]</f>
        <v>-0.38999999999941792</v>
      </c>
      <c r="N33" s="745">
        <f>Table2726731436383210271164102[[#This Row],[TOTAL YTD]]/Table2726731436383210271164102[[#This Row],[FINAL BUDGET]]</f>
        <v>1.0000203708540087</v>
      </c>
      <c r="O33" s="47">
        <f>Table2726731436383210271164102[[#This Row],[FINAL BUDGET]]</f>
        <v>19145</v>
      </c>
      <c r="P33" s="802">
        <f t="shared" si="1"/>
        <v>0</v>
      </c>
      <c r="Q33" s="16" t="s">
        <v>1826</v>
      </c>
      <c r="R33" s="805"/>
    </row>
    <row r="34" spans="1:18" ht="19.5" customHeight="1" x14ac:dyDescent="0.25">
      <c r="A34" s="746">
        <v>23027</v>
      </c>
      <c r="B34" s="557" t="s">
        <v>1734</v>
      </c>
      <c r="C34" s="429"/>
      <c r="D34" s="135" t="s">
        <v>1118</v>
      </c>
      <c r="E34" s="135"/>
      <c r="F34" s="117"/>
      <c r="G34" s="439">
        <v>19147</v>
      </c>
      <c r="H34" s="441"/>
      <c r="I34" s="47">
        <f>Table2726731436383210271164102[[#This Row],[FY2024-2025 BUDGET]]+Table2726731436383210271164102[[#This Row],[ADDITIONAL REVENUE ]]</f>
        <v>19147</v>
      </c>
      <c r="J34" s="47">
        <v>14446.39</v>
      </c>
      <c r="K34" s="708">
        <v>4701</v>
      </c>
      <c r="L34" s="441">
        <f>Table2726731436383210271164102[[#This Row],[EXPENDED ]]+Table2726731436383210271164102[[#This Row],[ENCUMBERED]]</f>
        <v>19147.39</v>
      </c>
      <c r="M34" s="441">
        <f>Table2726731436383210271164102[[#This Row],[FORECAST]]-Table2726731436383210271164102[[#This Row],[TOTAL YTD]]</f>
        <v>-0.38999999999941792</v>
      </c>
      <c r="N34" s="745">
        <f>Table2726731436383210271164102[[#This Row],[TOTAL YTD]]/Table2726731436383210271164102[[#This Row],[FINAL BUDGET]]</f>
        <v>1.0000203687261711</v>
      </c>
      <c r="O34" s="47">
        <f>Table2726731436383210271164102[[#This Row],[FINAL BUDGET]]</f>
        <v>19147</v>
      </c>
      <c r="P34" s="802">
        <f t="shared" si="1"/>
        <v>0</v>
      </c>
      <c r="Q34" s="16" t="s">
        <v>1826</v>
      </c>
      <c r="R34" s="805"/>
    </row>
    <row r="35" spans="1:18" ht="19.5" customHeight="1" x14ac:dyDescent="0.25">
      <c r="A35" s="746">
        <v>25028</v>
      </c>
      <c r="B35" s="557" t="s">
        <v>1931</v>
      </c>
      <c r="C35" s="617"/>
      <c r="D35" s="135" t="s">
        <v>1085</v>
      </c>
      <c r="E35" s="135"/>
      <c r="F35" s="117"/>
      <c r="G35" s="439">
        <v>699458</v>
      </c>
      <c r="H35" s="441"/>
      <c r="I35" s="47">
        <f>Table2726731436383210271164102[[#This Row],[FY2024-2025 BUDGET]]+Table2726731436383210271164102[[#This Row],[ADDITIONAL REVENUE ]]</f>
        <v>699458</v>
      </c>
      <c r="J35" s="47">
        <v>0</v>
      </c>
      <c r="K35" s="708">
        <v>0</v>
      </c>
      <c r="L35" s="441">
        <f>Table2726731436383210271164102[[#This Row],[EXPENDED ]]+Table2726731436383210271164102[[#This Row],[ENCUMBERED]]</f>
        <v>0</v>
      </c>
      <c r="M35" s="441">
        <f>Table2726731436383210271164102[[#This Row],[FORECAST]]-Table2726731436383210271164102[[#This Row],[TOTAL YTD]]</f>
        <v>699458</v>
      </c>
      <c r="N35" s="745">
        <f>Table2726731436383210271164102[[#This Row],[TOTAL YTD]]/Table2726731436383210271164102[[#This Row],[FINAL BUDGET]]</f>
        <v>0</v>
      </c>
      <c r="O35" s="47">
        <f>Table2726731436383210271164102[[#This Row],[FINAL BUDGET]]</f>
        <v>699458</v>
      </c>
      <c r="P35" s="802">
        <f t="shared" si="1"/>
        <v>0</v>
      </c>
      <c r="Q35" s="16" t="s">
        <v>2138</v>
      </c>
      <c r="R35" s="805"/>
    </row>
    <row r="36" spans="1:18" ht="19.5" customHeight="1" x14ac:dyDescent="0.25">
      <c r="A36" s="464" t="s">
        <v>2157</v>
      </c>
      <c r="B36" s="557" t="s">
        <v>2158</v>
      </c>
      <c r="C36" s="617">
        <v>803</v>
      </c>
      <c r="D36" s="116" t="s">
        <v>1085</v>
      </c>
      <c r="E36" s="135"/>
      <c r="F36" s="117"/>
      <c r="G36" s="440">
        <v>2500</v>
      </c>
      <c r="H36" s="47"/>
      <c r="I36" s="47">
        <f>Table2726731436383210271164102[[#This Row],[FY2024-2025 BUDGET]]+Table2726731436383210271164102[[#This Row],[ADDITIONAL REVENUE ]]</f>
        <v>2500</v>
      </c>
      <c r="J36" s="47">
        <v>0</v>
      </c>
      <c r="K36" s="47">
        <v>0</v>
      </c>
      <c r="L36" s="441">
        <f>Table2726731436383210271164102[[#This Row],[EXPENDED ]]+Table2726731436383210271164102[[#This Row],[ENCUMBERED]]</f>
        <v>0</v>
      </c>
      <c r="M36" s="441">
        <f>Table2726731436383210271164102[[#This Row],[FORECAST]]-Table2726731436383210271164102[[#This Row],[TOTAL YTD]]</f>
        <v>2500</v>
      </c>
      <c r="N36" s="745">
        <f>Table2726731436383210271164102[[#This Row],[TOTAL YTD]]/Table2726731436383210271164102[[#This Row],[FINAL BUDGET]]</f>
        <v>0</v>
      </c>
      <c r="O36" s="47">
        <f>Table2726731436383210271164102[[#This Row],[FINAL BUDGET]]</f>
        <v>2500</v>
      </c>
      <c r="P36" s="802">
        <f t="shared" si="1"/>
        <v>0</v>
      </c>
      <c r="Q36" s="16" t="s">
        <v>2159</v>
      </c>
      <c r="R36" s="805"/>
    </row>
    <row r="37" spans="1:18" ht="19.5" customHeight="1" x14ac:dyDescent="0.25">
      <c r="A37" s="746">
        <v>25030</v>
      </c>
      <c r="B37" s="557" t="s">
        <v>1091</v>
      </c>
      <c r="C37" s="21"/>
      <c r="D37" s="116" t="s">
        <v>1085</v>
      </c>
      <c r="E37" s="116"/>
      <c r="F37" s="117"/>
      <c r="G37" s="439">
        <v>169400</v>
      </c>
      <c r="H37" s="441"/>
      <c r="I37" s="47">
        <f>Table2726731436383210271164102[[#This Row],[FY2024-2025 BUDGET]]+Table2726731436383210271164102[[#This Row],[ADDITIONAL REVENUE ]]</f>
        <v>169400</v>
      </c>
      <c r="J37" s="47">
        <v>0</v>
      </c>
      <c r="K37" s="708">
        <v>0</v>
      </c>
      <c r="L37" s="441">
        <f>Table2726731436383210271164102[[#This Row],[EXPENDED ]]+Table2726731436383210271164102[[#This Row],[ENCUMBERED]]</f>
        <v>0</v>
      </c>
      <c r="M37" s="441">
        <f>Table2726731436383210271164102[[#This Row],[FORECAST]]-Table2726731436383210271164102[[#This Row],[TOTAL YTD]]</f>
        <v>169400</v>
      </c>
      <c r="N37" s="745">
        <f>Table2726731436383210271164102[[#This Row],[TOTAL YTD]]/Table2726731436383210271164102[[#This Row],[FINAL BUDGET]]</f>
        <v>0</v>
      </c>
      <c r="O37" s="47">
        <f>Table2726731436383210271164102[[#This Row],[FINAL BUDGET]]</f>
        <v>169400</v>
      </c>
      <c r="P37" s="802">
        <f t="shared" si="1"/>
        <v>0</v>
      </c>
      <c r="Q37" s="16" t="s">
        <v>2138</v>
      </c>
      <c r="R37" s="805"/>
    </row>
    <row r="38" spans="1:18" ht="19.5" customHeight="1" x14ac:dyDescent="0.25">
      <c r="A38" s="746">
        <v>25031</v>
      </c>
      <c r="B38" s="557" t="s">
        <v>1091</v>
      </c>
      <c r="C38" s="21"/>
      <c r="D38" s="116" t="s">
        <v>1085</v>
      </c>
      <c r="E38" s="116"/>
      <c r="F38" s="117"/>
      <c r="G38" s="439">
        <v>169400</v>
      </c>
      <c r="H38" s="441"/>
      <c r="I38" s="47">
        <f>Table2726731436383210271164102[[#This Row],[FY2024-2025 BUDGET]]+Table2726731436383210271164102[[#This Row],[ADDITIONAL REVENUE ]]</f>
        <v>169400</v>
      </c>
      <c r="J38" s="47">
        <v>0</v>
      </c>
      <c r="K38" s="708">
        <v>0</v>
      </c>
      <c r="L38" s="441">
        <f>Table2726731436383210271164102[[#This Row],[EXPENDED ]]+Table2726731436383210271164102[[#This Row],[ENCUMBERED]]</f>
        <v>0</v>
      </c>
      <c r="M38" s="441">
        <f>Table2726731436383210271164102[[#This Row],[FORECAST]]-Table2726731436383210271164102[[#This Row],[TOTAL YTD]]</f>
        <v>169400</v>
      </c>
      <c r="N38" s="745">
        <f>Table2726731436383210271164102[[#This Row],[TOTAL YTD]]/Table2726731436383210271164102[[#This Row],[FINAL BUDGET]]</f>
        <v>0</v>
      </c>
      <c r="O38" s="47">
        <f>Table2726731436383210271164102[[#This Row],[FINAL BUDGET]]</f>
        <v>169400</v>
      </c>
      <c r="P38" s="802">
        <f t="shared" si="1"/>
        <v>0</v>
      </c>
      <c r="Q38" s="16" t="s">
        <v>2138</v>
      </c>
      <c r="R38" s="805"/>
    </row>
    <row r="39" spans="1:18" ht="19.5" customHeight="1" x14ac:dyDescent="0.25">
      <c r="A39" s="746">
        <v>25032</v>
      </c>
      <c r="B39" s="557" t="s">
        <v>1091</v>
      </c>
      <c r="C39" s="21"/>
      <c r="D39" s="116" t="s">
        <v>1085</v>
      </c>
      <c r="E39" s="116"/>
      <c r="F39" s="117"/>
      <c r="G39" s="439">
        <v>169400</v>
      </c>
      <c r="H39" s="441"/>
      <c r="I39" s="47">
        <f>Table2726731436383210271164102[[#This Row],[FY2024-2025 BUDGET]]+Table2726731436383210271164102[[#This Row],[ADDITIONAL REVENUE ]]</f>
        <v>169400</v>
      </c>
      <c r="J39" s="47">
        <v>0</v>
      </c>
      <c r="K39" s="708">
        <v>0</v>
      </c>
      <c r="L39" s="441">
        <f>Table2726731436383210271164102[[#This Row],[EXPENDED ]]+Table2726731436383210271164102[[#This Row],[ENCUMBERED]]</f>
        <v>0</v>
      </c>
      <c r="M39" s="441">
        <f>Table2726731436383210271164102[[#This Row],[FORECAST]]-Table2726731436383210271164102[[#This Row],[TOTAL YTD]]</f>
        <v>169400</v>
      </c>
      <c r="N39" s="745">
        <f>Table2726731436383210271164102[[#This Row],[TOTAL YTD]]/Table2726731436383210271164102[[#This Row],[FINAL BUDGET]]</f>
        <v>0</v>
      </c>
      <c r="O39" s="47">
        <f>Table2726731436383210271164102[[#This Row],[FINAL BUDGET]]</f>
        <v>169400</v>
      </c>
      <c r="P39" s="802">
        <f t="shared" si="1"/>
        <v>0</v>
      </c>
      <c r="Q39" s="16" t="s">
        <v>2138</v>
      </c>
      <c r="R39" s="805"/>
    </row>
    <row r="40" spans="1:18" ht="19.5" customHeight="1" x14ac:dyDescent="0.25">
      <c r="A40" s="746">
        <v>25033</v>
      </c>
      <c r="B40" s="557" t="s">
        <v>1092</v>
      </c>
      <c r="C40" s="21"/>
      <c r="D40" s="117"/>
      <c r="E40" s="116" t="s">
        <v>1085</v>
      </c>
      <c r="F40" s="117"/>
      <c r="G40" s="439">
        <v>300000</v>
      </c>
      <c r="H40" s="441"/>
      <c r="I40" s="47">
        <f>Table2726731436383210271164102[[#This Row],[FY2024-2025 BUDGET]]+Table2726731436383210271164102[[#This Row],[ADDITIONAL REVENUE ]]</f>
        <v>300000</v>
      </c>
      <c r="J40" s="47">
        <v>87053.71</v>
      </c>
      <c r="K40" s="708">
        <v>0</v>
      </c>
      <c r="L40" s="441">
        <f>Table2726731436383210271164102[[#This Row],[EXPENDED ]]+Table2726731436383210271164102[[#This Row],[ENCUMBERED]]</f>
        <v>87053.71</v>
      </c>
      <c r="M40" s="441">
        <f>Table2726731436383210271164102[[#This Row],[FORECAST]]-Table2726731436383210271164102[[#This Row],[TOTAL YTD]]</f>
        <v>212946.28999999998</v>
      </c>
      <c r="N40" s="745">
        <f>Table2726731436383210271164102[[#This Row],[TOTAL YTD]]/Table2726731436383210271164102[[#This Row],[FINAL BUDGET]]</f>
        <v>0.29017903333333334</v>
      </c>
      <c r="O40" s="47">
        <f>Table2726731436383210271164102[[#This Row],[FINAL BUDGET]]</f>
        <v>300000</v>
      </c>
      <c r="P40" s="802">
        <f t="shared" si="1"/>
        <v>0</v>
      </c>
      <c r="Q40" s="16" t="s">
        <v>2138</v>
      </c>
      <c r="R40" s="805"/>
    </row>
    <row r="41" spans="1:18" ht="19.5" customHeight="1" x14ac:dyDescent="0.25">
      <c r="A41" s="746">
        <v>21034</v>
      </c>
      <c r="B41" s="557" t="s">
        <v>1515</v>
      </c>
      <c r="C41" s="21">
        <v>837</v>
      </c>
      <c r="D41" s="117"/>
      <c r="E41" s="116"/>
      <c r="F41" s="117" t="s">
        <v>1085</v>
      </c>
      <c r="G41" s="439">
        <v>120689</v>
      </c>
      <c r="H41" s="441"/>
      <c r="I41" s="47">
        <f>Table2726731436383210271164102[[#This Row],[FY2024-2025 BUDGET]]+Table2726731436383210271164102[[#This Row],[ADDITIONAL REVENUE ]]</f>
        <v>120689</v>
      </c>
      <c r="J41" s="47">
        <v>472.5</v>
      </c>
      <c r="K41" s="708">
        <v>0</v>
      </c>
      <c r="L41" s="441">
        <v>0</v>
      </c>
      <c r="M41" s="441">
        <f>Table2726731436383210271164102[[#This Row],[FORECAST]]-Table2726731436383210271164102[[#This Row],[TOTAL YTD]]</f>
        <v>120689</v>
      </c>
      <c r="N41" s="745">
        <f>Table2726731436383210271164102[[#This Row],[TOTAL YTD]]/Table2726731436383210271164102[[#This Row],[FINAL BUDGET]]</f>
        <v>0</v>
      </c>
      <c r="O41" s="47">
        <f>Table2726731436383210271164102[[#This Row],[FINAL BUDGET]]</f>
        <v>120689</v>
      </c>
      <c r="P41" s="802">
        <f t="shared" si="1"/>
        <v>0</v>
      </c>
      <c r="Q41" s="841"/>
      <c r="R41" s="806"/>
    </row>
    <row r="42" spans="1:18" ht="19.5" customHeight="1" x14ac:dyDescent="0.25">
      <c r="A42" s="746">
        <v>21035</v>
      </c>
      <c r="B42" s="557" t="s">
        <v>1517</v>
      </c>
      <c r="C42" s="21">
        <v>815</v>
      </c>
      <c r="D42" s="117"/>
      <c r="E42" s="116"/>
      <c r="F42" s="117" t="s">
        <v>1085</v>
      </c>
      <c r="G42" s="439">
        <v>225200</v>
      </c>
      <c r="H42" s="441"/>
      <c r="I42" s="47">
        <f>Table2726731436383210271164102[[#This Row],[FY2024-2025 BUDGET]]+Table2726731436383210271164102[[#This Row],[ADDITIONAL REVENUE ]]</f>
        <v>225200</v>
      </c>
      <c r="J42" s="47">
        <v>7400</v>
      </c>
      <c r="K42" s="708">
        <v>5991.85</v>
      </c>
      <c r="L42" s="441">
        <v>0</v>
      </c>
      <c r="M42" s="441">
        <f>Table2726731436383210271164102[[#This Row],[FORECAST]]-Table2726731436383210271164102[[#This Row],[TOTAL YTD]]</f>
        <v>225200</v>
      </c>
      <c r="N42" s="745">
        <f>Table2726731436383210271164102[[#This Row],[TOTAL YTD]]/Table2726731436383210271164102[[#This Row],[FINAL BUDGET]]</f>
        <v>0</v>
      </c>
      <c r="O42" s="47">
        <f>Table2726731436383210271164102[[#This Row],[FINAL BUDGET]]</f>
        <v>225200</v>
      </c>
      <c r="P42" s="802">
        <f t="shared" si="1"/>
        <v>0</v>
      </c>
      <c r="Q42" s="841"/>
      <c r="R42" s="806"/>
    </row>
    <row r="43" spans="1:18" ht="19.5" customHeight="1" x14ac:dyDescent="0.25">
      <c r="A43" s="746">
        <v>23035</v>
      </c>
      <c r="B43" s="557" t="s">
        <v>1805</v>
      </c>
      <c r="C43" s="21"/>
      <c r="D43" s="117"/>
      <c r="E43" s="116" t="s">
        <v>1118</v>
      </c>
      <c r="F43" s="117"/>
      <c r="G43" s="439">
        <v>375000</v>
      </c>
      <c r="H43" s="47"/>
      <c r="I43" s="47">
        <f>Table2726731436383210271164102[[#This Row],[FY2024-2025 BUDGET]]+Table2726731436383210271164102[[#This Row],[ADDITIONAL REVENUE ]]</f>
        <v>375000</v>
      </c>
      <c r="J43" s="47">
        <v>0</v>
      </c>
      <c r="K43" s="708">
        <v>374271.13</v>
      </c>
      <c r="L43" s="441">
        <f>Table2726731436383210271164102[[#This Row],[EXPENDED ]]+Table2726731436383210271164102[[#This Row],[ENCUMBERED]]</f>
        <v>374271.13</v>
      </c>
      <c r="M43" s="441">
        <f>Table2726731436383210271164102[[#This Row],[FORECAST]]-Table2726731436383210271164102[[#This Row],[TOTAL YTD]]</f>
        <v>728.86999999999534</v>
      </c>
      <c r="N43" s="745">
        <v>0.99</v>
      </c>
      <c r="O43" s="47">
        <f>Table2726731436383210271164102[[#This Row],[FINAL BUDGET]]</f>
        <v>375000</v>
      </c>
      <c r="P43" s="802">
        <f t="shared" si="1"/>
        <v>0</v>
      </c>
      <c r="Q43" s="16" t="s">
        <v>1807</v>
      </c>
      <c r="R43" s="805"/>
    </row>
    <row r="44" spans="1:18" ht="19.5" customHeight="1" x14ac:dyDescent="0.25">
      <c r="A44" s="746">
        <v>21036</v>
      </c>
      <c r="B44" s="557" t="s">
        <v>1519</v>
      </c>
      <c r="C44" s="21">
        <v>806</v>
      </c>
      <c r="D44" s="117"/>
      <c r="E44" s="116"/>
      <c r="F44" s="117" t="s">
        <v>1085</v>
      </c>
      <c r="G44" s="439">
        <v>276832</v>
      </c>
      <c r="H44" s="441"/>
      <c r="I44" s="47">
        <f>Table2726731436383210271164102[[#This Row],[FY2024-2025 BUDGET]]+Table2726731436383210271164102[[#This Row],[ADDITIONAL REVENUE ]]</f>
        <v>276832</v>
      </c>
      <c r="J44" s="47">
        <v>65630.899999999994</v>
      </c>
      <c r="K44" s="708">
        <v>0</v>
      </c>
      <c r="L44" s="441">
        <f>Table2726731436383210271164102[[#This Row],[EXPENDED ]]+Table2726731436383210271164102[[#This Row],[ENCUMBERED]]</f>
        <v>65630.899999999994</v>
      </c>
      <c r="M44" s="441">
        <f>Table2726731436383210271164102[[#This Row],[FORECAST]]-Table2726731436383210271164102[[#This Row],[TOTAL YTD]]</f>
        <v>211201.1</v>
      </c>
      <c r="N44" s="745">
        <f>Table2726731436383210271164102[[#This Row],[TOTAL YTD]]/Table2726731436383210271164102[[#This Row],[FINAL BUDGET]]</f>
        <v>0.2370784446884753</v>
      </c>
      <c r="O44" s="47">
        <f>Table2726731436383210271164102[[#This Row],[FINAL BUDGET]]</f>
        <v>276832</v>
      </c>
      <c r="P44" s="802">
        <f t="shared" si="1"/>
        <v>0</v>
      </c>
      <c r="Q44" s="841"/>
      <c r="R44" s="806"/>
    </row>
    <row r="45" spans="1:18" ht="19.5" customHeight="1" x14ac:dyDescent="0.25">
      <c r="A45" s="746">
        <v>21037</v>
      </c>
      <c r="B45" s="557" t="s">
        <v>1521</v>
      </c>
      <c r="C45" s="21">
        <v>808</v>
      </c>
      <c r="D45" s="117"/>
      <c r="E45" s="116"/>
      <c r="F45" s="117" t="s">
        <v>1085</v>
      </c>
      <c r="G45" s="439">
        <v>94790</v>
      </c>
      <c r="H45" s="441"/>
      <c r="I45" s="47">
        <f>Table2726731436383210271164102[[#This Row],[FY2024-2025 BUDGET]]+Table2726731436383210271164102[[#This Row],[ADDITIONAL REVENUE ]]</f>
        <v>94790</v>
      </c>
      <c r="J45" s="47">
        <v>4505.9799999999996</v>
      </c>
      <c r="K45" s="708">
        <v>404.6</v>
      </c>
      <c r="L45" s="441">
        <f>Table2726731436383210271164102[[#This Row],[EXPENDED ]]+Table2726731436383210271164102[[#This Row],[ENCUMBERED]]</f>
        <v>4910.58</v>
      </c>
      <c r="M45" s="441">
        <f>Table2726731436383210271164102[[#This Row],[FORECAST]]-Table2726731436383210271164102[[#This Row],[TOTAL YTD]]</f>
        <v>89879.42</v>
      </c>
      <c r="N45" s="745">
        <f>Table2726731436383210271164102[[#This Row],[TOTAL YTD]]/Table2726731436383210271164102[[#This Row],[FINAL BUDGET]]</f>
        <v>5.1804831733305197E-2</v>
      </c>
      <c r="O45" s="47">
        <f>Table2726731436383210271164102[[#This Row],[FINAL BUDGET]]</f>
        <v>94790</v>
      </c>
      <c r="P45" s="802">
        <f t="shared" si="1"/>
        <v>0</v>
      </c>
      <c r="Q45" s="841"/>
      <c r="R45" s="806"/>
    </row>
    <row r="46" spans="1:18" ht="19.5" customHeight="1" x14ac:dyDescent="0.25">
      <c r="A46" s="746">
        <v>21038</v>
      </c>
      <c r="B46" s="557" t="s">
        <v>1523</v>
      </c>
      <c r="C46" s="429" t="s">
        <v>1603</v>
      </c>
      <c r="D46" s="117"/>
      <c r="E46" s="116"/>
      <c r="F46" s="117" t="s">
        <v>1085</v>
      </c>
      <c r="G46" s="439">
        <v>519567</v>
      </c>
      <c r="H46" s="441"/>
      <c r="I46" s="47">
        <f>Table2726731436383210271164102[[#This Row],[FY2024-2025 BUDGET]]+Table2726731436383210271164102[[#This Row],[ADDITIONAL REVENUE ]]</f>
        <v>519567</v>
      </c>
      <c r="J46" s="47">
        <v>0</v>
      </c>
      <c r="K46" s="708">
        <v>0</v>
      </c>
      <c r="L46" s="441">
        <f>Table2726731436383210271164102[[#This Row],[EXPENDED ]]+Table2726731436383210271164102[[#This Row],[ENCUMBERED]]</f>
        <v>0</v>
      </c>
      <c r="M46" s="441">
        <f>Table2726731436383210271164102[[#This Row],[FORECAST]]-Table2726731436383210271164102[[#This Row],[TOTAL YTD]]</f>
        <v>519567</v>
      </c>
      <c r="N46" s="745">
        <f>Table2726731436383210271164102[[#This Row],[TOTAL YTD]]/Table2726731436383210271164102[[#This Row],[FINAL BUDGET]]</f>
        <v>0</v>
      </c>
      <c r="O46" s="47">
        <f>Table2726731436383210271164102[[#This Row],[FINAL BUDGET]]</f>
        <v>519567</v>
      </c>
      <c r="P46" s="802">
        <f t="shared" si="1"/>
        <v>0</v>
      </c>
      <c r="Q46" s="841"/>
      <c r="R46" s="806"/>
    </row>
    <row r="47" spans="1:18" ht="19.5" customHeight="1" x14ac:dyDescent="0.25">
      <c r="A47" s="746">
        <v>20039</v>
      </c>
      <c r="B47" s="557" t="s">
        <v>1411</v>
      </c>
      <c r="C47" s="429"/>
      <c r="D47" s="116" t="s">
        <v>1085</v>
      </c>
      <c r="E47" s="135"/>
      <c r="F47" s="117"/>
      <c r="G47" s="439">
        <v>535958</v>
      </c>
      <c r="H47" s="441"/>
      <c r="I47" s="47">
        <f>Table2726731436383210271164102[[#This Row],[FY2024-2025 BUDGET]]+Table2726731436383210271164102[[#This Row],[ADDITIONAL REVENUE ]]</f>
        <v>535958</v>
      </c>
      <c r="J47" s="47">
        <v>81260.509999999995</v>
      </c>
      <c r="K47" s="708">
        <v>0</v>
      </c>
      <c r="L47" s="441">
        <f>Table2726731436383210271164102[[#This Row],[EXPENDED ]]+Table2726731436383210271164102[[#This Row],[ENCUMBERED]]</f>
        <v>81260.509999999995</v>
      </c>
      <c r="M47" s="441">
        <f>Table2726731436383210271164102[[#This Row],[FORECAST]]-Table2726731436383210271164102[[#This Row],[TOTAL YTD]]</f>
        <v>454697.49</v>
      </c>
      <c r="N47" s="745">
        <f>Table2726731436383210271164102[[#This Row],[TOTAL YTD]]/Table2726731436383210271164102[[#This Row],[FINAL BUDGET]]</f>
        <v>0.15161730956530176</v>
      </c>
      <c r="O47" s="47">
        <f>Table2726731436383210271164102[[#This Row],[FINAL BUDGET]]</f>
        <v>535958</v>
      </c>
      <c r="P47" s="802">
        <f t="shared" si="1"/>
        <v>0</v>
      </c>
      <c r="Q47" s="16"/>
      <c r="R47" s="805"/>
    </row>
    <row r="48" spans="1:18" ht="19.5" customHeight="1" x14ac:dyDescent="0.25">
      <c r="A48" s="746">
        <v>25040</v>
      </c>
      <c r="B48" s="557" t="s">
        <v>1093</v>
      </c>
      <c r="C48" s="21">
        <v>837</v>
      </c>
      <c r="D48" s="117" t="s">
        <v>1085</v>
      </c>
      <c r="E48" s="116"/>
      <c r="F48" s="117"/>
      <c r="G48" s="439">
        <v>2382101</v>
      </c>
      <c r="H48" s="441"/>
      <c r="I48" s="47">
        <f>Table2726731436383210271164102[[#This Row],[FY2024-2025 BUDGET]]+Table2726731436383210271164102[[#This Row],[ADDITIONAL REVENUE ]]</f>
        <v>2382101</v>
      </c>
      <c r="J48" s="47">
        <v>487506.22</v>
      </c>
      <c r="K48" s="708">
        <v>0</v>
      </c>
      <c r="L48" s="441">
        <f>Table2726731436383210271164102[[#This Row],[EXPENDED ]]+Table2726731436383210271164102[[#This Row],[ENCUMBERED]]</f>
        <v>487506.22</v>
      </c>
      <c r="M48" s="441">
        <f>Table2726731436383210271164102[[#This Row],[FORECAST]]-Table2726731436383210271164102[[#This Row],[TOTAL YTD]]</f>
        <v>1894594.78</v>
      </c>
      <c r="N48" s="745">
        <f>Table2726731436383210271164102[[#This Row],[TOTAL YTD]]/Table2726731436383210271164102[[#This Row],[FINAL BUDGET]]</f>
        <v>0.20465388327363113</v>
      </c>
      <c r="O48" s="47">
        <f>Table2726731436383210271164102[[#This Row],[FINAL BUDGET]]</f>
        <v>2382101</v>
      </c>
      <c r="P48" s="802">
        <f t="shared" si="1"/>
        <v>0</v>
      </c>
      <c r="Q48" s="16" t="s">
        <v>2138</v>
      </c>
      <c r="R48" s="805"/>
    </row>
    <row r="49" spans="1:25" s="551" customFormat="1" ht="19.5" customHeight="1" x14ac:dyDescent="0.25">
      <c r="A49" s="746">
        <v>25041</v>
      </c>
      <c r="B49" s="557" t="s">
        <v>1094</v>
      </c>
      <c r="C49" s="21">
        <v>815</v>
      </c>
      <c r="D49" s="117" t="s">
        <v>1085</v>
      </c>
      <c r="E49" s="116"/>
      <c r="F49" s="117"/>
      <c r="G49" s="439">
        <v>1900291</v>
      </c>
      <c r="H49" s="441"/>
      <c r="I49" s="47">
        <f>Table2726731436383210271164102[[#This Row],[FY2024-2025 BUDGET]]+Table2726731436383210271164102[[#This Row],[ADDITIONAL REVENUE ]]</f>
        <v>1900291</v>
      </c>
      <c r="J49" s="441">
        <v>435850.89</v>
      </c>
      <c r="K49" s="708">
        <v>0</v>
      </c>
      <c r="L49" s="441">
        <v>0</v>
      </c>
      <c r="M49" s="441">
        <f>Table2726731436383210271164102[[#This Row],[FORECAST]]-Table2726731436383210271164102[[#This Row],[TOTAL YTD]]</f>
        <v>1900291</v>
      </c>
      <c r="N49" s="745">
        <f>Table2726731436383210271164102[[#This Row],[TOTAL YTD]]/Table2726731436383210271164102[[#This Row],[FINAL BUDGET]]</f>
        <v>0</v>
      </c>
      <c r="O49" s="441">
        <f>Table2726731436383210271164102[[#This Row],[FINAL BUDGET]]</f>
        <v>1900291</v>
      </c>
      <c r="P49" s="817">
        <f t="shared" si="1"/>
        <v>0</v>
      </c>
      <c r="Q49" s="16" t="s">
        <v>2138</v>
      </c>
      <c r="R49" s="805"/>
      <c r="S49" s="114"/>
      <c r="T49" s="114"/>
      <c r="U49" s="114"/>
      <c r="V49" s="114"/>
      <c r="W49" s="114"/>
      <c r="X49" s="114"/>
    </row>
    <row r="50" spans="1:25" s="551" customFormat="1" ht="19.5" customHeight="1" thickBot="1" x14ac:dyDescent="0.3">
      <c r="A50" s="746">
        <v>25042</v>
      </c>
      <c r="B50" s="557" t="s">
        <v>1095</v>
      </c>
      <c r="C50" s="21">
        <v>818</v>
      </c>
      <c r="D50" s="117" t="s">
        <v>1085</v>
      </c>
      <c r="E50" s="116"/>
      <c r="F50" s="117"/>
      <c r="G50" s="439">
        <v>1818076</v>
      </c>
      <c r="H50" s="441"/>
      <c r="I50" s="47">
        <f>Table2726731436383210271164102[[#This Row],[FY2024-2025 BUDGET]]+Table2726731436383210271164102[[#This Row],[ADDITIONAL REVENUE ]]</f>
        <v>1818076</v>
      </c>
      <c r="J50" s="441">
        <v>452157.88</v>
      </c>
      <c r="K50" s="708">
        <v>0</v>
      </c>
      <c r="L50" s="441">
        <f>Table2726731436383210271164102[[#This Row],[EXPENDED ]]+Table2726731436383210271164102[[#This Row],[ENCUMBERED]]</f>
        <v>452157.88</v>
      </c>
      <c r="M50" s="441">
        <f>Table2726731436383210271164102[[#This Row],[FORECAST]]-Table2726731436383210271164102[[#This Row],[TOTAL YTD]]</f>
        <v>1365918.12</v>
      </c>
      <c r="N50" s="745">
        <f>Table2726731436383210271164102[[#This Row],[TOTAL YTD]]/Table2726731436383210271164102[[#This Row],[FINAL BUDGET]]</f>
        <v>0.24870130841614982</v>
      </c>
      <c r="O50" s="441">
        <f>Table2726731436383210271164102[[#This Row],[FINAL BUDGET]]</f>
        <v>1818076</v>
      </c>
      <c r="P50" s="817">
        <f t="shared" si="1"/>
        <v>0</v>
      </c>
      <c r="Q50" s="16" t="s">
        <v>2138</v>
      </c>
      <c r="R50" s="818" t="s">
        <v>2160</v>
      </c>
      <c r="S50" s="16"/>
      <c r="T50" s="114"/>
      <c r="U50" s="114"/>
      <c r="V50" s="114"/>
      <c r="W50" s="114"/>
      <c r="X50" s="114"/>
    </row>
    <row r="51" spans="1:25" s="551" customFormat="1" ht="19.5" customHeight="1" thickBot="1" x14ac:dyDescent="0.3">
      <c r="A51" s="746">
        <v>25043</v>
      </c>
      <c r="B51" s="557" t="s">
        <v>1096</v>
      </c>
      <c r="C51" s="21">
        <v>808</v>
      </c>
      <c r="D51" s="117" t="s">
        <v>1085</v>
      </c>
      <c r="E51" s="116"/>
      <c r="F51" s="117"/>
      <c r="G51" s="439">
        <v>1659479</v>
      </c>
      <c r="H51" s="441"/>
      <c r="I51" s="47">
        <f>Table2726731436383210271164102[[#This Row],[FY2024-2025 BUDGET]]+Table2726731436383210271164102[[#This Row],[ADDITIONAL REVENUE ]]</f>
        <v>1659479</v>
      </c>
      <c r="J51" s="441">
        <v>306109.42000000004</v>
      </c>
      <c r="K51" s="708">
        <v>0</v>
      </c>
      <c r="L51" s="441">
        <f>Table2726731436383210271164102[[#This Row],[EXPENDED ]]+Table2726731436383210271164102[[#This Row],[ENCUMBERED]]</f>
        <v>306109.42000000004</v>
      </c>
      <c r="M51" s="441">
        <f>Table2726731436383210271164102[[#This Row],[FORECAST]]-Table2726731436383210271164102[[#This Row],[TOTAL YTD]]</f>
        <v>1353369.58</v>
      </c>
      <c r="N51" s="745">
        <f>Table2726731436383210271164102[[#This Row],[TOTAL YTD]]/Table2726731436383210271164102[[#This Row],[FINAL BUDGET]]</f>
        <v>0.184461159195145</v>
      </c>
      <c r="O51" s="441">
        <f>Table2726731436383210271164102[[#This Row],[FINAL BUDGET]]</f>
        <v>1659479</v>
      </c>
      <c r="P51" s="817">
        <f t="shared" si="1"/>
        <v>0</v>
      </c>
      <c r="Q51" s="16" t="s">
        <v>2138</v>
      </c>
      <c r="R51" s="819">
        <f>SUM(G48:G51)</f>
        <v>7759947</v>
      </c>
      <c r="S51" s="16"/>
      <c r="T51" s="114"/>
      <c r="U51" s="114"/>
      <c r="V51" s="114"/>
      <c r="W51" s="114"/>
      <c r="X51" s="114"/>
    </row>
    <row r="52" spans="1:25" s="551" customFormat="1" ht="19.5" customHeight="1" x14ac:dyDescent="0.25">
      <c r="A52" s="746">
        <v>25047</v>
      </c>
      <c r="B52" s="557" t="s">
        <v>1779</v>
      </c>
      <c r="C52" s="21">
        <v>801</v>
      </c>
      <c r="D52" s="116" t="s">
        <v>1085</v>
      </c>
      <c r="E52" s="135"/>
      <c r="F52" s="117"/>
      <c r="G52" s="439">
        <v>591000</v>
      </c>
      <c r="H52" s="47"/>
      <c r="I52" s="47">
        <f>Table2726731436383210271164102[[#This Row],[FY2024-2025 BUDGET]]+Table2726731436383210271164102[[#This Row],[ADDITIONAL REVENUE ]]</f>
        <v>591000</v>
      </c>
      <c r="J52" s="47">
        <v>59779</v>
      </c>
      <c r="K52" s="708">
        <v>0</v>
      </c>
      <c r="L52" s="441">
        <f>Table2726731436383210271164102[[#This Row],[EXPENDED ]]+Table2726731436383210271164102[[#This Row],[ENCUMBERED]]</f>
        <v>59779</v>
      </c>
      <c r="M52" s="441">
        <f>Table2726731436383210271164102[[#This Row],[FORECAST]]-Table2726731436383210271164102[[#This Row],[TOTAL YTD]]</f>
        <v>531221</v>
      </c>
      <c r="N52" s="745">
        <f>Table2726731436383210271164102[[#This Row],[TOTAL YTD]]/Table2726731436383210271164102[[#This Row],[FINAL BUDGET]]</f>
        <v>0.10114890016920473</v>
      </c>
      <c r="O52" s="47">
        <f>Table2726731436383210271164102[[#This Row],[FINAL BUDGET]]</f>
        <v>591000</v>
      </c>
      <c r="P52" s="802">
        <f t="shared" si="1"/>
        <v>0</v>
      </c>
      <c r="Q52" s="820" t="s">
        <v>2138</v>
      </c>
      <c r="R52" s="818"/>
      <c r="S52" s="114"/>
      <c r="T52" s="114"/>
      <c r="U52" s="114"/>
      <c r="V52" s="114"/>
      <c r="W52" s="114"/>
      <c r="X52" s="114"/>
    </row>
    <row r="53" spans="1:25" s="551" customFormat="1" ht="19.5" customHeight="1" x14ac:dyDescent="0.25">
      <c r="A53" s="746">
        <v>25048</v>
      </c>
      <c r="B53" s="557" t="s">
        <v>1926</v>
      </c>
      <c r="C53" s="21">
        <v>805</v>
      </c>
      <c r="D53" s="116" t="s">
        <v>1085</v>
      </c>
      <c r="E53" s="135"/>
      <c r="F53" s="117"/>
      <c r="G53" s="439">
        <v>623300</v>
      </c>
      <c r="H53" s="47"/>
      <c r="I53" s="47">
        <f>Table2726731436383210271164102[[#This Row],[FY2024-2025 BUDGET]]+Table2726731436383210271164102[[#This Row],[ADDITIONAL REVENUE ]]</f>
        <v>623300</v>
      </c>
      <c r="J53" s="47">
        <v>96588.1</v>
      </c>
      <c r="K53" s="708">
        <v>0</v>
      </c>
      <c r="L53" s="441">
        <f>Table2726731436383210271164102[[#This Row],[EXPENDED ]]+Table2726731436383210271164102[[#This Row],[ENCUMBERED]]</f>
        <v>96588.1</v>
      </c>
      <c r="M53" s="441">
        <f>Table2726731436383210271164102[[#This Row],[FORECAST]]-Table2726731436383210271164102[[#This Row],[TOTAL YTD]]</f>
        <v>526711.9</v>
      </c>
      <c r="N53" s="745">
        <f>Table2726731436383210271164102[[#This Row],[TOTAL YTD]]/Table2726731436383210271164102[[#This Row],[FINAL BUDGET]]</f>
        <v>0.15496245788544843</v>
      </c>
      <c r="O53" s="47">
        <f>Table2726731436383210271164102[[#This Row],[FINAL BUDGET]]</f>
        <v>623300</v>
      </c>
      <c r="P53" s="802">
        <f t="shared" si="1"/>
        <v>0</v>
      </c>
      <c r="Q53" s="820" t="s">
        <v>2138</v>
      </c>
      <c r="R53" s="818"/>
      <c r="S53" s="114"/>
      <c r="T53" s="114"/>
      <c r="U53" s="114"/>
      <c r="V53" s="114"/>
      <c r="W53" s="114"/>
      <c r="X53" s="114"/>
    </row>
    <row r="54" spans="1:25" ht="21.95" customHeight="1" x14ac:dyDescent="0.25">
      <c r="A54" s="746">
        <v>24050</v>
      </c>
      <c r="B54" s="431" t="s">
        <v>2023</v>
      </c>
      <c r="C54" s="617">
        <v>835</v>
      </c>
      <c r="D54" s="116"/>
      <c r="E54" s="135" t="s">
        <v>1085</v>
      </c>
      <c r="F54" s="117"/>
      <c r="G54" s="440">
        <v>57392</v>
      </c>
      <c r="H54" s="47"/>
      <c r="I54" s="47">
        <f>Table2726731436383210271164102[[#This Row],[FY2024-2025 BUDGET]]+Table2726731436383210271164102[[#This Row],[ADDITIONAL REVENUE ]]</f>
        <v>57392</v>
      </c>
      <c r="J54" s="47">
        <v>401.74</v>
      </c>
      <c r="K54" s="47">
        <v>0</v>
      </c>
      <c r="L54" s="441">
        <f>Table2726731436383210271164102[[#This Row],[EXPENDED ]]+Table2726731436383210271164102[[#This Row],[ENCUMBERED]]</f>
        <v>401.74</v>
      </c>
      <c r="M54" s="441">
        <f>Table2726731436383210271164102[[#This Row],[FORECAST]]-Table2726731436383210271164102[[#This Row],[TOTAL YTD]]</f>
        <v>56990.26</v>
      </c>
      <c r="N54" s="745">
        <f>Table2726731436383210271164102[[#This Row],[TOTAL YTD]]/Table2726731436383210271164102[[#This Row],[FINAL BUDGET]]</f>
        <v>6.9999303038751045E-3</v>
      </c>
      <c r="O54" s="47">
        <f>Table2726731436383210271164102[[#This Row],[FINAL BUDGET]]</f>
        <v>57392</v>
      </c>
      <c r="P54" s="802">
        <f t="shared" si="1"/>
        <v>0</v>
      </c>
      <c r="Q54" s="820" t="s">
        <v>2270</v>
      </c>
      <c r="R54" s="818"/>
      <c r="Y54" s="551"/>
    </row>
    <row r="55" spans="1:25" ht="21.95" customHeight="1" x14ac:dyDescent="0.25">
      <c r="A55" s="746">
        <v>24051</v>
      </c>
      <c r="B55" s="557" t="s">
        <v>2132</v>
      </c>
      <c r="C55" s="617"/>
      <c r="D55" s="116"/>
      <c r="E55" s="135" t="s">
        <v>1085</v>
      </c>
      <c r="F55" s="117"/>
      <c r="G55" s="440">
        <v>23555</v>
      </c>
      <c r="H55" s="47"/>
      <c r="I55" s="47">
        <f>Table2726731436383210271164102[[#This Row],[FY2024-2025 BUDGET]]+Table2726731436383210271164102[[#This Row],[ADDITIONAL REVENUE ]]</f>
        <v>23555</v>
      </c>
      <c r="J55" s="47">
        <v>781.17</v>
      </c>
      <c r="K55" s="47">
        <v>0</v>
      </c>
      <c r="L55" s="441">
        <f>Table2726731436383210271164102[[#This Row],[EXPENDED ]]+Table2726731436383210271164102[[#This Row],[ENCUMBERED]]</f>
        <v>781.17</v>
      </c>
      <c r="M55" s="441">
        <f>Table2726731436383210271164102[[#This Row],[FORECAST]]-Table2726731436383210271164102[[#This Row],[TOTAL YTD]]</f>
        <v>22773.83</v>
      </c>
      <c r="N55" s="745">
        <f>Table2726731436383210271164102[[#This Row],[TOTAL YTD]]/Table2726731436383210271164102[[#This Row],[FINAL BUDGET]]</f>
        <v>3.3163659520271706E-2</v>
      </c>
      <c r="O55" s="47">
        <f>Table2726731436383210271164102[[#This Row],[FINAL BUDGET]]</f>
        <v>23555</v>
      </c>
      <c r="P55" s="802">
        <f t="shared" si="1"/>
        <v>0</v>
      </c>
      <c r="Q55" s="820" t="s">
        <v>2270</v>
      </c>
      <c r="R55" s="818"/>
      <c r="Y55" s="551"/>
    </row>
    <row r="56" spans="1:25" ht="22.5" customHeight="1" x14ac:dyDescent="0.25">
      <c r="A56" s="746">
        <v>22052</v>
      </c>
      <c r="B56" s="557" t="s">
        <v>1674</v>
      </c>
      <c r="C56" s="21"/>
      <c r="D56" s="116" t="s">
        <v>1085</v>
      </c>
      <c r="E56" s="135"/>
      <c r="F56" s="117"/>
      <c r="G56" s="439">
        <v>16561</v>
      </c>
      <c r="H56" s="441"/>
      <c r="I56" s="47">
        <f>Table2726731436383210271164102[[#This Row],[FY2024-2025 BUDGET]]+Table2726731436383210271164102[[#This Row],[ADDITIONAL REVENUE ]]</f>
        <v>16561</v>
      </c>
      <c r="J56" s="47">
        <v>14293.3</v>
      </c>
      <c r="K56" s="708">
        <v>2268</v>
      </c>
      <c r="L56" s="441">
        <f>Table2726731436383210271164102[[#This Row],[EXPENDED ]]+Table2726731436383210271164102[[#This Row],[ENCUMBERED]]</f>
        <v>16561.3</v>
      </c>
      <c r="M56" s="441">
        <f>Table2726731436383210271164102[[#This Row],[FORECAST]]-Table2726731436383210271164102[[#This Row],[TOTAL YTD]]</f>
        <v>-0.2999999999992724</v>
      </c>
      <c r="N56" s="745">
        <f>Table2726731436383210271164102[[#This Row],[TOTAL YTD]]/Table2726731436383210271164102[[#This Row],[FINAL BUDGET]]</f>
        <v>1.0000181148481371</v>
      </c>
      <c r="O56" s="47">
        <f>Table2726731436383210271164102[[#This Row],[FINAL BUDGET]]</f>
        <v>16561</v>
      </c>
      <c r="P56" s="802">
        <f t="shared" si="1"/>
        <v>0</v>
      </c>
      <c r="Q56" s="16" t="s">
        <v>1826</v>
      </c>
      <c r="R56" s="805"/>
      <c r="Y56" s="551"/>
    </row>
    <row r="57" spans="1:25" ht="22.5" customHeight="1" x14ac:dyDescent="0.25">
      <c r="A57" s="746">
        <v>24053</v>
      </c>
      <c r="B57" s="557" t="s">
        <v>2161</v>
      </c>
      <c r="C57" s="617"/>
      <c r="D57" s="116"/>
      <c r="E57" s="135" t="s">
        <v>1085</v>
      </c>
      <c r="F57" s="117"/>
      <c r="G57" s="440">
        <v>15127</v>
      </c>
      <c r="H57" s="47"/>
      <c r="I57" s="47">
        <f>Table2726731436383210271164102[[#This Row],[FY2024-2025 BUDGET]]+Table2726731436383210271164102[[#This Row],[ADDITIONAL REVENUE ]]</f>
        <v>15127</v>
      </c>
      <c r="J57" s="47">
        <v>15127</v>
      </c>
      <c r="K57" s="47">
        <v>0</v>
      </c>
      <c r="L57" s="441">
        <f>Table2726731436383210271164102[[#This Row],[EXPENDED ]]+Table2726731436383210271164102[[#This Row],[ENCUMBERED]]</f>
        <v>15127</v>
      </c>
      <c r="M57" s="441">
        <f>Table2726731436383210271164102[[#This Row],[FORECAST]]-Table2726731436383210271164102[[#This Row],[TOTAL YTD]]</f>
        <v>0</v>
      </c>
      <c r="N57" s="745">
        <f>Table2726731436383210271164102[[#This Row],[TOTAL YTD]]/Table2726731436383210271164102[[#This Row],[FINAL BUDGET]]</f>
        <v>1</v>
      </c>
      <c r="O57" s="47">
        <f>Table2726731436383210271164102[[#This Row],[FINAL BUDGET]]</f>
        <v>15127</v>
      </c>
      <c r="P57" s="802">
        <f t="shared" si="1"/>
        <v>0</v>
      </c>
      <c r="Q57" s="16" t="s">
        <v>1826</v>
      </c>
      <c r="R57" s="805"/>
      <c r="Y57" s="551"/>
    </row>
    <row r="58" spans="1:25" ht="22.5" customHeight="1" x14ac:dyDescent="0.25">
      <c r="A58" s="746">
        <v>24054</v>
      </c>
      <c r="B58" s="557" t="s">
        <v>2162</v>
      </c>
      <c r="C58" s="617"/>
      <c r="D58" s="116"/>
      <c r="E58" s="135" t="s">
        <v>1085</v>
      </c>
      <c r="F58" s="117"/>
      <c r="G58" s="440">
        <v>696132</v>
      </c>
      <c r="H58" s="47"/>
      <c r="I58" s="47">
        <f>Table2726731436383210271164102[[#This Row],[FY2024-2025 BUDGET]]+Table2726731436383210271164102[[#This Row],[ADDITIONAL REVENUE ]]</f>
        <v>696132</v>
      </c>
      <c r="J58" s="47">
        <v>37046.639999999999</v>
      </c>
      <c r="K58" s="47">
        <v>0</v>
      </c>
      <c r="L58" s="441">
        <f>Table2726731436383210271164102[[#This Row],[EXPENDED ]]+Table2726731436383210271164102[[#This Row],[ENCUMBERED]]</f>
        <v>37046.639999999999</v>
      </c>
      <c r="M58" s="441">
        <f>Table2726731436383210271164102[[#This Row],[FORECAST]]-Table2726731436383210271164102[[#This Row],[TOTAL YTD]]</f>
        <v>659085.36</v>
      </c>
      <c r="N58" s="745">
        <f>Table2726731436383210271164102[[#This Row],[TOTAL YTD]]/Table2726731436383210271164102[[#This Row],[FINAL BUDGET]]</f>
        <v>5.3217837996242093E-2</v>
      </c>
      <c r="O58" s="47">
        <f>Table2726731436383210271164102[[#This Row],[FINAL BUDGET]]</f>
        <v>696132</v>
      </c>
      <c r="P58" s="802">
        <f t="shared" si="1"/>
        <v>0</v>
      </c>
      <c r="Q58" s="16" t="s">
        <v>2163</v>
      </c>
      <c r="R58" s="805"/>
      <c r="Y58" s="551"/>
    </row>
    <row r="59" spans="1:25" ht="22.5" customHeight="1" x14ac:dyDescent="0.25">
      <c r="A59" s="746">
        <v>23055</v>
      </c>
      <c r="B59" s="557" t="s">
        <v>1707</v>
      </c>
      <c r="C59" s="21"/>
      <c r="D59" s="116" t="s">
        <v>1085</v>
      </c>
      <c r="E59" s="135"/>
      <c r="F59" s="117"/>
      <c r="G59" s="439">
        <v>188582</v>
      </c>
      <c r="H59" s="441"/>
      <c r="I59" s="47">
        <f>Table2726731436383210271164102[[#This Row],[FY2024-2025 BUDGET]]+Table2726731436383210271164102[[#This Row],[ADDITIONAL REVENUE ]]</f>
        <v>188582</v>
      </c>
      <c r="J59" s="47">
        <v>32468.11</v>
      </c>
      <c r="K59" s="708">
        <f>99746.13+56368</f>
        <v>156114.13</v>
      </c>
      <c r="L59" s="441">
        <f>Table2726731436383210271164102[[#This Row],[EXPENDED ]]+Table2726731436383210271164102[[#This Row],[ENCUMBERED]]</f>
        <v>188582.24</v>
      </c>
      <c r="M59" s="441">
        <f>Table2726731436383210271164102[[#This Row],[FORECAST]]-Table2726731436383210271164102[[#This Row],[TOTAL YTD]]</f>
        <v>-0.23999999999068677</v>
      </c>
      <c r="N59" s="745">
        <f>Table2726731436383210271164102[[#This Row],[TOTAL YTD]]/Table2726731436383210271164102[[#This Row],[FINAL BUDGET]]</f>
        <v>1.0000012726559269</v>
      </c>
      <c r="O59" s="47">
        <f>Table2726731436383210271164102[[#This Row],[FINAL BUDGET]]</f>
        <v>188582</v>
      </c>
      <c r="P59" s="802">
        <f t="shared" si="1"/>
        <v>0</v>
      </c>
      <c r="Q59" s="16" t="s">
        <v>1826</v>
      </c>
      <c r="R59" s="805"/>
      <c r="Y59" s="551"/>
    </row>
    <row r="60" spans="1:25" ht="19.5" customHeight="1" x14ac:dyDescent="0.25">
      <c r="A60" s="746">
        <v>22056</v>
      </c>
      <c r="B60" s="557" t="s">
        <v>1606</v>
      </c>
      <c r="C60" s="617"/>
      <c r="D60" s="540"/>
      <c r="E60" s="117" t="s">
        <v>1085</v>
      </c>
      <c r="F60" s="117"/>
      <c r="G60" s="439">
        <v>7823938</v>
      </c>
      <c r="H60" s="441"/>
      <c r="I60" s="47">
        <f>Table2726731436383210271164102[[#This Row],[FY2024-2025 BUDGET]]+Table2726731436383210271164102[[#This Row],[ADDITIONAL REVENUE ]]</f>
        <v>7823938</v>
      </c>
      <c r="J60" s="47">
        <v>5089650.4099999992</v>
      </c>
      <c r="K60" s="708">
        <f>2893177.85-158890</f>
        <v>2734287.85</v>
      </c>
      <c r="L60" s="441">
        <f>Table2726731436383210271164102[[#This Row],[EXPENDED ]]+Table2726731436383210271164102[[#This Row],[ENCUMBERED]]</f>
        <v>7823938.2599999998</v>
      </c>
      <c r="M60" s="441">
        <f>Table2726731436383210271164102[[#This Row],[FORECAST]]-Table2726731436383210271164102[[#This Row],[TOTAL YTD]]</f>
        <v>-0.25999999977648258</v>
      </c>
      <c r="N60" s="745">
        <f>Table2726731436383210271164102[[#This Row],[TOTAL YTD]]/Table2726731436383210271164102[[#This Row],[FINAL BUDGET]]</f>
        <v>1.0000000332313472</v>
      </c>
      <c r="O60" s="47">
        <f>Table2726731436383210271164102[[#This Row],[FINAL BUDGET]]</f>
        <v>7823938</v>
      </c>
      <c r="P60" s="802">
        <f t="shared" si="1"/>
        <v>0</v>
      </c>
      <c r="Q60" s="16" t="s">
        <v>1826</v>
      </c>
      <c r="R60" s="805"/>
      <c r="Y60" s="551"/>
    </row>
    <row r="61" spans="1:25" ht="19.5" customHeight="1" x14ac:dyDescent="0.25">
      <c r="A61" s="746">
        <v>25057</v>
      </c>
      <c r="B61" s="557" t="s">
        <v>1708</v>
      </c>
      <c r="C61" s="617"/>
      <c r="D61" s="540"/>
      <c r="E61" s="117" t="s">
        <v>1085</v>
      </c>
      <c r="F61" s="117"/>
      <c r="G61" s="439">
        <v>791295.05</v>
      </c>
      <c r="H61" s="47"/>
      <c r="I61" s="47">
        <f>Table2726731436383210271164102[[#This Row],[FY2024-2025 BUDGET]]+Table2726731436383210271164102[[#This Row],[ADDITIONAL REVENUE ]]</f>
        <v>791295.05</v>
      </c>
      <c r="J61" s="47">
        <v>7567.29</v>
      </c>
      <c r="K61" s="47">
        <v>34000.089999999997</v>
      </c>
      <c r="L61" s="441">
        <f>Table2726731436383210271164102[[#This Row],[EXPENDED ]]+Table2726731436383210271164102[[#This Row],[ENCUMBERED]]</f>
        <v>41567.379999999997</v>
      </c>
      <c r="M61" s="441">
        <f>Table2726731436383210271164102[[#This Row],[FORECAST]]-Table2726731436383210271164102[[#This Row],[TOTAL YTD]]</f>
        <v>749727.67</v>
      </c>
      <c r="N61" s="745">
        <f>Table2726731436383210271164102[[#This Row],[TOTAL YTD]]/Table2726731436383210271164102[[#This Row],[FINAL BUDGET]]</f>
        <v>5.2530822731672588E-2</v>
      </c>
      <c r="O61" s="47">
        <f>Table2726731436383210271164102[[#This Row],[FINAL BUDGET]]</f>
        <v>791295.05</v>
      </c>
      <c r="P61" s="802">
        <f t="shared" si="1"/>
        <v>0</v>
      </c>
      <c r="Q61" s="16" t="s">
        <v>2227</v>
      </c>
      <c r="R61" s="805"/>
    </row>
    <row r="62" spans="1:25" ht="19.5" customHeight="1" x14ac:dyDescent="0.25">
      <c r="A62" s="746">
        <v>25058</v>
      </c>
      <c r="B62" s="557" t="s">
        <v>1097</v>
      </c>
      <c r="C62" s="617"/>
      <c r="D62" s="540" t="s">
        <v>1085</v>
      </c>
      <c r="E62" s="116"/>
      <c r="F62" s="117"/>
      <c r="G62" s="439">
        <v>37282798</v>
      </c>
      <c r="H62" s="441"/>
      <c r="I62" s="47">
        <f>Table2726731436383210271164102[[#This Row],[FY2024-2025 BUDGET]]+Table2726731436383210271164102[[#This Row],[ADDITIONAL REVENUE ]]</f>
        <v>37282798</v>
      </c>
      <c r="J62" s="47">
        <v>6784087.4900000002</v>
      </c>
      <c r="K62" s="708">
        <v>3124587.66</v>
      </c>
      <c r="L62" s="441">
        <f>Table2726731436383210271164102[[#This Row],[EXPENDED ]]+Table2726731436383210271164102[[#This Row],[ENCUMBERED]]</f>
        <v>9908675.1500000004</v>
      </c>
      <c r="M62" s="441">
        <f>Table2726731436383210271164102[[#This Row],[FORECAST]]-Table2726731436383210271164102[[#This Row],[TOTAL YTD]]</f>
        <v>27374122.850000001</v>
      </c>
      <c r="N62" s="745">
        <f>Table2726731436383210271164102[[#This Row],[TOTAL YTD]]/Table2726731436383210271164102[[#This Row],[FINAL BUDGET]]</f>
        <v>0.26577069537538467</v>
      </c>
      <c r="O62" s="47">
        <f>Table2726731436383210271164102[[#This Row],[FINAL BUDGET]]</f>
        <v>37282798</v>
      </c>
      <c r="P62" s="802">
        <f t="shared" si="1"/>
        <v>0</v>
      </c>
      <c r="Q62" s="16" t="s">
        <v>2138</v>
      </c>
      <c r="R62" s="805"/>
    </row>
    <row r="63" spans="1:25" ht="19.5" customHeight="1" x14ac:dyDescent="0.25">
      <c r="A63" s="746">
        <v>24059</v>
      </c>
      <c r="B63" s="557" t="s">
        <v>1700</v>
      </c>
      <c r="C63" s="617"/>
      <c r="D63" s="540"/>
      <c r="E63" s="116" t="s">
        <v>1085</v>
      </c>
      <c r="F63" s="117"/>
      <c r="G63" s="439">
        <v>269367</v>
      </c>
      <c r="H63" s="47"/>
      <c r="I63" s="47">
        <f>Table2726731436383210271164102[[#This Row],[FY2024-2025 BUDGET]]+Table2726731436383210271164102[[#This Row],[ADDITIONAL REVENUE ]]</f>
        <v>269367</v>
      </c>
      <c r="J63" s="47">
        <v>80349.77</v>
      </c>
      <c r="K63" s="708">
        <v>25010.5</v>
      </c>
      <c r="L63" s="441">
        <f>Table2726731436383210271164102[[#This Row],[EXPENDED ]]+Table2726731436383210271164102[[#This Row],[ENCUMBERED]]</f>
        <v>105360.27</v>
      </c>
      <c r="M63" s="441">
        <f>Table2726731436383210271164102[[#This Row],[FORECAST]]-Table2726731436383210271164102[[#This Row],[TOTAL YTD]]</f>
        <v>164006.72999999998</v>
      </c>
      <c r="N63" s="745">
        <f>Table2726731436383210271164102[[#This Row],[TOTAL YTD]]/Table2726731436383210271164102[[#This Row],[FINAL BUDGET]]</f>
        <v>0.39114022875853394</v>
      </c>
      <c r="O63" s="47">
        <f>Table2726731436383210271164102[[#This Row],[FINAL BUDGET]]</f>
        <v>269367</v>
      </c>
      <c r="P63" s="802">
        <f t="shared" si="1"/>
        <v>0</v>
      </c>
      <c r="Q63" s="16" t="s">
        <v>2138</v>
      </c>
      <c r="R63" s="821" t="s">
        <v>2228</v>
      </c>
      <c r="S63" s="714"/>
    </row>
    <row r="64" spans="1:25" ht="19.5" customHeight="1" x14ac:dyDescent="0.25">
      <c r="A64" s="746">
        <v>25059</v>
      </c>
      <c r="B64" s="557" t="s">
        <v>1098</v>
      </c>
      <c r="C64" s="617"/>
      <c r="D64" s="540"/>
      <c r="E64" s="116" t="s">
        <v>1085</v>
      </c>
      <c r="F64" s="117"/>
      <c r="G64" s="439">
        <v>1024333</v>
      </c>
      <c r="H64" s="47"/>
      <c r="I64" s="47">
        <f>Table2726731436383210271164102[[#This Row],[FY2024-2025 BUDGET]]+Table2726731436383210271164102[[#This Row],[ADDITIONAL REVENUE ]]</f>
        <v>1024333</v>
      </c>
      <c r="J64" s="47">
        <v>5483.38</v>
      </c>
      <c r="K64" s="708">
        <v>0</v>
      </c>
      <c r="L64" s="441">
        <f>Table2726731436383210271164102[[#This Row],[EXPENDED ]]+Table2726731436383210271164102[[#This Row],[ENCUMBERED]]</f>
        <v>5483.38</v>
      </c>
      <c r="M64" s="441">
        <f>Table2726731436383210271164102[[#This Row],[FORECAST]]-Table2726731436383210271164102[[#This Row],[TOTAL YTD]]</f>
        <v>1018849.62</v>
      </c>
      <c r="N64" s="745">
        <f>Table2726731436383210271164102[[#This Row],[TOTAL YTD]]/Table2726731436383210271164102[[#This Row],[FINAL BUDGET]]</f>
        <v>5.3531224709152201E-3</v>
      </c>
      <c r="O64" s="47">
        <f>Table2726731436383210271164102[[#This Row],[FINAL BUDGET]]</f>
        <v>1024333</v>
      </c>
      <c r="P64" s="802">
        <f t="shared" si="1"/>
        <v>0</v>
      </c>
      <c r="Q64" s="16" t="s">
        <v>2138</v>
      </c>
      <c r="R64" s="821" t="s">
        <v>2229</v>
      </c>
      <c r="S64" s="714"/>
    </row>
    <row r="65" spans="1:24" ht="19.5" customHeight="1" x14ac:dyDescent="0.25">
      <c r="A65" s="746">
        <v>24060</v>
      </c>
      <c r="B65" s="557" t="s">
        <v>1699</v>
      </c>
      <c r="C65" s="617"/>
      <c r="D65" s="540"/>
      <c r="E65" s="116" t="s">
        <v>1085</v>
      </c>
      <c r="F65" s="117"/>
      <c r="G65" s="439">
        <v>2471136</v>
      </c>
      <c r="H65" s="47"/>
      <c r="I65" s="47">
        <f>Table2726731436383210271164102[[#This Row],[FY2024-2025 BUDGET]]+Table2726731436383210271164102[[#This Row],[ADDITIONAL REVENUE ]]</f>
        <v>2471136</v>
      </c>
      <c r="J65" s="47">
        <v>554590.36</v>
      </c>
      <c r="K65" s="708">
        <v>104908.07</v>
      </c>
      <c r="L65" s="441">
        <f>Table2726731436383210271164102[[#This Row],[EXPENDED ]]+Table2726731436383210271164102[[#This Row],[ENCUMBERED]]</f>
        <v>659498.42999999993</v>
      </c>
      <c r="M65" s="441">
        <f>Table2726731436383210271164102[[#This Row],[FORECAST]]-Table2726731436383210271164102[[#This Row],[TOTAL YTD]]</f>
        <v>1811637.57</v>
      </c>
      <c r="N65" s="745">
        <f>Table2726731436383210271164102[[#This Row],[TOTAL YTD]]/Table2726731436383210271164102[[#This Row],[FINAL BUDGET]]</f>
        <v>0.266880669457286</v>
      </c>
      <c r="O65" s="47">
        <f>Table2726731436383210271164102[[#This Row],[FINAL BUDGET]]</f>
        <v>2471136</v>
      </c>
      <c r="P65" s="802">
        <f t="shared" si="1"/>
        <v>0</v>
      </c>
      <c r="Q65" s="16" t="s">
        <v>2138</v>
      </c>
      <c r="R65" s="821" t="s">
        <v>2141</v>
      </c>
    </row>
    <row r="66" spans="1:24" ht="19.5" customHeight="1" x14ac:dyDescent="0.25">
      <c r="A66" s="746">
        <v>25060</v>
      </c>
      <c r="B66" s="557" t="s">
        <v>1197</v>
      </c>
      <c r="C66" s="617"/>
      <c r="D66" s="540"/>
      <c r="E66" s="116" t="s">
        <v>1085</v>
      </c>
      <c r="F66" s="117"/>
      <c r="G66" s="439">
        <v>14087598</v>
      </c>
      <c r="H66" s="47"/>
      <c r="I66" s="47">
        <f>Table2726731436383210271164102[[#This Row],[FY2024-2025 BUDGET]]+Table2726731436383210271164102[[#This Row],[ADDITIONAL REVENUE ]]</f>
        <v>14087598</v>
      </c>
      <c r="J66" s="47">
        <f>1444511.5+2168+2309</f>
        <v>1448988.5</v>
      </c>
      <c r="K66" s="708">
        <v>1830.6</v>
      </c>
      <c r="L66" s="441">
        <f>Table2726731436383210271164102[[#This Row],[EXPENDED ]]+Table2726731436383210271164102[[#This Row],[ENCUMBERED]]</f>
        <v>1450819.1</v>
      </c>
      <c r="M66" s="441">
        <f>Table2726731436383210271164102[[#This Row],[FORECAST]]-Table2726731436383210271164102[[#This Row],[TOTAL YTD]]</f>
        <v>12636778.9</v>
      </c>
      <c r="N66" s="745">
        <f>Table2726731436383210271164102[[#This Row],[TOTAL YTD]]/Table2726731436383210271164102[[#This Row],[FINAL BUDGET]]</f>
        <v>0.10298555509604974</v>
      </c>
      <c r="O66" s="47">
        <f>Table2726731436383210271164102[[#This Row],[FINAL BUDGET]]</f>
        <v>14087598</v>
      </c>
      <c r="P66" s="802">
        <f t="shared" si="1"/>
        <v>0</v>
      </c>
      <c r="Q66" s="16" t="s">
        <v>2138</v>
      </c>
      <c r="R66" s="821" t="s">
        <v>2230</v>
      </c>
    </row>
    <row r="67" spans="1:24" s="551" customFormat="1" ht="19.5" customHeight="1" x14ac:dyDescent="0.25">
      <c r="A67" s="746">
        <v>24061</v>
      </c>
      <c r="B67" s="557" t="s">
        <v>2231</v>
      </c>
      <c r="C67" s="21"/>
      <c r="D67" s="117"/>
      <c r="E67" s="116" t="s">
        <v>1085</v>
      </c>
      <c r="F67" s="117"/>
      <c r="G67" s="439">
        <v>10424</v>
      </c>
      <c r="H67" s="441"/>
      <c r="I67" s="441">
        <f>Table2726731436383210271164102[[#This Row],[FY2024-2025 BUDGET]]+Table2726731436383210271164102[[#This Row],[ADDITIONAL REVENUE ]]</f>
        <v>10424</v>
      </c>
      <c r="J67" s="441">
        <v>8902.24</v>
      </c>
      <c r="K67" s="708">
        <v>0</v>
      </c>
      <c r="L67" s="441">
        <f>Table2726731436383210271164102[[#This Row],[EXPENDED ]]+Table2726731436383210271164102[[#This Row],[ENCUMBERED]]</f>
        <v>8902.24</v>
      </c>
      <c r="M67" s="441">
        <f>Table2726731436383210271164102[[#This Row],[FORECAST]]-Table2726731436383210271164102[[#This Row],[TOTAL YTD]]</f>
        <v>1521.7600000000002</v>
      </c>
      <c r="N67" s="745">
        <f>Table2726731436383210271164102[[#This Row],[TOTAL YTD]]/Table2726731436383210271164102[[#This Row],[FINAL BUDGET]]</f>
        <v>0.85401381427475054</v>
      </c>
      <c r="O67" s="441">
        <f>Table2726731436383210271164102[[#This Row],[FINAL BUDGET]]</f>
        <v>10424</v>
      </c>
      <c r="P67" s="817">
        <f t="shared" si="1"/>
        <v>0</v>
      </c>
      <c r="Q67" s="16" t="s">
        <v>2138</v>
      </c>
      <c r="R67" s="822"/>
      <c r="S67" s="114"/>
      <c r="T67" s="114"/>
      <c r="U67" s="114"/>
      <c r="V67" s="114"/>
      <c r="W67" s="114"/>
      <c r="X67" s="114"/>
    </row>
    <row r="68" spans="1:24" s="551" customFormat="1" ht="19.5" customHeight="1" x14ac:dyDescent="0.25">
      <c r="A68" s="746">
        <v>25061</v>
      </c>
      <c r="B68" s="557" t="s">
        <v>1101</v>
      </c>
      <c r="C68" s="21"/>
      <c r="D68" s="117"/>
      <c r="E68" s="116" t="s">
        <v>1085</v>
      </c>
      <c r="F68" s="117"/>
      <c r="G68" s="439">
        <v>77532</v>
      </c>
      <c r="H68" s="441"/>
      <c r="I68" s="441">
        <f>Table2726731436383210271164102[[#This Row],[FY2024-2025 BUDGET]]+Table2726731436383210271164102[[#This Row],[ADDITIONAL REVENUE ]]</f>
        <v>77532</v>
      </c>
      <c r="J68" s="441">
        <v>593.48</v>
      </c>
      <c r="K68" s="708">
        <v>0</v>
      </c>
      <c r="L68" s="441">
        <f>Table2726731436383210271164102[[#This Row],[EXPENDED ]]+Table2726731436383210271164102[[#This Row],[ENCUMBERED]]</f>
        <v>593.48</v>
      </c>
      <c r="M68" s="441">
        <f>Table2726731436383210271164102[[#This Row],[FORECAST]]-Table2726731436383210271164102[[#This Row],[TOTAL YTD]]</f>
        <v>76938.52</v>
      </c>
      <c r="N68" s="745">
        <f>Table2726731436383210271164102[[#This Row],[TOTAL YTD]]/Table2726731436383210271164102[[#This Row],[FINAL BUDGET]]</f>
        <v>7.6546458236599084E-3</v>
      </c>
      <c r="O68" s="441">
        <f>Table2726731436383210271164102[[#This Row],[FINAL BUDGET]]</f>
        <v>77532</v>
      </c>
      <c r="P68" s="817">
        <f t="shared" si="1"/>
        <v>0</v>
      </c>
      <c r="Q68" s="16" t="s">
        <v>2138</v>
      </c>
      <c r="R68" s="822"/>
      <c r="S68" s="114"/>
      <c r="T68" s="114"/>
      <c r="U68" s="114"/>
      <c r="V68" s="114"/>
      <c r="W68" s="114"/>
      <c r="X68" s="114"/>
    </row>
    <row r="69" spans="1:24" s="551" customFormat="1" ht="19.5" customHeight="1" x14ac:dyDescent="0.25">
      <c r="A69" s="464" t="s">
        <v>2164</v>
      </c>
      <c r="B69" s="557" t="s">
        <v>2232</v>
      </c>
      <c r="C69" s="617"/>
      <c r="D69" s="116" t="s">
        <v>1085</v>
      </c>
      <c r="E69" s="135"/>
      <c r="F69" s="117"/>
      <c r="G69" s="440">
        <v>40000</v>
      </c>
      <c r="H69" s="47"/>
      <c r="I69" s="47">
        <f>Table2726731436383210271164102[[#This Row],[FY2024-2025 BUDGET]]+Table2726731436383210271164102[[#This Row],[ADDITIONAL REVENUE ]]</f>
        <v>40000</v>
      </c>
      <c r="J69" s="47">
        <v>40000</v>
      </c>
      <c r="K69" s="47">
        <v>0</v>
      </c>
      <c r="L69" s="441">
        <f>Table2726731436383210271164102[[#This Row],[EXPENDED ]]+Table2726731436383210271164102[[#This Row],[ENCUMBERED]]</f>
        <v>40000</v>
      </c>
      <c r="M69" s="441">
        <f>Table2726731436383210271164102[[#This Row],[FORECAST]]-Table2726731436383210271164102[[#This Row],[TOTAL YTD]]</f>
        <v>0</v>
      </c>
      <c r="N69" s="745">
        <f>Table2726731436383210271164102[[#This Row],[TOTAL YTD]]/Table2726731436383210271164102[[#This Row],[FINAL BUDGET]]</f>
        <v>1</v>
      </c>
      <c r="O69" s="47">
        <f>Table2726731436383210271164102[[#This Row],[FINAL BUDGET]]</f>
        <v>40000</v>
      </c>
      <c r="P69" s="802">
        <f t="shared" si="1"/>
        <v>0</v>
      </c>
      <c r="Q69" s="16" t="s">
        <v>1826</v>
      </c>
      <c r="R69" s="822"/>
      <c r="S69" s="114"/>
      <c r="T69" s="114"/>
      <c r="U69" s="114"/>
      <c r="V69" s="114"/>
      <c r="W69" s="114"/>
      <c r="X69" s="114"/>
    </row>
    <row r="70" spans="1:24" s="551" customFormat="1" ht="19.5" customHeight="1" x14ac:dyDescent="0.25">
      <c r="A70" s="746">
        <v>25063</v>
      </c>
      <c r="B70" s="557" t="s">
        <v>1987</v>
      </c>
      <c r="C70" s="617"/>
      <c r="D70" s="116" t="s">
        <v>1085</v>
      </c>
      <c r="E70" s="135"/>
      <c r="F70" s="117"/>
      <c r="G70" s="440">
        <v>232354</v>
      </c>
      <c r="H70" s="47"/>
      <c r="I70" s="47">
        <f>Table2726731436383210271164102[[#This Row],[FY2024-2025 BUDGET]]+Table2726731436383210271164102[[#This Row],[ADDITIONAL REVENUE ]]</f>
        <v>232354</v>
      </c>
      <c r="J70" s="47">
        <v>0</v>
      </c>
      <c r="K70" s="47">
        <v>0</v>
      </c>
      <c r="L70" s="441">
        <f>Table2726731436383210271164102[[#This Row],[EXPENDED ]]+Table2726731436383210271164102[[#This Row],[ENCUMBERED]]</f>
        <v>0</v>
      </c>
      <c r="M70" s="441">
        <f>Table2726731436383210271164102[[#This Row],[FORECAST]]-Table2726731436383210271164102[[#This Row],[TOTAL YTD]]</f>
        <v>232354</v>
      </c>
      <c r="N70" s="745">
        <f>Table2726731436383210271164102[[#This Row],[TOTAL YTD]]/Table2726731436383210271164102[[#This Row],[FINAL BUDGET]]</f>
        <v>0</v>
      </c>
      <c r="O70" s="47">
        <f>Table2726731436383210271164102[[#This Row],[FINAL BUDGET]]</f>
        <v>232354</v>
      </c>
      <c r="P70" s="802">
        <f t="shared" si="1"/>
        <v>0</v>
      </c>
      <c r="Q70" s="16" t="s">
        <v>2138</v>
      </c>
      <c r="R70" s="805"/>
      <c r="S70" s="114"/>
      <c r="T70" s="114"/>
      <c r="U70" s="114"/>
      <c r="V70" s="114"/>
      <c r="W70" s="114"/>
      <c r="X70" s="114"/>
    </row>
    <row r="71" spans="1:24" s="551" customFormat="1" ht="19.5" customHeight="1" x14ac:dyDescent="0.25">
      <c r="A71" s="746">
        <v>24064</v>
      </c>
      <c r="B71" s="557" t="s">
        <v>2021</v>
      </c>
      <c r="C71" s="429" t="s">
        <v>1603</v>
      </c>
      <c r="D71" s="116"/>
      <c r="E71" s="135"/>
      <c r="F71" s="117" t="s">
        <v>1118</v>
      </c>
      <c r="G71" s="440">
        <v>52580</v>
      </c>
      <c r="H71" s="47"/>
      <c r="I71" s="47">
        <f>Table2726731436383210271164102[[#This Row],[FY2024-2025 BUDGET]]+Table2726731436383210271164102[[#This Row],[ADDITIONAL REVENUE ]]</f>
        <v>52580</v>
      </c>
      <c r="J71" s="47">
        <v>0</v>
      </c>
      <c r="K71" s="47">
        <v>21675.5</v>
      </c>
      <c r="L71" s="441">
        <f>Table2726731436383210271164102[[#This Row],[EXPENDED ]]+Table2726731436383210271164102[[#This Row],[ENCUMBERED]]</f>
        <v>21675.5</v>
      </c>
      <c r="M71" s="441">
        <f>Table2726731436383210271164102[[#This Row],[FORECAST]]-Table2726731436383210271164102[[#This Row],[TOTAL YTD]]</f>
        <v>30904.5</v>
      </c>
      <c r="N71" s="745">
        <f>Table2726731436383210271164102[[#This Row],[TOTAL YTD]]/Table2726731436383210271164102[[#This Row],[FINAL BUDGET]]</f>
        <v>0.41223849372384935</v>
      </c>
      <c r="O71" s="47">
        <f>Table2726731436383210271164102[[#This Row],[FINAL BUDGET]]</f>
        <v>52580</v>
      </c>
      <c r="P71" s="802">
        <f t="shared" si="1"/>
        <v>0</v>
      </c>
      <c r="Q71" s="823" t="s">
        <v>1608</v>
      </c>
      <c r="R71" s="822"/>
      <c r="S71" s="114"/>
      <c r="T71" s="114"/>
      <c r="U71" s="114"/>
      <c r="V71" s="114"/>
      <c r="W71" s="114"/>
      <c r="X71" s="114"/>
    </row>
    <row r="72" spans="1:24" ht="19.5" customHeight="1" x14ac:dyDescent="0.25">
      <c r="A72" s="746">
        <v>25065</v>
      </c>
      <c r="B72" s="557" t="s">
        <v>1102</v>
      </c>
      <c r="C72" s="21">
        <v>864</v>
      </c>
      <c r="D72" s="117"/>
      <c r="E72" s="116" t="s">
        <v>1085</v>
      </c>
      <c r="F72" s="117"/>
      <c r="G72" s="439">
        <v>670385</v>
      </c>
      <c r="H72" s="441"/>
      <c r="I72" s="47">
        <f>Table2726731436383210271164102[[#This Row],[FY2024-2025 BUDGET]]+Table2726731436383210271164102[[#This Row],[ADDITIONAL REVENUE ]]</f>
        <v>670385</v>
      </c>
      <c r="J72" s="47">
        <v>84940.92</v>
      </c>
      <c r="K72" s="708">
        <v>0</v>
      </c>
      <c r="L72" s="441">
        <f>Table2726731436383210271164102[[#This Row],[EXPENDED ]]+Table2726731436383210271164102[[#This Row],[ENCUMBERED]]</f>
        <v>84940.92</v>
      </c>
      <c r="M72" s="441">
        <f>Table2726731436383210271164102[[#This Row],[FORECAST]]-Table2726731436383210271164102[[#This Row],[TOTAL YTD]]</f>
        <v>585444.07999999996</v>
      </c>
      <c r="N72" s="745">
        <f>Table2726731436383210271164102[[#This Row],[TOTAL YTD]]/Table2726731436383210271164102[[#This Row],[FINAL BUDGET]]</f>
        <v>0.12670468462152346</v>
      </c>
      <c r="O72" s="47">
        <f>Table2726731436383210271164102[[#This Row],[FINAL BUDGET]]</f>
        <v>670385</v>
      </c>
      <c r="P72" s="802">
        <f t="shared" si="1"/>
        <v>0</v>
      </c>
      <c r="Q72" s="824" t="s">
        <v>2138</v>
      </c>
      <c r="R72" s="825"/>
    </row>
    <row r="73" spans="1:24" ht="19.5" customHeight="1" x14ac:dyDescent="0.25">
      <c r="A73" s="746">
        <v>23067</v>
      </c>
      <c r="B73" s="557" t="s">
        <v>1950</v>
      </c>
      <c r="C73" s="617">
        <v>862</v>
      </c>
      <c r="D73" s="116"/>
      <c r="E73" s="135"/>
      <c r="F73" s="117" t="s">
        <v>1085</v>
      </c>
      <c r="G73" s="440">
        <v>728</v>
      </c>
      <c r="H73" s="47"/>
      <c r="I73" s="47">
        <f>Table2726731436383210271164102[[#This Row],[FY2024-2025 BUDGET]]+Table2726731436383210271164102[[#This Row],[ADDITIONAL REVENUE ]]</f>
        <v>728</v>
      </c>
      <c r="J73" s="47">
        <v>0</v>
      </c>
      <c r="K73" s="47">
        <v>0</v>
      </c>
      <c r="L73" s="441">
        <f>Table2726731436383210271164102[[#This Row],[EXPENDED ]]+Table2726731436383210271164102[[#This Row],[ENCUMBERED]]</f>
        <v>0</v>
      </c>
      <c r="M73" s="441">
        <f>Table2726731436383210271164102[[#This Row],[FORECAST]]-Table2726731436383210271164102[[#This Row],[TOTAL YTD]]</f>
        <v>728</v>
      </c>
      <c r="N73" s="745">
        <f>Table2726731436383210271164102[[#This Row],[TOTAL YTD]]/Table2726731436383210271164102[[#This Row],[FINAL BUDGET]]</f>
        <v>0</v>
      </c>
      <c r="O73" s="47">
        <f>Table2726731436383210271164102[[#This Row],[FINAL BUDGET]]</f>
        <v>728</v>
      </c>
      <c r="P73" s="802">
        <f t="shared" si="1"/>
        <v>0</v>
      </c>
      <c r="Q73" s="824" t="s">
        <v>2045</v>
      </c>
      <c r="R73" s="825"/>
    </row>
    <row r="74" spans="1:24" ht="22.5" customHeight="1" x14ac:dyDescent="0.25">
      <c r="A74" s="464" t="s">
        <v>2165</v>
      </c>
      <c r="B74" s="557" t="s">
        <v>2233</v>
      </c>
      <c r="C74" s="617"/>
      <c r="D74" s="116" t="s">
        <v>1085</v>
      </c>
      <c r="E74" s="135"/>
      <c r="F74" s="117"/>
      <c r="G74" s="440">
        <v>5000</v>
      </c>
      <c r="H74" s="47"/>
      <c r="I74" s="47">
        <f>Table2726731436383210271164102[[#This Row],[FY2024-2025 BUDGET]]+Table2726731436383210271164102[[#This Row],[ADDITIONAL REVENUE ]]</f>
        <v>5000</v>
      </c>
      <c r="J74" s="47">
        <v>5000</v>
      </c>
      <c r="K74" s="47">
        <v>0</v>
      </c>
      <c r="L74" s="441">
        <f>Table2726731436383210271164102[[#This Row],[EXPENDED ]]+Table2726731436383210271164102[[#This Row],[ENCUMBERED]]</f>
        <v>5000</v>
      </c>
      <c r="M74" s="441">
        <f>Table2726731436383210271164102[[#This Row],[FORECAST]]-Table2726731436383210271164102[[#This Row],[TOTAL YTD]]</f>
        <v>0</v>
      </c>
      <c r="N74" s="745">
        <f>Table2726731436383210271164102[[#This Row],[TOTAL YTD]]/Table2726731436383210271164102[[#This Row],[FINAL BUDGET]]</f>
        <v>1</v>
      </c>
      <c r="O74" s="47">
        <f>Table2726731436383210271164102[[#This Row],[FINAL BUDGET]]</f>
        <v>5000</v>
      </c>
      <c r="P74" s="802">
        <f t="shared" si="1"/>
        <v>0</v>
      </c>
      <c r="Q74" s="824" t="s">
        <v>1826</v>
      </c>
      <c r="R74" s="825"/>
    </row>
    <row r="75" spans="1:24" s="552" customFormat="1" ht="20.100000000000001" customHeight="1" x14ac:dyDescent="0.25">
      <c r="A75" s="746">
        <v>24073</v>
      </c>
      <c r="B75" s="557" t="s">
        <v>1104</v>
      </c>
      <c r="C75" s="617">
        <v>839</v>
      </c>
      <c r="D75" s="116"/>
      <c r="E75" s="135" t="s">
        <v>1085</v>
      </c>
      <c r="F75" s="117"/>
      <c r="G75" s="440">
        <v>45798</v>
      </c>
      <c r="H75" s="47"/>
      <c r="I75" s="47">
        <f>Table2726731436383210271164102[[#This Row],[FY2024-2025 BUDGET]]+Table2726731436383210271164102[[#This Row],[ADDITIONAL REVENUE ]]</f>
        <v>45798</v>
      </c>
      <c r="J75" s="47">
        <v>15902.75</v>
      </c>
      <c r="K75" s="47">
        <v>0</v>
      </c>
      <c r="L75" s="441">
        <f>Table2726731436383210271164102[[#This Row],[EXPENDED ]]+Table2726731436383210271164102[[#This Row],[ENCUMBERED]]</f>
        <v>15902.75</v>
      </c>
      <c r="M75" s="441">
        <f>Table2726731436383210271164102[[#This Row],[FORECAST]]-Table2726731436383210271164102[[#This Row],[TOTAL YTD]]</f>
        <v>29895.25</v>
      </c>
      <c r="N75" s="745">
        <f>Table2726731436383210271164102[[#This Row],[TOTAL YTD]]/Table2726731436383210271164102[[#This Row],[FINAL BUDGET]]</f>
        <v>0.34723677889864185</v>
      </c>
      <c r="O75" s="47">
        <f>Table2726731436383210271164102[[#This Row],[FINAL BUDGET]]</f>
        <v>45798</v>
      </c>
      <c r="P75" s="802">
        <f t="shared" si="1"/>
        <v>0</v>
      </c>
      <c r="Q75" s="824" t="s">
        <v>1807</v>
      </c>
      <c r="R75" s="818"/>
      <c r="S75" s="114"/>
      <c r="T75" s="114"/>
      <c r="U75" s="114"/>
      <c r="V75" s="114"/>
      <c r="W75" s="114"/>
      <c r="X75" s="114"/>
    </row>
    <row r="76" spans="1:24" s="552" customFormat="1" ht="20.100000000000001" customHeight="1" x14ac:dyDescent="0.25">
      <c r="A76" s="746">
        <v>25073</v>
      </c>
      <c r="B76" s="557" t="s">
        <v>1104</v>
      </c>
      <c r="C76" s="617">
        <v>839</v>
      </c>
      <c r="D76" s="116"/>
      <c r="E76" s="135" t="s">
        <v>1085</v>
      </c>
      <c r="F76" s="117"/>
      <c r="G76" s="440">
        <v>200000</v>
      </c>
      <c r="H76" s="47"/>
      <c r="I76" s="47">
        <f>Table2726731436383210271164102[[#This Row],[FY2024-2025 BUDGET]]+Table2726731436383210271164102[[#This Row],[ADDITIONAL REVENUE ]]</f>
        <v>200000</v>
      </c>
      <c r="J76" s="47">
        <v>0</v>
      </c>
      <c r="K76" s="47">
        <v>0</v>
      </c>
      <c r="L76" s="441">
        <f>Table2726731436383210271164102[[#This Row],[EXPENDED ]]+Table2726731436383210271164102[[#This Row],[ENCUMBERED]]</f>
        <v>0</v>
      </c>
      <c r="M76" s="441">
        <f>Table2726731436383210271164102[[#This Row],[FORECAST]]-Table2726731436383210271164102[[#This Row],[TOTAL YTD]]</f>
        <v>200000</v>
      </c>
      <c r="N76" s="745">
        <f>Table2726731436383210271164102[[#This Row],[TOTAL YTD]]/Table2726731436383210271164102[[#This Row],[FINAL BUDGET]]</f>
        <v>0</v>
      </c>
      <c r="O76" s="47">
        <f>Table2726731436383210271164102[[#This Row],[FINAL BUDGET]]</f>
        <v>200000</v>
      </c>
      <c r="P76" s="802">
        <f t="shared" si="1"/>
        <v>0</v>
      </c>
      <c r="Q76" s="824" t="s">
        <v>2163</v>
      </c>
      <c r="R76" s="818"/>
      <c r="S76" s="114"/>
      <c r="T76" s="114"/>
      <c r="U76" s="114"/>
      <c r="V76" s="114"/>
      <c r="W76" s="114"/>
      <c r="X76" s="114"/>
    </row>
    <row r="77" spans="1:24" ht="19.5" customHeight="1" x14ac:dyDescent="0.25">
      <c r="A77" s="746">
        <v>24074</v>
      </c>
      <c r="B77" s="557" t="s">
        <v>1105</v>
      </c>
      <c r="C77" s="617">
        <v>841</v>
      </c>
      <c r="D77" s="116"/>
      <c r="E77" s="135" t="s">
        <v>1085</v>
      </c>
      <c r="F77" s="117"/>
      <c r="G77" s="440">
        <v>65882</v>
      </c>
      <c r="H77" s="47"/>
      <c r="I77" s="47">
        <f>Table2726731436383210271164102[[#This Row],[FY2024-2025 BUDGET]]+Table2726731436383210271164102[[#This Row],[ADDITIONAL REVENUE ]]</f>
        <v>65882</v>
      </c>
      <c r="J77" s="47">
        <v>6835.04</v>
      </c>
      <c r="K77" s="47">
        <v>1305.03</v>
      </c>
      <c r="L77" s="441">
        <f>Table2726731436383210271164102[[#This Row],[EXPENDED ]]+Table2726731436383210271164102[[#This Row],[ENCUMBERED]]</f>
        <v>8140.07</v>
      </c>
      <c r="M77" s="441">
        <f>Table2726731436383210271164102[[#This Row],[FORECAST]]-Table2726731436383210271164102[[#This Row],[TOTAL YTD]]</f>
        <v>57741.93</v>
      </c>
      <c r="N77" s="745">
        <f>Table2726731436383210271164102[[#This Row],[TOTAL YTD]]/Table2726731436383210271164102[[#This Row],[FINAL BUDGET]]</f>
        <v>0.12355529583194196</v>
      </c>
      <c r="O77" s="47">
        <f>Table2726731436383210271164102[[#This Row],[FINAL BUDGET]]</f>
        <v>65882</v>
      </c>
      <c r="P77" s="802">
        <f t="shared" si="1"/>
        <v>0</v>
      </c>
      <c r="Q77" s="824" t="s">
        <v>1807</v>
      </c>
      <c r="R77" s="805"/>
    </row>
    <row r="78" spans="1:24" ht="19.5" customHeight="1" x14ac:dyDescent="0.25">
      <c r="A78" s="746">
        <v>25074</v>
      </c>
      <c r="B78" s="557" t="s">
        <v>1105</v>
      </c>
      <c r="C78" s="617">
        <v>841</v>
      </c>
      <c r="D78" s="116"/>
      <c r="E78" s="135" t="s">
        <v>1085</v>
      </c>
      <c r="F78" s="117"/>
      <c r="G78" s="440">
        <v>200000</v>
      </c>
      <c r="H78" s="47"/>
      <c r="I78" s="47">
        <f>Table2726731436383210271164102[[#This Row],[FY2024-2025 BUDGET]]+Table2726731436383210271164102[[#This Row],[ADDITIONAL REVENUE ]]</f>
        <v>200000</v>
      </c>
      <c r="J78" s="47">
        <v>0</v>
      </c>
      <c r="K78" s="47">
        <v>0</v>
      </c>
      <c r="L78" s="441">
        <f>Table2726731436383210271164102[[#This Row],[EXPENDED ]]+Table2726731436383210271164102[[#This Row],[ENCUMBERED]]</f>
        <v>0</v>
      </c>
      <c r="M78" s="441">
        <f>Table2726731436383210271164102[[#This Row],[FORECAST]]-Table2726731436383210271164102[[#This Row],[TOTAL YTD]]</f>
        <v>200000</v>
      </c>
      <c r="N78" s="745">
        <f>Table2726731436383210271164102[[#This Row],[TOTAL YTD]]/Table2726731436383210271164102[[#This Row],[FINAL BUDGET]]</f>
        <v>0</v>
      </c>
      <c r="O78" s="47">
        <f>Table2726731436383210271164102[[#This Row],[FINAL BUDGET]]</f>
        <v>200000</v>
      </c>
      <c r="P78" s="802">
        <f t="shared" si="1"/>
        <v>0</v>
      </c>
      <c r="Q78" s="824" t="s">
        <v>2163</v>
      </c>
      <c r="R78" s="805"/>
    </row>
    <row r="79" spans="1:24" ht="19.5" customHeight="1" x14ac:dyDescent="0.25">
      <c r="A79" s="746">
        <v>24075</v>
      </c>
      <c r="B79" s="557" t="s">
        <v>1963</v>
      </c>
      <c r="C79" s="617">
        <v>801</v>
      </c>
      <c r="D79" s="116"/>
      <c r="E79" s="135" t="s">
        <v>1085</v>
      </c>
      <c r="F79" s="117"/>
      <c r="G79" s="440">
        <v>182139</v>
      </c>
      <c r="H79" s="47"/>
      <c r="I79" s="47">
        <f>Table2726731436383210271164102[[#This Row],[FY2024-2025 BUDGET]]+Table2726731436383210271164102[[#This Row],[ADDITIONAL REVENUE ]]</f>
        <v>182139</v>
      </c>
      <c r="J79" s="47">
        <v>32269.82</v>
      </c>
      <c r="K79" s="47">
        <v>0</v>
      </c>
      <c r="L79" s="441">
        <f>Table2726731436383210271164102[[#This Row],[EXPENDED ]]+Table2726731436383210271164102[[#This Row],[ENCUMBERED]]</f>
        <v>32269.82</v>
      </c>
      <c r="M79" s="441">
        <f>Table2726731436383210271164102[[#This Row],[FORECAST]]-Table2726731436383210271164102[[#This Row],[TOTAL YTD]]</f>
        <v>149869.18</v>
      </c>
      <c r="N79" s="745">
        <f>Table2726731436383210271164102[[#This Row],[TOTAL YTD]]/Table2726731436383210271164102[[#This Row],[FINAL BUDGET]]</f>
        <v>0.17717139108043856</v>
      </c>
      <c r="O79" s="47">
        <f>Table2726731436383210271164102[[#This Row],[FINAL BUDGET]]</f>
        <v>182139</v>
      </c>
      <c r="P79" s="802">
        <f t="shared" si="1"/>
        <v>0</v>
      </c>
      <c r="Q79" s="824" t="s">
        <v>1807</v>
      </c>
      <c r="R79" s="805"/>
    </row>
    <row r="80" spans="1:24" ht="19.5" customHeight="1" x14ac:dyDescent="0.25">
      <c r="A80" s="746">
        <v>25075</v>
      </c>
      <c r="B80" s="557" t="s">
        <v>1963</v>
      </c>
      <c r="C80" s="617">
        <v>801</v>
      </c>
      <c r="D80" s="116"/>
      <c r="E80" s="135" t="s">
        <v>1085</v>
      </c>
      <c r="F80" s="117"/>
      <c r="G80" s="440">
        <v>200000</v>
      </c>
      <c r="H80" s="47"/>
      <c r="I80" s="47">
        <f>Table2726731436383210271164102[[#This Row],[FY2024-2025 BUDGET]]+Table2726731436383210271164102[[#This Row],[ADDITIONAL REVENUE ]]</f>
        <v>200000</v>
      </c>
      <c r="J80" s="47">
        <v>0</v>
      </c>
      <c r="K80" s="47">
        <v>0</v>
      </c>
      <c r="L80" s="441">
        <f>Table2726731436383210271164102[[#This Row],[EXPENDED ]]+Table2726731436383210271164102[[#This Row],[ENCUMBERED]]</f>
        <v>0</v>
      </c>
      <c r="M80" s="441">
        <f>Table2726731436383210271164102[[#This Row],[FORECAST]]-Table2726731436383210271164102[[#This Row],[TOTAL YTD]]</f>
        <v>200000</v>
      </c>
      <c r="N80" s="745">
        <f>Table2726731436383210271164102[[#This Row],[TOTAL YTD]]/Table2726731436383210271164102[[#This Row],[FINAL BUDGET]]</f>
        <v>0</v>
      </c>
      <c r="O80" s="47">
        <f>Table2726731436383210271164102[[#This Row],[FINAL BUDGET]]</f>
        <v>200000</v>
      </c>
      <c r="P80" s="802">
        <f t="shared" si="1"/>
        <v>0</v>
      </c>
      <c r="Q80" s="824" t="s">
        <v>2163</v>
      </c>
      <c r="R80" s="805"/>
    </row>
    <row r="81" spans="1:18" ht="19.5" customHeight="1" x14ac:dyDescent="0.25">
      <c r="A81" s="746">
        <v>24076</v>
      </c>
      <c r="B81" s="557" t="s">
        <v>1106</v>
      </c>
      <c r="C81" s="617">
        <v>810</v>
      </c>
      <c r="D81" s="540"/>
      <c r="E81" s="116" t="s">
        <v>1085</v>
      </c>
      <c r="F81" s="117"/>
      <c r="G81" s="440">
        <v>47952</v>
      </c>
      <c r="H81" s="47"/>
      <c r="I81" s="47">
        <f>Table2726731436383210271164102[[#This Row],[FY2024-2025 BUDGET]]+Table2726731436383210271164102[[#This Row],[ADDITIONAL REVENUE ]]</f>
        <v>47952</v>
      </c>
      <c r="J81" s="47">
        <v>19124.669999999998</v>
      </c>
      <c r="K81" s="47">
        <v>0</v>
      </c>
      <c r="L81" s="441">
        <f>Table2726731436383210271164102[[#This Row],[EXPENDED ]]+Table2726731436383210271164102[[#This Row],[ENCUMBERED]]</f>
        <v>19124.669999999998</v>
      </c>
      <c r="M81" s="441">
        <f>Table2726731436383210271164102[[#This Row],[FORECAST]]-Table2726731436383210271164102[[#This Row],[TOTAL YTD]]</f>
        <v>28827.33</v>
      </c>
      <c r="N81" s="745">
        <f>Table2726731436383210271164102[[#This Row],[TOTAL YTD]]/Table2726731436383210271164102[[#This Row],[FINAL BUDGET]]</f>
        <v>0.39882945445445439</v>
      </c>
      <c r="O81" s="47">
        <f>Table2726731436383210271164102[[#This Row],[FINAL BUDGET]]</f>
        <v>47952</v>
      </c>
      <c r="P81" s="802">
        <f t="shared" si="1"/>
        <v>0</v>
      </c>
      <c r="Q81" s="824" t="s">
        <v>1807</v>
      </c>
      <c r="R81" s="805"/>
    </row>
    <row r="82" spans="1:18" ht="19.5" customHeight="1" x14ac:dyDescent="0.25">
      <c r="A82" s="746">
        <v>25076</v>
      </c>
      <c r="B82" s="557" t="s">
        <v>1106</v>
      </c>
      <c r="C82" s="617">
        <v>810</v>
      </c>
      <c r="D82" s="540"/>
      <c r="E82" s="116" t="s">
        <v>1085</v>
      </c>
      <c r="F82" s="117"/>
      <c r="G82" s="440">
        <v>200000</v>
      </c>
      <c r="H82" s="47"/>
      <c r="I82" s="47">
        <f>Table2726731436383210271164102[[#This Row],[FY2024-2025 BUDGET]]+Table2726731436383210271164102[[#This Row],[ADDITIONAL REVENUE ]]</f>
        <v>200000</v>
      </c>
      <c r="J82" s="47">
        <v>0</v>
      </c>
      <c r="K82" s="47">
        <v>0</v>
      </c>
      <c r="L82" s="441">
        <f>Table2726731436383210271164102[[#This Row],[EXPENDED ]]+Table2726731436383210271164102[[#This Row],[ENCUMBERED]]</f>
        <v>0</v>
      </c>
      <c r="M82" s="441">
        <f>Table2726731436383210271164102[[#This Row],[FORECAST]]-Table2726731436383210271164102[[#This Row],[TOTAL YTD]]</f>
        <v>200000</v>
      </c>
      <c r="N82" s="745">
        <f>Table2726731436383210271164102[[#This Row],[TOTAL YTD]]/Table2726731436383210271164102[[#This Row],[FINAL BUDGET]]</f>
        <v>0</v>
      </c>
      <c r="O82" s="47">
        <f>Table2726731436383210271164102[[#This Row],[FINAL BUDGET]]</f>
        <v>200000</v>
      </c>
      <c r="P82" s="802">
        <f t="shared" si="1"/>
        <v>0</v>
      </c>
      <c r="Q82" s="824" t="s">
        <v>2163</v>
      </c>
      <c r="R82" s="805"/>
    </row>
    <row r="83" spans="1:18" ht="19.5" customHeight="1" x14ac:dyDescent="0.25">
      <c r="A83" s="746">
        <v>24077</v>
      </c>
      <c r="B83" s="557" t="s">
        <v>1635</v>
      </c>
      <c r="C83" s="617">
        <v>861</v>
      </c>
      <c r="D83" s="116"/>
      <c r="E83" s="135" t="s">
        <v>1085</v>
      </c>
      <c r="F83" s="117"/>
      <c r="G83" s="440">
        <v>106665</v>
      </c>
      <c r="H83" s="47"/>
      <c r="I83" s="47">
        <f>Table2726731436383210271164102[[#This Row],[FY2024-2025 BUDGET]]+Table2726731436383210271164102[[#This Row],[ADDITIONAL REVENUE ]]</f>
        <v>106665</v>
      </c>
      <c r="J83" s="47">
        <v>49640.07</v>
      </c>
      <c r="K83" s="47">
        <v>0</v>
      </c>
      <c r="L83" s="441">
        <f>Table2726731436383210271164102[[#This Row],[EXPENDED ]]+Table2726731436383210271164102[[#This Row],[ENCUMBERED]]</f>
        <v>49640.07</v>
      </c>
      <c r="M83" s="441">
        <f>Table2726731436383210271164102[[#This Row],[FORECAST]]-Table2726731436383210271164102[[#This Row],[TOTAL YTD]]</f>
        <v>57024.93</v>
      </c>
      <c r="N83" s="745">
        <f>Table2726731436383210271164102[[#This Row],[TOTAL YTD]]/Table2726731436383210271164102[[#This Row],[FINAL BUDGET]]</f>
        <v>0.46538292785824781</v>
      </c>
      <c r="O83" s="47">
        <f>Table2726731436383210271164102[[#This Row],[FINAL BUDGET]]</f>
        <v>106665</v>
      </c>
      <c r="P83" s="802">
        <f t="shared" si="1"/>
        <v>0</v>
      </c>
      <c r="Q83" s="824" t="s">
        <v>1807</v>
      </c>
      <c r="R83" s="805"/>
    </row>
    <row r="84" spans="1:18" ht="19.5" customHeight="1" x14ac:dyDescent="0.25">
      <c r="A84" s="746">
        <v>25077</v>
      </c>
      <c r="B84" s="557" t="s">
        <v>1635</v>
      </c>
      <c r="C84" s="617">
        <v>861</v>
      </c>
      <c r="D84" s="116"/>
      <c r="E84" s="135" t="s">
        <v>1085</v>
      </c>
      <c r="F84" s="117"/>
      <c r="G84" s="440">
        <v>280136</v>
      </c>
      <c r="H84" s="47"/>
      <c r="I84" s="47">
        <f>Table2726731436383210271164102[[#This Row],[FY2024-2025 BUDGET]]+Table2726731436383210271164102[[#This Row],[ADDITIONAL REVENUE ]]</f>
        <v>280136</v>
      </c>
      <c r="J84" s="47"/>
      <c r="K84" s="47"/>
      <c r="L84" s="441">
        <f>Table2726731436383210271164102[[#This Row],[EXPENDED ]]+Table2726731436383210271164102[[#This Row],[ENCUMBERED]]</f>
        <v>0</v>
      </c>
      <c r="M84" s="441">
        <f>Table2726731436383210271164102[[#This Row],[FORECAST]]-Table2726731436383210271164102[[#This Row],[TOTAL YTD]]</f>
        <v>280136</v>
      </c>
      <c r="N84" s="745">
        <f>Table2726731436383210271164102[[#This Row],[TOTAL YTD]]/Table2726731436383210271164102[[#This Row],[FINAL BUDGET]]</f>
        <v>0</v>
      </c>
      <c r="O84" s="47">
        <f>Table2726731436383210271164102[[#This Row],[FINAL BUDGET]]</f>
        <v>280136</v>
      </c>
      <c r="P84" s="802">
        <f t="shared" si="1"/>
        <v>0</v>
      </c>
      <c r="Q84" s="824" t="s">
        <v>2163</v>
      </c>
      <c r="R84" s="805"/>
    </row>
    <row r="85" spans="1:18" ht="19.5" customHeight="1" x14ac:dyDescent="0.25">
      <c r="A85" s="746">
        <v>24078</v>
      </c>
      <c r="B85" s="557" t="s">
        <v>1967</v>
      </c>
      <c r="C85" s="617">
        <v>863</v>
      </c>
      <c r="D85" s="135"/>
      <c r="E85" s="135" t="s">
        <v>1085</v>
      </c>
      <c r="F85" s="117"/>
      <c r="G85" s="440">
        <v>13947</v>
      </c>
      <c r="H85" s="47"/>
      <c r="I85" s="47">
        <f>Table2726731436383210271164102[[#This Row],[FY2024-2025 BUDGET]]+Table2726731436383210271164102[[#This Row],[ADDITIONAL REVENUE ]]</f>
        <v>13947</v>
      </c>
      <c r="J85" s="47">
        <f>50645.25-36698.25</f>
        <v>13947</v>
      </c>
      <c r="K85" s="47">
        <v>0</v>
      </c>
      <c r="L85" s="441">
        <f>Table2726731436383210271164102[[#This Row],[EXPENDED ]]+Table2726731436383210271164102[[#This Row],[ENCUMBERED]]</f>
        <v>13947</v>
      </c>
      <c r="M85" s="550">
        <f>Table2726731436383210271164102[[#This Row],[FORECAST]]-Table2726731436383210271164102[[#This Row],[TOTAL YTD]]</f>
        <v>0</v>
      </c>
      <c r="N85" s="745">
        <f>Table2726731436383210271164102[[#This Row],[TOTAL YTD]]/Table2726731436383210271164102[[#This Row],[FINAL BUDGET]]</f>
        <v>1</v>
      </c>
      <c r="O85" s="47">
        <f>Table2726731436383210271164102[[#This Row],[FINAL BUDGET]]</f>
        <v>13947</v>
      </c>
      <c r="P85" s="802">
        <f t="shared" si="1"/>
        <v>0</v>
      </c>
      <c r="Q85" s="824" t="s">
        <v>1807</v>
      </c>
      <c r="R85" s="805"/>
    </row>
    <row r="86" spans="1:18" ht="19.5" customHeight="1" x14ac:dyDescent="0.25">
      <c r="A86" s="746">
        <v>25078</v>
      </c>
      <c r="B86" s="557" t="s">
        <v>1967</v>
      </c>
      <c r="C86" s="617">
        <v>863</v>
      </c>
      <c r="D86" s="135"/>
      <c r="E86" s="135" t="s">
        <v>1085</v>
      </c>
      <c r="F86" s="117"/>
      <c r="G86" s="440">
        <v>280136</v>
      </c>
      <c r="H86" s="47"/>
      <c r="I86" s="47">
        <f>Table2726731436383210271164102[[#This Row],[FY2024-2025 BUDGET]]+Table2726731436383210271164102[[#This Row],[ADDITIONAL REVENUE ]]</f>
        <v>280136</v>
      </c>
      <c r="J86" s="47">
        <v>36698</v>
      </c>
      <c r="K86" s="47"/>
      <c r="L86" s="441">
        <f>Table2726731436383210271164102[[#This Row],[EXPENDED ]]+Table2726731436383210271164102[[#This Row],[ENCUMBERED]]</f>
        <v>36698</v>
      </c>
      <c r="M86" s="441">
        <f>Table2726731436383210271164102[[#This Row],[FORECAST]]-Table2726731436383210271164102[[#This Row],[TOTAL YTD]]</f>
        <v>243438</v>
      </c>
      <c r="N86" s="745">
        <f>Table2726731436383210271164102[[#This Row],[TOTAL YTD]]/Table2726731436383210271164102[[#This Row],[FINAL BUDGET]]</f>
        <v>0.13100065682382842</v>
      </c>
      <c r="O86" s="47">
        <f>Table2726731436383210271164102[[#This Row],[FINAL BUDGET]]</f>
        <v>280136</v>
      </c>
      <c r="P86" s="802">
        <f t="shared" si="1"/>
        <v>0</v>
      </c>
      <c r="Q86" s="824" t="s">
        <v>2163</v>
      </c>
      <c r="R86" s="805"/>
    </row>
    <row r="87" spans="1:18" ht="19.5" customHeight="1" x14ac:dyDescent="0.25">
      <c r="A87" s="746">
        <v>24079</v>
      </c>
      <c r="B87" s="557" t="s">
        <v>1969</v>
      </c>
      <c r="C87" s="617">
        <v>816</v>
      </c>
      <c r="D87" s="135"/>
      <c r="E87" s="135" t="s">
        <v>1085</v>
      </c>
      <c r="F87" s="117"/>
      <c r="G87" s="440">
        <v>88459</v>
      </c>
      <c r="H87" s="47"/>
      <c r="I87" s="47">
        <f>Table2726731436383210271164102[[#This Row],[FY2024-2025 BUDGET]]+Table2726731436383210271164102[[#This Row],[ADDITIONAL REVENUE ]]</f>
        <v>88459</v>
      </c>
      <c r="J87" s="47">
        <v>4993.8900000000003</v>
      </c>
      <c r="K87" s="47">
        <v>9946</v>
      </c>
      <c r="L87" s="441">
        <f>Table2726731436383210271164102[[#This Row],[EXPENDED ]]+Table2726731436383210271164102[[#This Row],[ENCUMBERED]]</f>
        <v>14939.89</v>
      </c>
      <c r="M87" s="441">
        <f>Table2726731436383210271164102[[#This Row],[FORECAST]]-Table2726731436383210271164102[[#This Row],[TOTAL YTD]]</f>
        <v>73519.11</v>
      </c>
      <c r="N87" s="745">
        <f>Table2726731436383210271164102[[#This Row],[TOTAL YTD]]/Table2726731436383210271164102[[#This Row],[FINAL BUDGET]]</f>
        <v>0.1688905594682282</v>
      </c>
      <c r="O87" s="47">
        <f>Table2726731436383210271164102[[#This Row],[FINAL BUDGET]]</f>
        <v>88459</v>
      </c>
      <c r="P87" s="802">
        <f t="shared" si="1"/>
        <v>0</v>
      </c>
      <c r="Q87" s="824" t="s">
        <v>1807</v>
      </c>
      <c r="R87" s="805"/>
    </row>
    <row r="88" spans="1:18" ht="19.5" customHeight="1" x14ac:dyDescent="0.25">
      <c r="A88" s="746">
        <v>25079</v>
      </c>
      <c r="B88" s="557" t="s">
        <v>1969</v>
      </c>
      <c r="C88" s="617">
        <v>816</v>
      </c>
      <c r="D88" s="135"/>
      <c r="E88" s="135" t="s">
        <v>1085</v>
      </c>
      <c r="F88" s="117"/>
      <c r="G88" s="440">
        <v>100000</v>
      </c>
      <c r="H88" s="47"/>
      <c r="I88" s="47">
        <f>Table2726731436383210271164102[[#This Row],[FY2024-2025 BUDGET]]+Table2726731436383210271164102[[#This Row],[ADDITIONAL REVENUE ]]</f>
        <v>100000</v>
      </c>
      <c r="J88" s="47">
        <v>0</v>
      </c>
      <c r="K88" s="47"/>
      <c r="L88" s="441">
        <f>Table2726731436383210271164102[[#This Row],[EXPENDED ]]+Table2726731436383210271164102[[#This Row],[ENCUMBERED]]</f>
        <v>0</v>
      </c>
      <c r="M88" s="441">
        <f>Table2726731436383210271164102[[#This Row],[FORECAST]]-Table2726731436383210271164102[[#This Row],[TOTAL YTD]]</f>
        <v>100000</v>
      </c>
      <c r="N88" s="745">
        <f>Table2726731436383210271164102[[#This Row],[TOTAL YTD]]/Table2726731436383210271164102[[#This Row],[FINAL BUDGET]]</f>
        <v>0</v>
      </c>
      <c r="O88" s="47">
        <f>Table2726731436383210271164102[[#This Row],[FINAL BUDGET]]</f>
        <v>100000</v>
      </c>
      <c r="P88" s="802">
        <f t="shared" si="1"/>
        <v>0</v>
      </c>
      <c r="Q88" s="824" t="s">
        <v>2163</v>
      </c>
      <c r="R88" s="805"/>
    </row>
    <row r="89" spans="1:18" ht="24.75" customHeight="1" x14ac:dyDescent="0.25">
      <c r="A89" s="746">
        <v>24080</v>
      </c>
      <c r="B89" s="431" t="s">
        <v>1970</v>
      </c>
      <c r="C89" s="617"/>
      <c r="D89" s="116"/>
      <c r="E89" s="135" t="s">
        <v>1085</v>
      </c>
      <c r="F89" s="117"/>
      <c r="G89" s="440">
        <v>1701577</v>
      </c>
      <c r="H89" s="47"/>
      <c r="I89" s="47">
        <f>Table2726731436383210271164102[[#This Row],[FY2024-2025 BUDGET]]+Table2726731436383210271164102[[#This Row],[ADDITIONAL REVENUE ]]</f>
        <v>1701577</v>
      </c>
      <c r="J89" s="47">
        <v>631862.80000000005</v>
      </c>
      <c r="K89" s="47">
        <v>11.06</v>
      </c>
      <c r="L89" s="441">
        <f>Table2726731436383210271164102[[#This Row],[EXPENDED ]]+Table2726731436383210271164102[[#This Row],[ENCUMBERED]]</f>
        <v>631873.8600000001</v>
      </c>
      <c r="M89" s="441">
        <f>Table2726731436383210271164102[[#This Row],[FORECAST]]-Table2726731436383210271164102[[#This Row],[TOTAL YTD]]</f>
        <v>1069703.1399999999</v>
      </c>
      <c r="N89" s="745">
        <f>Table2726731436383210271164102[[#This Row],[TOTAL YTD]]/Table2726731436383210271164102[[#This Row],[FINAL BUDGET]]</f>
        <v>0.37134602783182902</v>
      </c>
      <c r="O89" s="47">
        <f>Table2726731436383210271164102[[#This Row],[FINAL BUDGET]]</f>
        <v>1701577</v>
      </c>
      <c r="P89" s="802">
        <f t="shared" si="1"/>
        <v>0</v>
      </c>
      <c r="Q89" s="16" t="s">
        <v>2234</v>
      </c>
      <c r="R89" s="805"/>
    </row>
    <row r="90" spans="1:18" ht="19.5" customHeight="1" x14ac:dyDescent="0.25">
      <c r="A90" s="464" t="s">
        <v>1972</v>
      </c>
      <c r="B90" s="557" t="s">
        <v>1973</v>
      </c>
      <c r="C90" s="617">
        <v>814</v>
      </c>
      <c r="D90" s="116"/>
      <c r="E90" s="135" t="s">
        <v>1085</v>
      </c>
      <c r="F90" s="117"/>
      <c r="G90" s="440">
        <v>86544</v>
      </c>
      <c r="H90" s="47"/>
      <c r="I90" s="47">
        <f>Table2726731436383210271164102[[#This Row],[FY2024-2025 BUDGET]]+Table2726731436383210271164102[[#This Row],[ADDITIONAL REVENUE ]]</f>
        <v>86544</v>
      </c>
      <c r="J90" s="47">
        <v>37208.720000000001</v>
      </c>
      <c r="K90" s="47">
        <v>0</v>
      </c>
      <c r="L90" s="441">
        <f>Table2726731436383210271164102[[#This Row],[EXPENDED ]]+Table2726731436383210271164102[[#This Row],[ENCUMBERED]]</f>
        <v>37208.720000000001</v>
      </c>
      <c r="M90" s="441">
        <f>Table2726731436383210271164102[[#This Row],[FORECAST]]-Table2726731436383210271164102[[#This Row],[TOTAL YTD]]</f>
        <v>49335.28</v>
      </c>
      <c r="N90" s="745">
        <f>Table2726731436383210271164102[[#This Row],[TOTAL YTD]]/Table2726731436383210271164102[[#This Row],[FINAL BUDGET]]</f>
        <v>0.42993991495655393</v>
      </c>
      <c r="O90" s="47">
        <f>Table2726731436383210271164102[[#This Row],[FINAL BUDGET]]</f>
        <v>86544</v>
      </c>
      <c r="P90" s="802">
        <f t="shared" ref="P90:P153" si="2">I90-O90</f>
        <v>0</v>
      </c>
      <c r="Q90" s="16" t="s">
        <v>1807</v>
      </c>
      <c r="R90" s="805"/>
    </row>
    <row r="91" spans="1:18" ht="19.5" customHeight="1" x14ac:dyDescent="0.25">
      <c r="A91" s="464" t="s">
        <v>2235</v>
      </c>
      <c r="B91" s="557" t="s">
        <v>1973</v>
      </c>
      <c r="C91" s="617">
        <v>814</v>
      </c>
      <c r="D91" s="116"/>
      <c r="E91" s="135" t="s">
        <v>1085</v>
      </c>
      <c r="F91" s="117"/>
      <c r="G91" s="440">
        <v>236000</v>
      </c>
      <c r="H91" s="47"/>
      <c r="I91" s="47">
        <f>Table2726731436383210271164102[[#This Row],[FY2024-2025 BUDGET]]+Table2726731436383210271164102[[#This Row],[ADDITIONAL REVENUE ]]</f>
        <v>236000</v>
      </c>
      <c r="J91" s="47">
        <v>0</v>
      </c>
      <c r="K91" s="47">
        <v>0</v>
      </c>
      <c r="L91" s="441">
        <f>Table2726731436383210271164102[[#This Row],[EXPENDED ]]+Table2726731436383210271164102[[#This Row],[ENCUMBERED]]</f>
        <v>0</v>
      </c>
      <c r="M91" s="441">
        <f>Table2726731436383210271164102[[#This Row],[FORECAST]]-Table2726731436383210271164102[[#This Row],[TOTAL YTD]]</f>
        <v>236000</v>
      </c>
      <c r="N91" s="745">
        <f>Table2726731436383210271164102[[#This Row],[TOTAL YTD]]/Table2726731436383210271164102[[#This Row],[FINAL BUDGET]]</f>
        <v>0</v>
      </c>
      <c r="O91" s="47">
        <f>Table2726731436383210271164102[[#This Row],[FINAL BUDGET]]</f>
        <v>236000</v>
      </c>
      <c r="P91" s="802">
        <f t="shared" si="2"/>
        <v>0</v>
      </c>
      <c r="Q91" s="16" t="s">
        <v>2163</v>
      </c>
      <c r="R91" s="805"/>
    </row>
    <row r="92" spans="1:18" ht="19.5" customHeight="1" x14ac:dyDescent="0.25">
      <c r="A92" s="464" t="s">
        <v>1974</v>
      </c>
      <c r="B92" s="557" t="s">
        <v>1975</v>
      </c>
      <c r="C92" s="617">
        <v>831</v>
      </c>
      <c r="D92" s="116"/>
      <c r="E92" s="135" t="s">
        <v>1085</v>
      </c>
      <c r="F92" s="117"/>
      <c r="G92" s="440">
        <v>104365</v>
      </c>
      <c r="H92" s="47"/>
      <c r="I92" s="47">
        <f>Table2726731436383210271164102[[#This Row],[FY2024-2025 BUDGET]]+Table2726731436383210271164102[[#This Row],[ADDITIONAL REVENUE ]]</f>
        <v>104365</v>
      </c>
      <c r="J92" s="47">
        <v>22549.71</v>
      </c>
      <c r="K92" s="47">
        <v>0</v>
      </c>
      <c r="L92" s="441">
        <f>Table2726731436383210271164102[[#This Row],[EXPENDED ]]+Table2726731436383210271164102[[#This Row],[ENCUMBERED]]</f>
        <v>22549.71</v>
      </c>
      <c r="M92" s="441">
        <f>Table2726731436383210271164102[[#This Row],[FORECAST]]-Table2726731436383210271164102[[#This Row],[TOTAL YTD]]</f>
        <v>81815.290000000008</v>
      </c>
      <c r="N92" s="745">
        <f>Table2726731436383210271164102[[#This Row],[TOTAL YTD]]/Table2726731436383210271164102[[#This Row],[FINAL BUDGET]]</f>
        <v>0.21606582666602789</v>
      </c>
      <c r="O92" s="47">
        <f>Table2726731436383210271164102[[#This Row],[FINAL BUDGET]]</f>
        <v>104365</v>
      </c>
      <c r="P92" s="802">
        <f t="shared" si="2"/>
        <v>0</v>
      </c>
      <c r="Q92" s="16" t="s">
        <v>1807</v>
      </c>
      <c r="R92" s="805"/>
    </row>
    <row r="93" spans="1:18" ht="19.5" customHeight="1" x14ac:dyDescent="0.25">
      <c r="A93" s="464" t="s">
        <v>2236</v>
      </c>
      <c r="B93" s="557" t="s">
        <v>1975</v>
      </c>
      <c r="C93" s="617">
        <v>831</v>
      </c>
      <c r="D93" s="116"/>
      <c r="E93" s="135" t="s">
        <v>1085</v>
      </c>
      <c r="F93" s="117"/>
      <c r="G93" s="440">
        <v>236000</v>
      </c>
      <c r="H93" s="47"/>
      <c r="I93" s="47">
        <f>Table2726731436383210271164102[[#This Row],[FY2024-2025 BUDGET]]+Table2726731436383210271164102[[#This Row],[ADDITIONAL REVENUE ]]</f>
        <v>236000</v>
      </c>
      <c r="J93" s="47">
        <v>0</v>
      </c>
      <c r="K93" s="47">
        <v>0</v>
      </c>
      <c r="L93" s="441">
        <f>Table2726731436383210271164102[[#This Row],[EXPENDED ]]+Table2726731436383210271164102[[#This Row],[ENCUMBERED]]</f>
        <v>0</v>
      </c>
      <c r="M93" s="441">
        <f>Table2726731436383210271164102[[#This Row],[FORECAST]]-Table2726731436383210271164102[[#This Row],[TOTAL YTD]]</f>
        <v>236000</v>
      </c>
      <c r="N93" s="745">
        <f>Table2726731436383210271164102[[#This Row],[TOTAL YTD]]/Table2726731436383210271164102[[#This Row],[FINAL BUDGET]]</f>
        <v>0</v>
      </c>
      <c r="O93" s="47">
        <f>Table2726731436383210271164102[[#This Row],[FINAL BUDGET]]</f>
        <v>236000</v>
      </c>
      <c r="P93" s="802">
        <f t="shared" si="2"/>
        <v>0</v>
      </c>
      <c r="Q93" s="16" t="s">
        <v>2163</v>
      </c>
      <c r="R93" s="805"/>
    </row>
    <row r="94" spans="1:18" ht="19.5" customHeight="1" x14ac:dyDescent="0.25">
      <c r="A94" s="464" t="s">
        <v>1976</v>
      </c>
      <c r="B94" s="557" t="s">
        <v>1977</v>
      </c>
      <c r="C94" s="617">
        <v>805</v>
      </c>
      <c r="D94" s="116"/>
      <c r="E94" s="135" t="s">
        <v>1085</v>
      </c>
      <c r="F94" s="117"/>
      <c r="G94" s="440">
        <v>100737</v>
      </c>
      <c r="H94" s="47"/>
      <c r="I94" s="47">
        <f>Table2726731436383210271164102[[#This Row],[FY2024-2025 BUDGET]]+Table2726731436383210271164102[[#This Row],[ADDITIONAL REVENUE ]]</f>
        <v>100737</v>
      </c>
      <c r="J94" s="47">
        <v>23906.53</v>
      </c>
      <c r="K94" s="47">
        <v>0</v>
      </c>
      <c r="L94" s="441">
        <f>Table2726731436383210271164102[[#This Row],[EXPENDED ]]+Table2726731436383210271164102[[#This Row],[ENCUMBERED]]</f>
        <v>23906.53</v>
      </c>
      <c r="M94" s="441">
        <f>Table2726731436383210271164102[[#This Row],[FORECAST]]-Table2726731436383210271164102[[#This Row],[TOTAL YTD]]</f>
        <v>76830.47</v>
      </c>
      <c r="N94" s="745">
        <f>Table2726731436383210271164102[[#This Row],[TOTAL YTD]]/Table2726731436383210271164102[[#This Row],[FINAL BUDGET]]</f>
        <v>0.23731627902359609</v>
      </c>
      <c r="O94" s="47">
        <f>Table2726731436383210271164102[[#This Row],[FINAL BUDGET]]</f>
        <v>100737</v>
      </c>
      <c r="P94" s="802">
        <f t="shared" si="2"/>
        <v>0</v>
      </c>
      <c r="Q94" s="16" t="s">
        <v>1807</v>
      </c>
      <c r="R94" s="805"/>
    </row>
    <row r="95" spans="1:18" ht="19.5" customHeight="1" x14ac:dyDescent="0.25">
      <c r="A95" s="464" t="s">
        <v>2237</v>
      </c>
      <c r="B95" s="557" t="s">
        <v>1977</v>
      </c>
      <c r="C95" s="617">
        <v>805</v>
      </c>
      <c r="D95" s="116"/>
      <c r="E95" s="135" t="s">
        <v>1085</v>
      </c>
      <c r="F95" s="117"/>
      <c r="G95" s="440">
        <v>236000</v>
      </c>
      <c r="H95" s="47"/>
      <c r="I95" s="47">
        <f>Table2726731436383210271164102[[#This Row],[FY2024-2025 BUDGET]]+Table2726731436383210271164102[[#This Row],[ADDITIONAL REVENUE ]]</f>
        <v>236000</v>
      </c>
      <c r="J95" s="47"/>
      <c r="K95" s="47">
        <v>0</v>
      </c>
      <c r="L95" s="441">
        <f>Table2726731436383210271164102[[#This Row],[EXPENDED ]]+Table2726731436383210271164102[[#This Row],[ENCUMBERED]]</f>
        <v>0</v>
      </c>
      <c r="M95" s="441">
        <f>Table2726731436383210271164102[[#This Row],[FORECAST]]-Table2726731436383210271164102[[#This Row],[TOTAL YTD]]</f>
        <v>236000</v>
      </c>
      <c r="N95" s="745">
        <f>Table2726731436383210271164102[[#This Row],[TOTAL YTD]]/Table2726731436383210271164102[[#This Row],[FINAL BUDGET]]</f>
        <v>0</v>
      </c>
      <c r="O95" s="47">
        <f>Table2726731436383210271164102[[#This Row],[FINAL BUDGET]]</f>
        <v>236000</v>
      </c>
      <c r="P95" s="802">
        <f t="shared" si="2"/>
        <v>0</v>
      </c>
      <c r="Q95" s="16" t="s">
        <v>2163</v>
      </c>
      <c r="R95" s="805"/>
    </row>
    <row r="96" spans="1:18" ht="19.5" customHeight="1" x14ac:dyDescent="0.25">
      <c r="A96" s="464" t="s">
        <v>1978</v>
      </c>
      <c r="B96" s="557" t="s">
        <v>1979</v>
      </c>
      <c r="C96" s="617">
        <v>826</v>
      </c>
      <c r="D96" s="116"/>
      <c r="E96" s="135" t="s">
        <v>1085</v>
      </c>
      <c r="F96" s="117"/>
      <c r="G96" s="440">
        <v>220149</v>
      </c>
      <c r="H96" s="47"/>
      <c r="I96" s="47">
        <f>Table2726731436383210271164102[[#This Row],[FY2024-2025 BUDGET]]+Table2726731436383210271164102[[#This Row],[ADDITIONAL REVENUE ]]</f>
        <v>220149</v>
      </c>
      <c r="J96" s="47">
        <v>30157</v>
      </c>
      <c r="K96" s="47">
        <v>0</v>
      </c>
      <c r="L96" s="441">
        <f>Table2726731436383210271164102[[#This Row],[EXPENDED ]]+Table2726731436383210271164102[[#This Row],[ENCUMBERED]]</f>
        <v>30157</v>
      </c>
      <c r="M96" s="441">
        <f>Table2726731436383210271164102[[#This Row],[FORECAST]]-Table2726731436383210271164102[[#This Row],[TOTAL YTD]]</f>
        <v>189992</v>
      </c>
      <c r="N96" s="745">
        <f>Table2726731436383210271164102[[#This Row],[TOTAL YTD]]/Table2726731436383210271164102[[#This Row],[FINAL BUDGET]]</f>
        <v>0.1369844968634879</v>
      </c>
      <c r="O96" s="47">
        <f>Table2726731436383210271164102[[#This Row],[FINAL BUDGET]]</f>
        <v>220149</v>
      </c>
      <c r="P96" s="802">
        <f t="shared" si="2"/>
        <v>0</v>
      </c>
      <c r="Q96" s="16" t="s">
        <v>1807</v>
      </c>
      <c r="R96" s="805"/>
    </row>
    <row r="97" spans="1:18" ht="19.5" customHeight="1" x14ac:dyDescent="0.25">
      <c r="A97" s="464" t="s">
        <v>2238</v>
      </c>
      <c r="B97" s="557" t="s">
        <v>1979</v>
      </c>
      <c r="C97" s="617">
        <v>826</v>
      </c>
      <c r="D97" s="116"/>
      <c r="E97" s="135" t="s">
        <v>1085</v>
      </c>
      <c r="F97" s="117"/>
      <c r="G97" s="440">
        <v>236000</v>
      </c>
      <c r="H97" s="47"/>
      <c r="I97" s="47">
        <f>Table2726731436383210271164102[[#This Row],[FY2024-2025 BUDGET]]+Table2726731436383210271164102[[#This Row],[ADDITIONAL REVENUE ]]</f>
        <v>236000</v>
      </c>
      <c r="J97" s="47">
        <v>0</v>
      </c>
      <c r="K97" s="47">
        <v>0</v>
      </c>
      <c r="L97" s="441">
        <f>Table2726731436383210271164102[[#This Row],[EXPENDED ]]+Table2726731436383210271164102[[#This Row],[ENCUMBERED]]</f>
        <v>0</v>
      </c>
      <c r="M97" s="441">
        <f>Table2726731436383210271164102[[#This Row],[FORECAST]]-Table2726731436383210271164102[[#This Row],[TOTAL YTD]]</f>
        <v>236000</v>
      </c>
      <c r="N97" s="745">
        <f>Table2726731436383210271164102[[#This Row],[TOTAL YTD]]/Table2726731436383210271164102[[#This Row],[FINAL BUDGET]]</f>
        <v>0</v>
      </c>
      <c r="O97" s="47">
        <f>Table2726731436383210271164102[[#This Row],[FINAL BUDGET]]</f>
        <v>236000</v>
      </c>
      <c r="P97" s="802">
        <f t="shared" si="2"/>
        <v>0</v>
      </c>
      <c r="Q97" s="16" t="s">
        <v>1807</v>
      </c>
      <c r="R97" s="805"/>
    </row>
    <row r="98" spans="1:18" ht="19.5" customHeight="1" x14ac:dyDescent="0.25">
      <c r="A98" s="464" t="s">
        <v>2049</v>
      </c>
      <c r="B98" s="557" t="s">
        <v>2050</v>
      </c>
      <c r="C98" s="617"/>
      <c r="D98" s="116"/>
      <c r="E98" s="135"/>
      <c r="F98" s="117" t="s">
        <v>1085</v>
      </c>
      <c r="G98" s="440">
        <v>50000</v>
      </c>
      <c r="H98" s="47"/>
      <c r="I98" s="47">
        <f>Table2726731436383210271164102[[#This Row],[FY2024-2025 BUDGET]]+Table2726731436383210271164102[[#This Row],[ADDITIONAL REVENUE ]]</f>
        <v>50000</v>
      </c>
      <c r="J98" s="47">
        <v>0</v>
      </c>
      <c r="K98" s="47">
        <v>0</v>
      </c>
      <c r="L98" s="441">
        <f>Table2726731436383210271164102[[#This Row],[EXPENDED ]]+Table2726731436383210271164102[[#This Row],[ENCUMBERED]]</f>
        <v>0</v>
      </c>
      <c r="M98" s="441">
        <f>Table2726731436383210271164102[[#This Row],[FORECAST]]-Table2726731436383210271164102[[#This Row],[TOTAL YTD]]</f>
        <v>50000</v>
      </c>
      <c r="N98" s="745">
        <f>Table2726731436383210271164102[[#This Row],[TOTAL YTD]]/Table2726731436383210271164102[[#This Row],[FINAL BUDGET]]</f>
        <v>0</v>
      </c>
      <c r="O98" s="47">
        <f>Table2726731436383210271164102[[#This Row],[FINAL BUDGET]]</f>
        <v>50000</v>
      </c>
      <c r="P98" s="802">
        <f t="shared" si="2"/>
        <v>0</v>
      </c>
      <c r="Q98" s="16" t="s">
        <v>2045</v>
      </c>
      <c r="R98" s="805"/>
    </row>
    <row r="99" spans="1:18" ht="19.5" customHeight="1" x14ac:dyDescent="0.25">
      <c r="A99" s="464" t="s">
        <v>2051</v>
      </c>
      <c r="B99" s="557" t="s">
        <v>2052</v>
      </c>
      <c r="C99" s="617"/>
      <c r="D99" s="116" t="s">
        <v>1085</v>
      </c>
      <c r="E99" s="135"/>
      <c r="F99" s="117"/>
      <c r="G99" s="440">
        <v>81950</v>
      </c>
      <c r="H99" s="47"/>
      <c r="I99" s="47">
        <f>Table2726731436383210271164102[[#This Row],[FY2024-2025 BUDGET]]+Table2726731436383210271164102[[#This Row],[ADDITIONAL REVENUE ]]</f>
        <v>81950</v>
      </c>
      <c r="J99" s="47">
        <v>0</v>
      </c>
      <c r="K99" s="47">
        <v>0</v>
      </c>
      <c r="L99" s="441">
        <f>Table2726731436383210271164102[[#This Row],[EXPENDED ]]+Table2726731436383210271164102[[#This Row],[ENCUMBERED]]</f>
        <v>0</v>
      </c>
      <c r="M99" s="441">
        <f>Table2726731436383210271164102[[#This Row],[FORECAST]]-Table2726731436383210271164102[[#This Row],[TOTAL YTD]]</f>
        <v>81950</v>
      </c>
      <c r="N99" s="745">
        <f>Table2726731436383210271164102[[#This Row],[TOTAL YTD]]/Table2726731436383210271164102[[#This Row],[FINAL BUDGET]]</f>
        <v>0</v>
      </c>
      <c r="O99" s="47">
        <f>Table2726731436383210271164102[[#This Row],[FINAL BUDGET]]</f>
        <v>81950</v>
      </c>
      <c r="P99" s="802">
        <f t="shared" si="2"/>
        <v>0</v>
      </c>
      <c r="Q99" s="16" t="s">
        <v>2044</v>
      </c>
      <c r="R99" s="805"/>
    </row>
    <row r="100" spans="1:18" ht="19.5" customHeight="1" x14ac:dyDescent="0.25">
      <c r="A100" s="464" t="s">
        <v>2046</v>
      </c>
      <c r="B100" s="557" t="s">
        <v>2047</v>
      </c>
      <c r="C100" s="617"/>
      <c r="D100" s="116" t="s">
        <v>1085</v>
      </c>
      <c r="E100" s="135"/>
      <c r="F100" s="117"/>
      <c r="G100" s="440">
        <v>23557</v>
      </c>
      <c r="H100" s="47"/>
      <c r="I100" s="47">
        <f>Table2726731436383210271164102[[#This Row],[FY2024-2025 BUDGET]]+Table2726731436383210271164102[[#This Row],[ADDITIONAL REVENUE ]]</f>
        <v>23557</v>
      </c>
      <c r="J100" s="47">
        <v>7025.23</v>
      </c>
      <c r="K100" s="47">
        <v>0</v>
      </c>
      <c r="L100" s="441">
        <f>Table2726731436383210271164102[[#This Row],[EXPENDED ]]+Table2726731436383210271164102[[#This Row],[ENCUMBERED]]</f>
        <v>7025.23</v>
      </c>
      <c r="M100" s="441">
        <f>Table2726731436383210271164102[[#This Row],[FORECAST]]-Table2726731436383210271164102[[#This Row],[TOTAL YTD]]</f>
        <v>16531.77</v>
      </c>
      <c r="N100" s="745">
        <f>Table2726731436383210271164102[[#This Row],[TOTAL YTD]]/Table2726731436383210271164102[[#This Row],[FINAL BUDGET]]</f>
        <v>0.29822260899095809</v>
      </c>
      <c r="O100" s="47">
        <f>Table2726731436383210271164102[[#This Row],[FINAL BUDGET]]</f>
        <v>23557</v>
      </c>
      <c r="P100" s="802">
        <f t="shared" si="2"/>
        <v>0</v>
      </c>
      <c r="Q100" s="16" t="s">
        <v>2166</v>
      </c>
      <c r="R100" s="826"/>
    </row>
    <row r="101" spans="1:18" ht="19.5" customHeight="1" x14ac:dyDescent="0.25">
      <c r="A101" s="464" t="s">
        <v>2239</v>
      </c>
      <c r="B101" s="557" t="s">
        <v>2047</v>
      </c>
      <c r="C101" s="617"/>
      <c r="D101" s="116" t="s">
        <v>1085</v>
      </c>
      <c r="E101" s="135"/>
      <c r="F101" s="117"/>
      <c r="G101" s="440">
        <v>23889</v>
      </c>
      <c r="H101" s="47"/>
      <c r="I101" s="47">
        <f>Table2726731436383210271164102[[#This Row],[FY2024-2025 BUDGET]]+Table2726731436383210271164102[[#This Row],[ADDITIONAL REVENUE ]]</f>
        <v>23889</v>
      </c>
      <c r="J101" s="47">
        <v>0</v>
      </c>
      <c r="K101" s="47">
        <v>0</v>
      </c>
      <c r="L101" s="441">
        <f>Table2726731436383210271164102[[#This Row],[EXPENDED ]]+Table2726731436383210271164102[[#This Row],[ENCUMBERED]]</f>
        <v>0</v>
      </c>
      <c r="M101" s="441">
        <f>Table2726731436383210271164102[[#This Row],[FORECAST]]-Table2726731436383210271164102[[#This Row],[TOTAL YTD]]</f>
        <v>23889</v>
      </c>
      <c r="N101" s="745">
        <f>Table2726731436383210271164102[[#This Row],[TOTAL YTD]]/Table2726731436383210271164102[[#This Row],[FINAL BUDGET]]</f>
        <v>0</v>
      </c>
      <c r="O101" s="47">
        <f>Table2726731436383210271164102[[#This Row],[FINAL BUDGET]]</f>
        <v>23889</v>
      </c>
      <c r="P101" s="802">
        <f t="shared" si="2"/>
        <v>0</v>
      </c>
      <c r="Q101" s="16" t="s">
        <v>2240</v>
      </c>
      <c r="R101" s="826"/>
    </row>
    <row r="102" spans="1:18" ht="19.5" customHeight="1" x14ac:dyDescent="0.25">
      <c r="A102" s="464" t="s">
        <v>2055</v>
      </c>
      <c r="B102" s="557" t="s">
        <v>2057</v>
      </c>
      <c r="C102" s="617"/>
      <c r="D102" s="116" t="s">
        <v>1085</v>
      </c>
      <c r="E102" s="135"/>
      <c r="F102" s="117"/>
      <c r="G102" s="440">
        <v>82498.5</v>
      </c>
      <c r="H102" s="47"/>
      <c r="I102" s="47">
        <f>Table2726731436383210271164102[[#This Row],[FY2024-2025 BUDGET]]+Table2726731436383210271164102[[#This Row],[ADDITIONAL REVENUE ]]</f>
        <v>82498.5</v>
      </c>
      <c r="J102" s="47">
        <v>0</v>
      </c>
      <c r="K102" s="47">
        <v>0</v>
      </c>
      <c r="L102" s="441">
        <f>Table2726731436383210271164102[[#This Row],[EXPENDED ]]+Table2726731436383210271164102[[#This Row],[ENCUMBERED]]</f>
        <v>0</v>
      </c>
      <c r="M102" s="441">
        <f>Table2726731436383210271164102[[#This Row],[FORECAST]]-Table2726731436383210271164102[[#This Row],[TOTAL YTD]]</f>
        <v>82498.5</v>
      </c>
      <c r="N102" s="745">
        <f>Table2726731436383210271164102[[#This Row],[TOTAL YTD]]/Table2726731436383210271164102[[#This Row],[FINAL BUDGET]]</f>
        <v>0</v>
      </c>
      <c r="O102" s="47">
        <f>Table2726731436383210271164102[[#This Row],[FINAL BUDGET]]</f>
        <v>82498.5</v>
      </c>
      <c r="P102" s="802">
        <f t="shared" si="2"/>
        <v>0</v>
      </c>
      <c r="Q102" s="16" t="s">
        <v>2166</v>
      </c>
      <c r="R102" s="805"/>
    </row>
    <row r="103" spans="1:18" ht="18.75" customHeight="1" x14ac:dyDescent="0.25">
      <c r="A103" s="464" t="s">
        <v>2056</v>
      </c>
      <c r="B103" s="557" t="s">
        <v>2058</v>
      </c>
      <c r="C103" s="617"/>
      <c r="D103" s="116" t="s">
        <v>1085</v>
      </c>
      <c r="E103" s="135"/>
      <c r="F103" s="117"/>
      <c r="G103" s="440">
        <v>265564.24</v>
      </c>
      <c r="H103" s="47"/>
      <c r="I103" s="47">
        <f>Table2726731436383210271164102[[#This Row],[FY2024-2025 BUDGET]]+Table2726731436383210271164102[[#This Row],[ADDITIONAL REVENUE ]]</f>
        <v>265564.24</v>
      </c>
      <c r="J103" s="47">
        <v>0</v>
      </c>
      <c r="K103" s="47">
        <v>0</v>
      </c>
      <c r="L103" s="441">
        <f>Table2726731436383210271164102[[#This Row],[EXPENDED ]]+Table2726731436383210271164102[[#This Row],[ENCUMBERED]]</f>
        <v>0</v>
      </c>
      <c r="M103" s="441">
        <f>Table2726731436383210271164102[[#This Row],[FORECAST]]-Table2726731436383210271164102[[#This Row],[TOTAL YTD]]</f>
        <v>265564.24</v>
      </c>
      <c r="N103" s="745">
        <f>Table2726731436383210271164102[[#This Row],[TOTAL YTD]]/Table2726731436383210271164102[[#This Row],[FINAL BUDGET]]</f>
        <v>0</v>
      </c>
      <c r="O103" s="47">
        <f>Table2726731436383210271164102[[#This Row],[FINAL BUDGET]]</f>
        <v>265564.24</v>
      </c>
      <c r="P103" s="802">
        <f t="shared" si="2"/>
        <v>0</v>
      </c>
      <c r="Q103" s="16" t="s">
        <v>2166</v>
      </c>
      <c r="R103" s="805"/>
    </row>
    <row r="104" spans="1:18" ht="19.5" customHeight="1" x14ac:dyDescent="0.25">
      <c r="A104" s="464" t="s">
        <v>1906</v>
      </c>
      <c r="B104" s="557" t="s">
        <v>1698</v>
      </c>
      <c r="C104" s="21"/>
      <c r="D104" s="117"/>
      <c r="E104" s="116" t="s">
        <v>1085</v>
      </c>
      <c r="F104" s="117"/>
      <c r="G104" s="439">
        <v>161115</v>
      </c>
      <c r="H104" s="47"/>
      <c r="I104" s="47">
        <f>Table2726731436383210271164102[[#This Row],[FY2024-2025 BUDGET]]+Table2726731436383210271164102[[#This Row],[ADDITIONAL REVENUE ]]</f>
        <v>161115</v>
      </c>
      <c r="J104" s="47">
        <v>42613.14</v>
      </c>
      <c r="K104" s="708">
        <v>34220</v>
      </c>
      <c r="L104" s="441">
        <f>Table2726731436383210271164102[[#This Row],[EXPENDED ]]+Table2726731436383210271164102[[#This Row],[ENCUMBERED]]</f>
        <v>76833.14</v>
      </c>
      <c r="M104" s="441">
        <f>Table2726731436383210271164102[[#This Row],[FORECAST]]-Table2726731436383210271164102[[#This Row],[TOTAL YTD]]</f>
        <v>84281.86</v>
      </c>
      <c r="N104" s="745">
        <f>Table2726731436383210271164102[[#This Row],[TOTAL YTD]]/Table2726731436383210271164102[[#This Row],[FINAL BUDGET]]</f>
        <v>0.47688384073487883</v>
      </c>
      <c r="O104" s="47">
        <f>Table2726731436383210271164102[[#This Row],[FINAL BUDGET]]</f>
        <v>161115</v>
      </c>
      <c r="P104" s="802">
        <f t="shared" si="2"/>
        <v>0</v>
      </c>
      <c r="Q104" s="16" t="s">
        <v>2138</v>
      </c>
      <c r="R104" s="821" t="s">
        <v>2241</v>
      </c>
    </row>
    <row r="105" spans="1:18" ht="19.5" customHeight="1" x14ac:dyDescent="0.25">
      <c r="A105" s="464" t="s">
        <v>2242</v>
      </c>
      <c r="B105" s="557" t="s">
        <v>2243</v>
      </c>
      <c r="C105" s="21"/>
      <c r="D105" s="117"/>
      <c r="E105" s="116" t="s">
        <v>1085</v>
      </c>
      <c r="F105" s="117"/>
      <c r="G105" s="439">
        <v>1008916</v>
      </c>
      <c r="H105" s="47"/>
      <c r="I105" s="47">
        <f>Table2726731436383210271164102[[#This Row],[FY2024-2025 BUDGET]]+Table2726731436383210271164102[[#This Row],[ADDITIONAL REVENUE ]]</f>
        <v>1008916</v>
      </c>
      <c r="J105" s="47">
        <v>143466.98000000001</v>
      </c>
      <c r="K105" s="708">
        <v>27510.85</v>
      </c>
      <c r="L105" s="441">
        <f>Table2726731436383210271164102[[#This Row],[EXPENDED ]]+Table2726731436383210271164102[[#This Row],[ENCUMBERED]]</f>
        <v>170977.83000000002</v>
      </c>
      <c r="M105" s="441">
        <f>Table2726731436383210271164102[[#This Row],[FORECAST]]-Table2726731436383210271164102[[#This Row],[TOTAL YTD]]</f>
        <v>837938.16999999993</v>
      </c>
      <c r="N105" s="745">
        <f>Table2726731436383210271164102[[#This Row],[TOTAL YTD]]/Table2726731436383210271164102[[#This Row],[FINAL BUDGET]]</f>
        <v>0.16946686344551976</v>
      </c>
      <c r="O105" s="47">
        <f>Table2726731436383210271164102[[#This Row],[FINAL BUDGET]]</f>
        <v>1008916</v>
      </c>
      <c r="P105" s="802">
        <f t="shared" si="2"/>
        <v>0</v>
      </c>
      <c r="Q105" s="16" t="s">
        <v>2138</v>
      </c>
      <c r="R105" s="821" t="s">
        <v>2244</v>
      </c>
    </row>
    <row r="106" spans="1:18" ht="19.5" customHeight="1" x14ac:dyDescent="0.25">
      <c r="A106" s="464" t="s">
        <v>2069</v>
      </c>
      <c r="B106" s="557" t="s">
        <v>2070</v>
      </c>
      <c r="C106" s="617"/>
      <c r="D106" s="116" t="s">
        <v>1085</v>
      </c>
      <c r="E106" s="135"/>
      <c r="F106" s="117"/>
      <c r="G106" s="440">
        <v>130061</v>
      </c>
      <c r="H106" s="47"/>
      <c r="I106" s="47">
        <f>Table2726731436383210271164102[[#This Row],[FY2024-2025 BUDGET]]+Table2726731436383210271164102[[#This Row],[ADDITIONAL REVENUE ]]</f>
        <v>130061</v>
      </c>
      <c r="J106" s="47">
        <v>0</v>
      </c>
      <c r="K106" s="47">
        <v>130061</v>
      </c>
      <c r="L106" s="441">
        <f>Table2726731436383210271164102[[#This Row],[EXPENDED ]]+Table2726731436383210271164102[[#This Row],[ENCUMBERED]]</f>
        <v>130061</v>
      </c>
      <c r="M106" s="441">
        <f>Table2726731436383210271164102[[#This Row],[FORECAST]]-Table2726731436383210271164102[[#This Row],[TOTAL YTD]]</f>
        <v>0</v>
      </c>
      <c r="N106" s="745">
        <f>Table2726731436383210271164102[[#This Row],[TOTAL YTD]]/Table2726731436383210271164102[[#This Row],[FINAL BUDGET]]</f>
        <v>1</v>
      </c>
      <c r="O106" s="47">
        <f>Table2726731436383210271164102[[#This Row],[FINAL BUDGET]]</f>
        <v>130061</v>
      </c>
      <c r="P106" s="802">
        <f t="shared" si="2"/>
        <v>0</v>
      </c>
      <c r="Q106" s="16" t="s">
        <v>1826</v>
      </c>
      <c r="R106" s="821"/>
    </row>
    <row r="107" spans="1:18" ht="19.5" customHeight="1" x14ac:dyDescent="0.25">
      <c r="A107" s="464" t="s">
        <v>2245</v>
      </c>
      <c r="B107" s="557" t="s">
        <v>1458</v>
      </c>
      <c r="C107" s="429"/>
      <c r="D107" s="116" t="s">
        <v>1085</v>
      </c>
      <c r="E107" s="135"/>
      <c r="F107" s="117"/>
      <c r="G107" s="439">
        <v>42672</v>
      </c>
      <c r="H107" s="441"/>
      <c r="I107" s="47">
        <f>Table2726731436383210271164102[[#This Row],[FY2024-2025 BUDGET]]+Table2726731436383210271164102[[#This Row],[ADDITIONAL REVENUE ]]</f>
        <v>42672</v>
      </c>
      <c r="J107" s="47"/>
      <c r="K107" s="708">
        <v>0</v>
      </c>
      <c r="L107" s="441">
        <f>Table2726731436383210271164102[[#This Row],[EXPENDED ]]+Table2726731436383210271164102[[#This Row],[ENCUMBERED]]</f>
        <v>0</v>
      </c>
      <c r="M107" s="550">
        <f>Table2726731436383210271164102[[#This Row],[FORECAST]]-Table2726731436383210271164102[[#This Row],[TOTAL YTD]]</f>
        <v>42672</v>
      </c>
      <c r="N107" s="745">
        <f>Table2726731436383210271164102[[#This Row],[TOTAL YTD]]/Table2726731436383210271164102[[#This Row],[FINAL BUDGET]]</f>
        <v>0</v>
      </c>
      <c r="O107" s="47">
        <f>Table2726731436383210271164102[[#This Row],[FINAL BUDGET]]</f>
        <v>42672</v>
      </c>
      <c r="P107" s="802">
        <f t="shared" si="2"/>
        <v>0</v>
      </c>
      <c r="Q107" s="16"/>
      <c r="R107" s="821"/>
    </row>
    <row r="108" spans="1:18" ht="24.75" customHeight="1" x14ac:dyDescent="0.25">
      <c r="A108" s="464" t="s">
        <v>2167</v>
      </c>
      <c r="B108" s="557" t="s">
        <v>2168</v>
      </c>
      <c r="C108" s="617">
        <v>804</v>
      </c>
      <c r="D108" s="116"/>
      <c r="E108" s="135"/>
      <c r="F108" s="117" t="s">
        <v>1085</v>
      </c>
      <c r="G108" s="440">
        <v>205</v>
      </c>
      <c r="H108" s="47"/>
      <c r="I108" s="47">
        <f>Table2726731436383210271164102[[#This Row],[FY2024-2025 BUDGET]]+Table2726731436383210271164102[[#This Row],[ADDITIONAL REVENUE ]]</f>
        <v>205</v>
      </c>
      <c r="J108" s="47">
        <v>0</v>
      </c>
      <c r="K108" s="47">
        <v>0</v>
      </c>
      <c r="L108" s="441">
        <f>Table2726731436383210271164102[[#This Row],[EXPENDED ]]+Table2726731436383210271164102[[#This Row],[ENCUMBERED]]</f>
        <v>0</v>
      </c>
      <c r="M108" s="441">
        <f>Table2726731436383210271164102[[#This Row],[FORECAST]]-Table2726731436383210271164102[[#This Row],[TOTAL YTD]]</f>
        <v>205</v>
      </c>
      <c r="N108" s="745">
        <f>Table2726731436383210271164102[[#This Row],[TOTAL YTD]]/Table2726731436383210271164102[[#This Row],[FINAL BUDGET]]</f>
        <v>0</v>
      </c>
      <c r="O108" s="47">
        <f>Table2726731436383210271164102[[#This Row],[FINAL BUDGET]]</f>
        <v>205</v>
      </c>
      <c r="P108" s="802">
        <f t="shared" si="2"/>
        <v>0</v>
      </c>
      <c r="Q108" s="16"/>
      <c r="R108" s="821"/>
    </row>
    <row r="109" spans="1:18" ht="22.5" customHeight="1" x14ac:dyDescent="0.25">
      <c r="A109" s="464" t="s">
        <v>2077</v>
      </c>
      <c r="B109" s="557" t="s">
        <v>1672</v>
      </c>
      <c r="C109" s="617"/>
      <c r="D109" s="116"/>
      <c r="E109" s="135" t="s">
        <v>1085</v>
      </c>
      <c r="F109" s="117"/>
      <c r="G109" s="440">
        <v>102533</v>
      </c>
      <c r="H109" s="47"/>
      <c r="I109" s="47">
        <f>Table2726731436383210271164102[[#This Row],[FY2024-2025 BUDGET]]+Table2726731436383210271164102[[#This Row],[ADDITIONAL REVENUE ]]</f>
        <v>102533</v>
      </c>
      <c r="J109" s="47">
        <v>102533</v>
      </c>
      <c r="K109" s="47">
        <v>0</v>
      </c>
      <c r="L109" s="441">
        <f>Table2726731436383210271164102[[#This Row],[EXPENDED ]]+Table2726731436383210271164102[[#This Row],[ENCUMBERED]]</f>
        <v>102533</v>
      </c>
      <c r="M109" s="441">
        <f>Table2726731436383210271164102[[#This Row],[FORECAST]]-Table2726731436383210271164102[[#This Row],[TOTAL YTD]]</f>
        <v>0</v>
      </c>
      <c r="N109" s="745">
        <f>Table2726731436383210271164102[[#This Row],[TOTAL YTD]]/Table2726731436383210271164102[[#This Row],[FINAL BUDGET]]</f>
        <v>1</v>
      </c>
      <c r="O109" s="47">
        <f>Table2726731436383210271164102[[#This Row],[FINAL BUDGET]]</f>
        <v>102533</v>
      </c>
      <c r="P109" s="802">
        <f t="shared" si="2"/>
        <v>0</v>
      </c>
      <c r="Q109" s="16" t="s">
        <v>1826</v>
      </c>
      <c r="R109" s="805"/>
    </row>
    <row r="110" spans="1:18" ht="19.5" customHeight="1" x14ac:dyDescent="0.25">
      <c r="A110" s="464" t="s">
        <v>2246</v>
      </c>
      <c r="B110" s="557" t="s">
        <v>1672</v>
      </c>
      <c r="C110" s="617"/>
      <c r="D110" s="116"/>
      <c r="E110" s="135"/>
      <c r="F110" s="117"/>
      <c r="G110" s="440">
        <v>200000</v>
      </c>
      <c r="H110" s="47"/>
      <c r="I110" s="47">
        <f>Table2726731436383210271164102[[#This Row],[FY2024-2025 BUDGET]]+Table2726731436383210271164102[[#This Row],[ADDITIONAL REVENUE ]]</f>
        <v>200000</v>
      </c>
      <c r="J110" s="47"/>
      <c r="K110" s="47">
        <v>0</v>
      </c>
      <c r="L110" s="441">
        <f>Table2726731436383210271164102[[#This Row],[EXPENDED ]]+Table2726731436383210271164102[[#This Row],[ENCUMBERED]]</f>
        <v>0</v>
      </c>
      <c r="M110" s="441" t="s">
        <v>2271</v>
      </c>
      <c r="N110" s="745">
        <f>Table2726731436383210271164102[[#This Row],[TOTAL YTD]]/Table2726731436383210271164102[[#This Row],[FINAL BUDGET]]</f>
        <v>0</v>
      </c>
      <c r="O110" s="47">
        <f>Table2726731436383210271164102[[#This Row],[FINAL BUDGET]]</f>
        <v>200000</v>
      </c>
      <c r="P110" s="802">
        <f t="shared" si="2"/>
        <v>0</v>
      </c>
      <c r="Q110" s="16" t="s">
        <v>1807</v>
      </c>
      <c r="R110" s="805"/>
    </row>
    <row r="111" spans="1:18" ht="23.25" customHeight="1" x14ac:dyDescent="0.25">
      <c r="A111" s="464" t="s">
        <v>2078</v>
      </c>
      <c r="B111" s="557" t="s">
        <v>1672</v>
      </c>
      <c r="C111" s="617"/>
      <c r="D111" s="116"/>
      <c r="E111" s="135" t="s">
        <v>1085</v>
      </c>
      <c r="F111" s="117"/>
      <c r="G111" s="440">
        <v>118328</v>
      </c>
      <c r="H111" s="47"/>
      <c r="I111" s="47">
        <f>Table2726731436383210271164102[[#This Row],[FY2024-2025 BUDGET]]+Table2726731436383210271164102[[#This Row],[ADDITIONAL REVENUE ]]</f>
        <v>118328</v>
      </c>
      <c r="J111" s="47">
        <v>118328</v>
      </c>
      <c r="K111" s="47">
        <v>0</v>
      </c>
      <c r="L111" s="441">
        <f>Table2726731436383210271164102[[#This Row],[EXPENDED ]]+Table2726731436383210271164102[[#This Row],[ENCUMBERED]]</f>
        <v>118328</v>
      </c>
      <c r="M111" s="441">
        <f>Table2726731436383210271164102[[#This Row],[FORECAST]]-Table2726731436383210271164102[[#This Row],[TOTAL YTD]]</f>
        <v>0</v>
      </c>
      <c r="N111" s="745">
        <f>Table2726731436383210271164102[[#This Row],[TOTAL YTD]]/Table2726731436383210271164102[[#This Row],[FINAL BUDGET]]</f>
        <v>1</v>
      </c>
      <c r="O111" s="47">
        <f>Table2726731436383210271164102[[#This Row],[FINAL BUDGET]]</f>
        <v>118328</v>
      </c>
      <c r="P111" s="802">
        <f t="shared" si="2"/>
        <v>0</v>
      </c>
      <c r="Q111" s="16" t="s">
        <v>1826</v>
      </c>
      <c r="R111" s="805"/>
    </row>
    <row r="112" spans="1:18" ht="19.5" customHeight="1" x14ac:dyDescent="0.25">
      <c r="A112" s="464" t="s">
        <v>2247</v>
      </c>
      <c r="B112" s="557" t="s">
        <v>1672</v>
      </c>
      <c r="C112" s="617"/>
      <c r="D112" s="116"/>
      <c r="E112" s="135" t="s">
        <v>1085</v>
      </c>
      <c r="F112" s="117"/>
      <c r="G112" s="440">
        <v>200000</v>
      </c>
      <c r="H112" s="47"/>
      <c r="I112" s="47">
        <f>Table2726731436383210271164102[[#This Row],[FY2024-2025 BUDGET]]+Table2726731436383210271164102[[#This Row],[ADDITIONAL REVENUE ]]</f>
        <v>200000</v>
      </c>
      <c r="J112" s="47">
        <v>0</v>
      </c>
      <c r="K112" s="47">
        <v>0</v>
      </c>
      <c r="L112" s="441">
        <f>Table2726731436383210271164102[[#This Row],[EXPENDED ]]+Table2726731436383210271164102[[#This Row],[ENCUMBERED]]</f>
        <v>0</v>
      </c>
      <c r="M112" s="441">
        <f>Table2726731436383210271164102[[#This Row],[FORECAST]]-Table2726731436383210271164102[[#This Row],[TOTAL YTD]]</f>
        <v>200000</v>
      </c>
      <c r="N112" s="745">
        <f>Table2726731436383210271164102[[#This Row],[TOTAL YTD]]/Table2726731436383210271164102[[#This Row],[FINAL BUDGET]]</f>
        <v>0</v>
      </c>
      <c r="O112" s="47">
        <f>Table2726731436383210271164102[[#This Row],[FINAL BUDGET]]</f>
        <v>200000</v>
      </c>
      <c r="P112" s="802">
        <f t="shared" si="2"/>
        <v>0</v>
      </c>
      <c r="Q112" s="16" t="s">
        <v>1807</v>
      </c>
      <c r="R112" s="805"/>
    </row>
    <row r="113" spans="1:24" ht="19.5" customHeight="1" x14ac:dyDescent="0.25">
      <c r="A113" s="464" t="s">
        <v>2248</v>
      </c>
      <c r="B113" s="431" t="s">
        <v>1373</v>
      </c>
      <c r="C113" s="617"/>
      <c r="D113" s="116"/>
      <c r="E113" s="135"/>
      <c r="F113" s="117" t="s">
        <v>1085</v>
      </c>
      <c r="G113" s="440">
        <v>5700</v>
      </c>
      <c r="H113" s="47"/>
      <c r="I113" s="47">
        <f>Table2726731436383210271164102[[#This Row],[FY2024-2025 BUDGET]]+Table2726731436383210271164102[[#This Row],[ADDITIONAL REVENUE ]]</f>
        <v>5700</v>
      </c>
      <c r="J113" s="47">
        <v>0</v>
      </c>
      <c r="K113" s="47">
        <v>0</v>
      </c>
      <c r="L113" s="441">
        <f>Table2726731436383210271164102[[#This Row],[EXPENDED ]]+Table2726731436383210271164102[[#This Row],[ENCUMBERED]]</f>
        <v>0</v>
      </c>
      <c r="M113" s="441">
        <f>Table2726731436383210271164102[[#This Row],[FORECAST]]-Table2726731436383210271164102[[#This Row],[TOTAL YTD]]</f>
        <v>5700</v>
      </c>
      <c r="N113" s="745">
        <f>Table2726731436383210271164102[[#This Row],[TOTAL YTD]]/Table2726731436383210271164102[[#This Row],[FINAL BUDGET]]</f>
        <v>0</v>
      </c>
      <c r="O113" s="47">
        <f>Table2726731436383210271164102[[#This Row],[FINAL BUDGET]]</f>
        <v>5700</v>
      </c>
      <c r="P113" s="802">
        <f t="shared" si="2"/>
        <v>0</v>
      </c>
      <c r="Q113" s="16" t="s">
        <v>2138</v>
      </c>
      <c r="R113" s="805"/>
    </row>
    <row r="114" spans="1:24" ht="19.5" customHeight="1" x14ac:dyDescent="0.25">
      <c r="A114" s="464" t="s">
        <v>2249</v>
      </c>
      <c r="B114" s="431" t="s">
        <v>2250</v>
      </c>
      <c r="C114" s="617"/>
      <c r="D114" s="116" t="s">
        <v>1085</v>
      </c>
      <c r="E114" s="135"/>
      <c r="F114" s="117"/>
      <c r="G114" s="440">
        <v>110000</v>
      </c>
      <c r="H114" s="47"/>
      <c r="I114" s="47">
        <f>Table2726731436383210271164102[[#This Row],[FY2024-2025 BUDGET]]+Table2726731436383210271164102[[#This Row],[ADDITIONAL REVENUE ]]</f>
        <v>110000</v>
      </c>
      <c r="J114" s="47">
        <v>0</v>
      </c>
      <c r="K114" s="47">
        <v>0</v>
      </c>
      <c r="L114" s="441">
        <f>Table2726731436383210271164102[[#This Row],[EXPENDED ]]+Table2726731436383210271164102[[#This Row],[ENCUMBERED]]</f>
        <v>0</v>
      </c>
      <c r="M114" s="441">
        <f>Table2726731436383210271164102[[#This Row],[FORECAST]]-Table2726731436383210271164102[[#This Row],[TOTAL YTD]]</f>
        <v>110000</v>
      </c>
      <c r="N114" s="745">
        <f>Table2726731436383210271164102[[#This Row],[TOTAL YTD]]/Table2726731436383210271164102[[#This Row],[FINAL BUDGET]]</f>
        <v>0</v>
      </c>
      <c r="O114" s="47">
        <f>Table2726731436383210271164102[[#This Row],[FINAL BUDGET]]</f>
        <v>110000</v>
      </c>
      <c r="P114" s="802">
        <f t="shared" si="2"/>
        <v>0</v>
      </c>
      <c r="Q114" s="16" t="s">
        <v>2138</v>
      </c>
      <c r="R114" s="805"/>
    </row>
    <row r="115" spans="1:24" ht="22.5" customHeight="1" x14ac:dyDescent="0.25">
      <c r="A115" s="464" t="s">
        <v>2079</v>
      </c>
      <c r="B115" s="557" t="s">
        <v>1672</v>
      </c>
      <c r="C115" s="617"/>
      <c r="D115" s="116"/>
      <c r="E115" s="135" t="s">
        <v>1085</v>
      </c>
      <c r="F115" s="117"/>
      <c r="G115" s="440">
        <v>20371</v>
      </c>
      <c r="H115" s="47"/>
      <c r="I115" s="47">
        <f>Table2726731436383210271164102[[#This Row],[FY2024-2025 BUDGET]]+Table2726731436383210271164102[[#This Row],[ADDITIONAL REVENUE ]]</f>
        <v>20371</v>
      </c>
      <c r="J115" s="47">
        <v>20371</v>
      </c>
      <c r="K115" s="47">
        <v>0</v>
      </c>
      <c r="L115" s="441">
        <f>Table2726731436383210271164102[[#This Row],[EXPENDED ]]+Table2726731436383210271164102[[#This Row],[ENCUMBERED]]</f>
        <v>20371</v>
      </c>
      <c r="M115" s="441">
        <f>Table2726731436383210271164102[[#This Row],[FORECAST]]-Table2726731436383210271164102[[#This Row],[TOTAL YTD]]</f>
        <v>0</v>
      </c>
      <c r="N115" s="745">
        <f>Table2726731436383210271164102[[#This Row],[TOTAL YTD]]/Table2726731436383210271164102[[#This Row],[FINAL BUDGET]]</f>
        <v>1</v>
      </c>
      <c r="O115" s="47">
        <f>Table2726731436383210271164102[[#This Row],[FINAL BUDGET]]</f>
        <v>20371</v>
      </c>
      <c r="P115" s="802">
        <f t="shared" si="2"/>
        <v>0</v>
      </c>
      <c r="Q115" s="16" t="s">
        <v>1826</v>
      </c>
      <c r="R115" s="805"/>
    </row>
    <row r="116" spans="1:24" ht="19.5" customHeight="1" x14ac:dyDescent="0.25">
      <c r="A116" s="464" t="s">
        <v>2251</v>
      </c>
      <c r="B116" s="557" t="s">
        <v>1672</v>
      </c>
      <c r="C116" s="617"/>
      <c r="D116" s="116"/>
      <c r="E116" s="135" t="s">
        <v>1085</v>
      </c>
      <c r="F116" s="117"/>
      <c r="G116" s="440">
        <v>142500</v>
      </c>
      <c r="H116" s="47"/>
      <c r="I116" s="47">
        <f>Table2726731436383210271164102[[#This Row],[FY2024-2025 BUDGET]]+Table2726731436383210271164102[[#This Row],[ADDITIONAL REVENUE ]]</f>
        <v>142500</v>
      </c>
      <c r="J116" s="47"/>
      <c r="K116" s="47">
        <v>0</v>
      </c>
      <c r="L116" s="441">
        <f>Table2726731436383210271164102[[#This Row],[EXPENDED ]]+Table2726731436383210271164102[[#This Row],[ENCUMBERED]]</f>
        <v>0</v>
      </c>
      <c r="M116" s="441">
        <f>Table2726731436383210271164102[[#This Row],[FORECAST]]-Table2726731436383210271164102[[#This Row],[TOTAL YTD]]</f>
        <v>142500</v>
      </c>
      <c r="N116" s="745">
        <f>Table2726731436383210271164102[[#This Row],[TOTAL YTD]]/Table2726731436383210271164102[[#This Row],[FINAL BUDGET]]</f>
        <v>0</v>
      </c>
      <c r="O116" s="47">
        <f>Table2726731436383210271164102[[#This Row],[FINAL BUDGET]]</f>
        <v>142500</v>
      </c>
      <c r="P116" s="802">
        <f t="shared" si="2"/>
        <v>0</v>
      </c>
      <c r="Q116" s="16" t="s">
        <v>1807</v>
      </c>
      <c r="R116" s="805"/>
    </row>
    <row r="117" spans="1:24" ht="27" customHeight="1" x14ac:dyDescent="0.25">
      <c r="A117" s="464" t="s">
        <v>2080</v>
      </c>
      <c r="B117" s="557" t="s">
        <v>1672</v>
      </c>
      <c r="C117" s="617"/>
      <c r="D117" s="116"/>
      <c r="E117" s="135" t="s">
        <v>1085</v>
      </c>
      <c r="F117" s="117"/>
      <c r="G117" s="440">
        <v>36493</v>
      </c>
      <c r="H117" s="47"/>
      <c r="I117" s="47">
        <f>Table2726731436383210271164102[[#This Row],[FY2024-2025 BUDGET]]+Table2726731436383210271164102[[#This Row],[ADDITIONAL REVENUE ]]</f>
        <v>36493</v>
      </c>
      <c r="J117" s="47">
        <v>36493</v>
      </c>
      <c r="K117" s="47">
        <v>0</v>
      </c>
      <c r="L117" s="441">
        <f>Table2726731436383210271164102[[#This Row],[EXPENDED ]]+Table2726731436383210271164102[[#This Row],[ENCUMBERED]]</f>
        <v>36493</v>
      </c>
      <c r="M117" s="441">
        <f>Table2726731436383210271164102[[#This Row],[FORECAST]]-Table2726731436383210271164102[[#This Row],[TOTAL YTD]]</f>
        <v>0</v>
      </c>
      <c r="N117" s="745">
        <f>Table2726731436383210271164102[[#This Row],[TOTAL YTD]]/Table2726731436383210271164102[[#This Row],[FINAL BUDGET]]</f>
        <v>1</v>
      </c>
      <c r="O117" s="47">
        <f>Table2726731436383210271164102[[#This Row],[FINAL BUDGET]]</f>
        <v>36493</v>
      </c>
      <c r="P117" s="802">
        <f t="shared" si="2"/>
        <v>0</v>
      </c>
      <c r="Q117" s="16" t="s">
        <v>1826</v>
      </c>
      <c r="R117" s="805"/>
    </row>
    <row r="118" spans="1:24" ht="19.5" customHeight="1" x14ac:dyDescent="0.25">
      <c r="A118" s="464" t="s">
        <v>2252</v>
      </c>
      <c r="B118" s="557" t="s">
        <v>1672</v>
      </c>
      <c r="C118" s="617"/>
      <c r="D118" s="116"/>
      <c r="E118" s="135" t="s">
        <v>1085</v>
      </c>
      <c r="F118" s="117"/>
      <c r="G118" s="440">
        <v>142500</v>
      </c>
      <c r="H118" s="47"/>
      <c r="I118" s="47">
        <f>Table2726731436383210271164102[[#This Row],[FY2024-2025 BUDGET]]+Table2726731436383210271164102[[#This Row],[ADDITIONAL REVENUE ]]</f>
        <v>142500</v>
      </c>
      <c r="J118" s="47"/>
      <c r="K118" s="47">
        <v>0</v>
      </c>
      <c r="L118" s="441">
        <f>Table2726731436383210271164102[[#This Row],[EXPENDED ]]+Table2726731436383210271164102[[#This Row],[ENCUMBERED]]</f>
        <v>0</v>
      </c>
      <c r="M118" s="441">
        <f>Table2726731436383210271164102[[#This Row],[FORECAST]]-Table2726731436383210271164102[[#This Row],[TOTAL YTD]]</f>
        <v>142500</v>
      </c>
      <c r="N118" s="745">
        <f>Table2726731436383210271164102[[#This Row],[TOTAL YTD]]/Table2726731436383210271164102[[#This Row],[FINAL BUDGET]]</f>
        <v>0</v>
      </c>
      <c r="O118" s="47">
        <f>Table2726731436383210271164102[[#This Row],[FINAL BUDGET]]</f>
        <v>142500</v>
      </c>
      <c r="P118" s="802">
        <f t="shared" si="2"/>
        <v>0</v>
      </c>
      <c r="Q118" s="16" t="s">
        <v>1807</v>
      </c>
      <c r="R118" s="805"/>
    </row>
    <row r="119" spans="1:24" ht="23.25" customHeight="1" x14ac:dyDescent="0.25">
      <c r="A119" s="464" t="s">
        <v>2081</v>
      </c>
      <c r="B119" s="557" t="s">
        <v>1672</v>
      </c>
      <c r="C119" s="617"/>
      <c r="D119" s="116"/>
      <c r="E119" s="135" t="s">
        <v>1085</v>
      </c>
      <c r="F119" s="117"/>
      <c r="G119" s="440">
        <v>52667</v>
      </c>
      <c r="H119" s="47"/>
      <c r="I119" s="47">
        <f>Table2726731436383210271164102[[#This Row],[FY2024-2025 BUDGET]]+Table2726731436383210271164102[[#This Row],[ADDITIONAL REVENUE ]]</f>
        <v>52667</v>
      </c>
      <c r="J119" s="47">
        <v>52666.8</v>
      </c>
      <c r="K119" s="47">
        <v>0</v>
      </c>
      <c r="L119" s="441">
        <f>Table2726731436383210271164102[[#This Row],[EXPENDED ]]+Table2726731436383210271164102[[#This Row],[ENCUMBERED]]</f>
        <v>52666.8</v>
      </c>
      <c r="M119" s="441">
        <f>Table2726731436383210271164102[[#This Row],[FORECAST]]-Table2726731436383210271164102[[#This Row],[TOTAL YTD]]</f>
        <v>0.19999999999708962</v>
      </c>
      <c r="N119" s="745">
        <f>Table2726731436383210271164102[[#This Row],[TOTAL YTD]]/Table2726731436383210271164102[[#This Row],[FINAL BUDGET]]</f>
        <v>0.99999620255568011</v>
      </c>
      <c r="O119" s="47">
        <f>Table2726731436383210271164102[[#This Row],[FINAL BUDGET]]</f>
        <v>52667</v>
      </c>
      <c r="P119" s="802">
        <f t="shared" si="2"/>
        <v>0</v>
      </c>
      <c r="Q119" s="16" t="s">
        <v>1826</v>
      </c>
      <c r="R119" s="805"/>
    </row>
    <row r="120" spans="1:24" ht="19.5" customHeight="1" x14ac:dyDescent="0.25">
      <c r="A120" s="464" t="s">
        <v>2253</v>
      </c>
      <c r="B120" s="557" t="s">
        <v>1672</v>
      </c>
      <c r="C120" s="617"/>
      <c r="D120" s="116"/>
      <c r="E120" s="135" t="s">
        <v>1085</v>
      </c>
      <c r="F120" s="117"/>
      <c r="G120" s="440">
        <v>150000</v>
      </c>
      <c r="H120" s="47"/>
      <c r="I120" s="47">
        <f>Table2726731436383210271164102[[#This Row],[FY2024-2025 BUDGET]]+Table2726731436383210271164102[[#This Row],[ADDITIONAL REVENUE ]]</f>
        <v>150000</v>
      </c>
      <c r="J120" s="47">
        <v>0</v>
      </c>
      <c r="K120" s="47">
        <v>0</v>
      </c>
      <c r="L120" s="441">
        <f>Table2726731436383210271164102[[#This Row],[EXPENDED ]]+Table2726731436383210271164102[[#This Row],[ENCUMBERED]]</f>
        <v>0</v>
      </c>
      <c r="M120" s="441">
        <f>Table2726731436383210271164102[[#This Row],[FORECAST]]-Table2726731436383210271164102[[#This Row],[TOTAL YTD]]</f>
        <v>150000</v>
      </c>
      <c r="N120" s="745">
        <f>Table2726731436383210271164102[[#This Row],[TOTAL YTD]]/Table2726731436383210271164102[[#This Row],[FINAL BUDGET]]</f>
        <v>0</v>
      </c>
      <c r="O120" s="47">
        <f>Table2726731436383210271164102[[#This Row],[FINAL BUDGET]]</f>
        <v>150000</v>
      </c>
      <c r="P120" s="802">
        <f t="shared" si="2"/>
        <v>0</v>
      </c>
      <c r="Q120" s="16" t="s">
        <v>1807</v>
      </c>
      <c r="R120" s="805"/>
    </row>
    <row r="121" spans="1:24" s="24" customFormat="1" ht="19.5" customHeight="1" x14ac:dyDescent="0.25">
      <c r="A121" s="464" t="s">
        <v>1907</v>
      </c>
      <c r="B121" s="557" t="s">
        <v>1697</v>
      </c>
      <c r="C121" s="617"/>
      <c r="D121" s="116"/>
      <c r="E121" s="135" t="s">
        <v>1085</v>
      </c>
      <c r="F121" s="117"/>
      <c r="G121" s="439">
        <v>134048</v>
      </c>
      <c r="H121" s="47"/>
      <c r="I121" s="47">
        <f>Table2726731436383210271164102[[#This Row],[FY2024-2025 BUDGET]]+Table2726731436383210271164102[[#This Row],[ADDITIONAL REVENUE ]]</f>
        <v>134048</v>
      </c>
      <c r="J121" s="47">
        <v>46248.34</v>
      </c>
      <c r="K121" s="708">
        <v>738.72</v>
      </c>
      <c r="L121" s="441">
        <f>Table2726731436383210271164102[[#This Row],[EXPENDED ]]+Table2726731436383210271164102[[#This Row],[ENCUMBERED]]</f>
        <v>46987.06</v>
      </c>
      <c r="M121" s="441">
        <f>Table2726731436383210271164102[[#This Row],[FORECAST]]-Table2726731436383210271164102[[#This Row],[TOTAL YTD]]</f>
        <v>87060.94</v>
      </c>
      <c r="N121" s="745">
        <f>Table2726731436383210271164102[[#This Row],[TOTAL YTD]]/Table2726731436383210271164102[[#This Row],[FINAL BUDGET]]</f>
        <v>0.35052414060634995</v>
      </c>
      <c r="O121" s="47">
        <f>Table2726731436383210271164102[[#This Row],[FINAL BUDGET]]</f>
        <v>134048</v>
      </c>
      <c r="P121" s="802">
        <f t="shared" si="2"/>
        <v>0</v>
      </c>
      <c r="Q121" s="16" t="s">
        <v>2138</v>
      </c>
      <c r="R121" s="821" t="s">
        <v>2254</v>
      </c>
      <c r="S121" s="1"/>
      <c r="T121" s="114"/>
      <c r="U121" s="114"/>
      <c r="V121" s="114"/>
      <c r="W121" s="114"/>
      <c r="X121" s="114"/>
    </row>
    <row r="122" spans="1:24" s="24" customFormat="1" ht="19.5" customHeight="1" x14ac:dyDescent="0.25">
      <c r="A122" s="464" t="s">
        <v>2255</v>
      </c>
      <c r="B122" s="557" t="s">
        <v>1109</v>
      </c>
      <c r="C122" s="617"/>
      <c r="D122" s="116"/>
      <c r="E122" s="135" t="s">
        <v>1085</v>
      </c>
      <c r="F122" s="117"/>
      <c r="G122" s="440">
        <v>728908</v>
      </c>
      <c r="H122" s="47"/>
      <c r="I122" s="47">
        <f>Table2726731436383210271164102[[#This Row],[FY2024-2025 BUDGET]]+Table2726731436383210271164102[[#This Row],[ADDITIONAL REVENUE ]]</f>
        <v>728908</v>
      </c>
      <c r="J122" s="47">
        <v>89338.89</v>
      </c>
      <c r="K122" s="47">
        <v>0</v>
      </c>
      <c r="L122" s="441">
        <f>Table2726731436383210271164102[[#This Row],[EXPENDED ]]+Table2726731436383210271164102[[#This Row],[ENCUMBERED]]</f>
        <v>89338.89</v>
      </c>
      <c r="M122" s="441">
        <f>Table2726731436383210271164102[[#This Row],[FORECAST]]-Table2726731436383210271164102[[#This Row],[TOTAL YTD]]</f>
        <v>639569.11</v>
      </c>
      <c r="N122" s="745">
        <f>Table2726731436383210271164102[[#This Row],[TOTAL YTD]]/Table2726731436383210271164102[[#This Row],[FINAL BUDGET]]</f>
        <v>0.12256538548074654</v>
      </c>
      <c r="O122" s="47">
        <f>Table2726731436383210271164102[[#This Row],[FINAL BUDGET]]</f>
        <v>728908</v>
      </c>
      <c r="P122" s="802">
        <f t="shared" si="2"/>
        <v>0</v>
      </c>
      <c r="Q122" s="16" t="s">
        <v>2166</v>
      </c>
      <c r="R122" s="821" t="s">
        <v>2256</v>
      </c>
      <c r="S122" s="1"/>
      <c r="T122" s="114"/>
      <c r="U122" s="114"/>
      <c r="V122" s="114"/>
      <c r="W122" s="114"/>
      <c r="X122" s="114"/>
    </row>
    <row r="123" spans="1:24" s="24" customFormat="1" ht="19.5" customHeight="1" x14ac:dyDescent="0.25">
      <c r="A123" s="746">
        <v>24103</v>
      </c>
      <c r="B123" s="557" t="s">
        <v>1110</v>
      </c>
      <c r="C123" s="429"/>
      <c r="D123" s="116"/>
      <c r="E123" s="135" t="s">
        <v>1085</v>
      </c>
      <c r="F123" s="117"/>
      <c r="G123" s="440">
        <v>30000</v>
      </c>
      <c r="H123" s="47"/>
      <c r="I123" s="47">
        <f>Table2726731436383210271164102[[#This Row],[FY2024-2025 BUDGET]]+Table2726731436383210271164102[[#This Row],[ADDITIONAL REVENUE ]]</f>
        <v>30000</v>
      </c>
      <c r="J123" s="47">
        <v>340.87</v>
      </c>
      <c r="K123" s="47">
        <v>330.8</v>
      </c>
      <c r="L123" s="441">
        <f>Table2726731436383210271164102[[#This Row],[EXPENDED ]]+Table2726731436383210271164102[[#This Row],[ENCUMBERED]]</f>
        <v>671.67000000000007</v>
      </c>
      <c r="M123" s="550">
        <f>Table2726731436383210271164102[[#This Row],[FORECAST]]-Table2726731436383210271164102[[#This Row],[TOTAL YTD]]</f>
        <v>29328.33</v>
      </c>
      <c r="N123" s="745">
        <f>Table2726731436383210271164102[[#This Row],[TOTAL YTD]]/Table2726731436383210271164102[[#This Row],[FINAL BUDGET]]</f>
        <v>2.2389000000000003E-2</v>
      </c>
      <c r="O123" s="47">
        <f>Table2726731436383210271164102[[#This Row],[FINAL BUDGET]]</f>
        <v>30000</v>
      </c>
      <c r="P123" s="802">
        <f t="shared" si="2"/>
        <v>0</v>
      </c>
      <c r="Q123" s="16" t="s">
        <v>2138</v>
      </c>
      <c r="R123" s="805"/>
      <c r="S123" s="114"/>
      <c r="T123" s="114"/>
      <c r="U123" s="114"/>
      <c r="V123" s="114"/>
      <c r="W123" s="114"/>
      <c r="X123" s="114"/>
    </row>
    <row r="124" spans="1:24" s="24" customFormat="1" ht="19.5" customHeight="1" x14ac:dyDescent="0.25">
      <c r="A124" s="746">
        <v>21105</v>
      </c>
      <c r="B124" s="557" t="s">
        <v>1490</v>
      </c>
      <c r="C124" s="429"/>
      <c r="D124" s="116"/>
      <c r="E124" s="135"/>
      <c r="F124" s="117" t="s">
        <v>1085</v>
      </c>
      <c r="G124" s="439">
        <v>4562</v>
      </c>
      <c r="H124" s="441"/>
      <c r="I124" s="47">
        <f>Table2726731436383210271164102[[#This Row],[FY2024-2025 BUDGET]]+Table2726731436383210271164102[[#This Row],[ADDITIONAL REVENUE ]]</f>
        <v>4562</v>
      </c>
      <c r="J124" s="47">
        <v>0</v>
      </c>
      <c r="K124" s="708">
        <v>0</v>
      </c>
      <c r="L124" s="441">
        <f>Table2726731436383210271164102[[#This Row],[EXPENDED ]]+Table2726731436383210271164102[[#This Row],[ENCUMBERED]]</f>
        <v>0</v>
      </c>
      <c r="M124" s="441">
        <f>Table2726731436383210271164102[[#This Row],[FORECAST]]-Table2726731436383210271164102[[#This Row],[TOTAL YTD]]</f>
        <v>4562</v>
      </c>
      <c r="N124" s="745">
        <f>Table2726731436383210271164102[[#This Row],[TOTAL YTD]]/Table2726731436383210271164102[[#This Row],[FINAL BUDGET]]</f>
        <v>0</v>
      </c>
      <c r="O124" s="47">
        <f>Table2726731436383210271164102[[#This Row],[FINAL BUDGET]]</f>
        <v>4562</v>
      </c>
      <c r="P124" s="802">
        <f t="shared" si="2"/>
        <v>0</v>
      </c>
      <c r="Q124" s="16"/>
      <c r="R124" s="821"/>
      <c r="S124" s="114"/>
      <c r="T124" s="114"/>
      <c r="U124" s="114"/>
      <c r="V124" s="114"/>
      <c r="W124" s="114"/>
      <c r="X124" s="114"/>
    </row>
    <row r="125" spans="1:24" s="24" customFormat="1" ht="19.5" customHeight="1" x14ac:dyDescent="0.25">
      <c r="A125" s="746">
        <v>20106</v>
      </c>
      <c r="B125" s="557" t="s">
        <v>1413</v>
      </c>
      <c r="C125" s="429"/>
      <c r="D125" s="116"/>
      <c r="E125" s="135"/>
      <c r="F125" s="117" t="s">
        <v>1085</v>
      </c>
      <c r="G125" s="439">
        <v>4989</v>
      </c>
      <c r="H125" s="441"/>
      <c r="I125" s="47">
        <f>Table2726731436383210271164102[[#This Row],[FY2024-2025 BUDGET]]+Table2726731436383210271164102[[#This Row],[ADDITIONAL REVENUE ]]</f>
        <v>4989</v>
      </c>
      <c r="J125" s="47">
        <v>0</v>
      </c>
      <c r="K125" s="708">
        <v>0</v>
      </c>
      <c r="L125" s="441">
        <f>Table2726731436383210271164102[[#This Row],[EXPENDED ]]+Table2726731436383210271164102[[#This Row],[ENCUMBERED]]</f>
        <v>0</v>
      </c>
      <c r="M125" s="441">
        <f>Table2726731436383210271164102[[#This Row],[FORECAST]]-Table2726731436383210271164102[[#This Row],[TOTAL YTD]]</f>
        <v>4989</v>
      </c>
      <c r="N125" s="745">
        <f>Table2726731436383210271164102[[#This Row],[TOTAL YTD]]/Table2726731436383210271164102[[#This Row],[FINAL BUDGET]]</f>
        <v>0</v>
      </c>
      <c r="O125" s="47">
        <f>Table2726731436383210271164102[[#This Row],[FINAL BUDGET]]</f>
        <v>4989</v>
      </c>
      <c r="P125" s="802">
        <f t="shared" si="2"/>
        <v>0</v>
      </c>
      <c r="Q125" s="16"/>
      <c r="R125" s="805"/>
      <c r="S125" s="114"/>
      <c r="T125" s="114"/>
      <c r="U125" s="114"/>
      <c r="V125" s="114"/>
      <c r="W125" s="114"/>
      <c r="X125" s="114"/>
    </row>
    <row r="126" spans="1:24" s="24" customFormat="1" ht="19.5" customHeight="1" x14ac:dyDescent="0.25">
      <c r="A126" s="746">
        <v>21106</v>
      </c>
      <c r="B126" s="557" t="s">
        <v>1512</v>
      </c>
      <c r="C126" s="429"/>
      <c r="D126" s="116"/>
      <c r="E126" s="135"/>
      <c r="F126" s="117" t="s">
        <v>1085</v>
      </c>
      <c r="G126" s="439">
        <v>12757</v>
      </c>
      <c r="H126" s="441"/>
      <c r="I126" s="47">
        <f>Table2726731436383210271164102[[#This Row],[FY2024-2025 BUDGET]]+Table2726731436383210271164102[[#This Row],[ADDITIONAL REVENUE ]]</f>
        <v>12757</v>
      </c>
      <c r="J126" s="47">
        <v>5612.25</v>
      </c>
      <c r="K126" s="708">
        <v>0</v>
      </c>
      <c r="L126" s="441">
        <f>Table2726731436383210271164102[[#This Row],[EXPENDED ]]+Table2726731436383210271164102[[#This Row],[ENCUMBERED]]</f>
        <v>5612.25</v>
      </c>
      <c r="M126" s="441">
        <f>Table2726731436383210271164102[[#This Row],[FORECAST]]-Table2726731436383210271164102[[#This Row],[TOTAL YTD]]</f>
        <v>7144.75</v>
      </c>
      <c r="N126" s="745">
        <f>Table2726731436383210271164102[[#This Row],[TOTAL YTD]]/Table2726731436383210271164102[[#This Row],[FINAL BUDGET]]</f>
        <v>0.43993493768127301</v>
      </c>
      <c r="O126" s="47">
        <f>Table2726731436383210271164102[[#This Row],[FINAL BUDGET]]</f>
        <v>12757</v>
      </c>
      <c r="P126" s="802">
        <f t="shared" si="2"/>
        <v>0</v>
      </c>
      <c r="Q126" s="16"/>
      <c r="R126" s="805"/>
      <c r="S126" s="114"/>
      <c r="T126" s="114"/>
      <c r="U126" s="114"/>
      <c r="V126" s="114"/>
      <c r="W126" s="114"/>
      <c r="X126" s="114"/>
    </row>
    <row r="127" spans="1:24" s="24" customFormat="1" ht="19.5" customHeight="1" x14ac:dyDescent="0.25">
      <c r="A127" s="746">
        <v>23106</v>
      </c>
      <c r="B127" s="557" t="s">
        <v>1797</v>
      </c>
      <c r="C127" s="429"/>
      <c r="D127" s="116"/>
      <c r="E127" s="135"/>
      <c r="F127" s="117" t="s">
        <v>1085</v>
      </c>
      <c r="G127" s="439">
        <v>9175</v>
      </c>
      <c r="H127" s="441"/>
      <c r="I127" s="47">
        <f>Table2726731436383210271164102[[#This Row],[FY2024-2025 BUDGET]]+Table2726731436383210271164102[[#This Row],[ADDITIONAL REVENUE ]]</f>
        <v>9175</v>
      </c>
      <c r="J127" s="47">
        <v>0</v>
      </c>
      <c r="K127" s="708">
        <v>0</v>
      </c>
      <c r="L127" s="441">
        <f>Table2726731436383210271164102[[#This Row],[EXPENDED ]]+Table2726731436383210271164102[[#This Row],[ENCUMBERED]]</f>
        <v>0</v>
      </c>
      <c r="M127" s="441">
        <f>Table2726731436383210271164102[[#This Row],[FORECAST]]-Table2726731436383210271164102[[#This Row],[TOTAL YTD]]</f>
        <v>9175</v>
      </c>
      <c r="N127" s="745">
        <f>Table2726731436383210271164102[[#This Row],[TOTAL YTD]]/Table2726731436383210271164102[[#This Row],[FINAL BUDGET]]</f>
        <v>0</v>
      </c>
      <c r="O127" s="47">
        <f>Table2726731436383210271164102[[#This Row],[FINAL BUDGET]]</f>
        <v>9175</v>
      </c>
      <c r="P127" s="802">
        <f t="shared" si="2"/>
        <v>0</v>
      </c>
      <c r="Q127" s="16"/>
      <c r="R127" s="805"/>
      <c r="S127" s="114"/>
      <c r="T127" s="114"/>
      <c r="U127" s="114"/>
      <c r="V127" s="114"/>
      <c r="W127" s="114"/>
      <c r="X127" s="114"/>
    </row>
    <row r="128" spans="1:24" s="24" customFormat="1" ht="19.5" customHeight="1" x14ac:dyDescent="0.25">
      <c r="A128" s="746">
        <v>24106</v>
      </c>
      <c r="B128" s="557" t="s">
        <v>1797</v>
      </c>
      <c r="C128" s="429"/>
      <c r="D128" s="116"/>
      <c r="E128" s="135"/>
      <c r="F128" s="117" t="s">
        <v>1085</v>
      </c>
      <c r="G128" s="440">
        <v>33124</v>
      </c>
      <c r="H128" s="47"/>
      <c r="I128" s="47">
        <f>Table2726731436383210271164102[[#This Row],[FY2024-2025 BUDGET]]+Table2726731436383210271164102[[#This Row],[ADDITIONAL REVENUE ]]</f>
        <v>33124</v>
      </c>
      <c r="J128" s="47">
        <v>0</v>
      </c>
      <c r="K128" s="47">
        <v>0</v>
      </c>
      <c r="L128" s="441">
        <f>Table2726731436383210271164102[[#This Row],[EXPENDED ]]+Table2726731436383210271164102[[#This Row],[ENCUMBERED]]</f>
        <v>0</v>
      </c>
      <c r="M128" s="441">
        <f>Table2726731436383210271164102[[#This Row],[FORECAST]]-Table2726731436383210271164102[[#This Row],[TOTAL YTD]]</f>
        <v>33124</v>
      </c>
      <c r="N128" s="745">
        <f>Table2726731436383210271164102[[#This Row],[TOTAL YTD]]/Table2726731436383210271164102[[#This Row],[FINAL BUDGET]]</f>
        <v>0</v>
      </c>
      <c r="O128" s="47">
        <f>Table2726731436383210271164102[[#This Row],[FINAL BUDGET]]</f>
        <v>33124</v>
      </c>
      <c r="P128" s="802">
        <f t="shared" si="2"/>
        <v>0</v>
      </c>
      <c r="Q128" s="16"/>
      <c r="R128" s="805"/>
      <c r="S128" s="114"/>
      <c r="T128" s="114"/>
      <c r="U128" s="114"/>
      <c r="V128" s="114"/>
      <c r="W128" s="114"/>
      <c r="X128" s="114"/>
    </row>
    <row r="129" spans="1:24" s="24" customFormat="1" ht="19.5" customHeight="1" x14ac:dyDescent="0.25">
      <c r="A129" s="746">
        <v>21108</v>
      </c>
      <c r="B129" s="557" t="s">
        <v>1525</v>
      </c>
      <c r="C129" s="21"/>
      <c r="D129" s="116"/>
      <c r="E129" s="135"/>
      <c r="F129" s="117" t="s">
        <v>1085</v>
      </c>
      <c r="G129" s="439">
        <v>82438</v>
      </c>
      <c r="H129" s="441"/>
      <c r="I129" s="47">
        <f>Table2726731436383210271164102[[#This Row],[FY2024-2025 BUDGET]]+Table2726731436383210271164102[[#This Row],[ADDITIONAL REVENUE ]]</f>
        <v>82438</v>
      </c>
      <c r="J129" s="47">
        <v>0</v>
      </c>
      <c r="K129" s="708">
        <v>12565.6</v>
      </c>
      <c r="L129" s="441">
        <f>Table2726731436383210271164102[[#This Row],[EXPENDED ]]+Table2726731436383210271164102[[#This Row],[ENCUMBERED]]</f>
        <v>12565.6</v>
      </c>
      <c r="M129" s="441">
        <f>Table2726731436383210271164102[[#This Row],[FORECAST]]-Table2726731436383210271164102[[#This Row],[TOTAL YTD]]</f>
        <v>69872.399999999994</v>
      </c>
      <c r="N129" s="745">
        <f>Table2726731436383210271164102[[#This Row],[TOTAL YTD]]/Table2726731436383210271164102[[#This Row],[FINAL BUDGET]]</f>
        <v>0.15242485261651181</v>
      </c>
      <c r="O129" s="47">
        <f>Table2726731436383210271164102[[#This Row],[FINAL BUDGET]]</f>
        <v>82438</v>
      </c>
      <c r="P129" s="802">
        <f t="shared" si="2"/>
        <v>0</v>
      </c>
      <c r="Q129" s="16"/>
      <c r="R129" s="805"/>
      <c r="S129" s="114"/>
      <c r="T129" s="114"/>
      <c r="U129" s="114"/>
      <c r="V129" s="114"/>
      <c r="W129" s="114"/>
      <c r="X129" s="114"/>
    </row>
    <row r="130" spans="1:24" s="24" customFormat="1" ht="19.5" customHeight="1" x14ac:dyDescent="0.25">
      <c r="A130" s="746">
        <v>17109</v>
      </c>
      <c r="B130" s="557" t="s">
        <v>1112</v>
      </c>
      <c r="C130" s="21">
        <v>861</v>
      </c>
      <c r="D130" s="116"/>
      <c r="E130" s="135"/>
      <c r="F130" s="117" t="s">
        <v>1085</v>
      </c>
      <c r="G130" s="439">
        <v>84</v>
      </c>
      <c r="H130" s="441"/>
      <c r="I130" s="47">
        <f>Table2726731436383210271164102[[#This Row],[FY2024-2025 BUDGET]]+Table2726731436383210271164102[[#This Row],[ADDITIONAL REVENUE ]]</f>
        <v>84</v>
      </c>
      <c r="J130" s="47">
        <v>0</v>
      </c>
      <c r="K130" s="708">
        <v>0</v>
      </c>
      <c r="L130" s="441">
        <f>Table2726731436383210271164102[[#This Row],[EXPENDED ]]+Table2726731436383210271164102[[#This Row],[ENCUMBERED]]</f>
        <v>0</v>
      </c>
      <c r="M130" s="441">
        <f>Table2726731436383210271164102[[#This Row],[FORECAST]]-Table2726731436383210271164102[[#This Row],[TOTAL YTD]]</f>
        <v>84</v>
      </c>
      <c r="N130" s="745">
        <f>Table2726731436383210271164102[[#This Row],[TOTAL YTD]]/Table2726731436383210271164102[[#This Row],[FINAL BUDGET]]</f>
        <v>0</v>
      </c>
      <c r="O130" s="47">
        <f>Table2726731436383210271164102[[#This Row],[FINAL BUDGET]]</f>
        <v>84</v>
      </c>
      <c r="P130" s="802">
        <f t="shared" si="2"/>
        <v>0</v>
      </c>
      <c r="Q130" s="16"/>
      <c r="R130" s="805"/>
      <c r="S130" s="114"/>
      <c r="T130" s="114"/>
      <c r="U130" s="114"/>
      <c r="V130" s="114"/>
      <c r="W130" s="114"/>
      <c r="X130" s="114"/>
    </row>
    <row r="131" spans="1:24" s="24" customFormat="1" ht="23.25" customHeight="1" x14ac:dyDescent="0.25">
      <c r="A131" s="746">
        <v>24109</v>
      </c>
      <c r="B131" s="557" t="s">
        <v>2169</v>
      </c>
      <c r="C131" s="617"/>
      <c r="D131" s="116"/>
      <c r="E131" s="135"/>
      <c r="F131" s="117" t="s">
        <v>1085</v>
      </c>
      <c r="G131" s="440">
        <v>15000</v>
      </c>
      <c r="H131" s="47"/>
      <c r="I131" s="47">
        <f>Table2726731436383210271164102[[#This Row],[FY2024-2025 BUDGET]]+Table2726731436383210271164102[[#This Row],[ADDITIONAL REVENUE ]]</f>
        <v>15000</v>
      </c>
      <c r="J131" s="47">
        <v>0</v>
      </c>
      <c r="K131" s="47">
        <v>0</v>
      </c>
      <c r="L131" s="441">
        <f>Table2726731436383210271164102[[#This Row],[EXPENDED ]]+Table2726731436383210271164102[[#This Row],[ENCUMBERED]]</f>
        <v>0</v>
      </c>
      <c r="M131" s="441">
        <f>Table2726731436383210271164102[[#This Row],[FORECAST]]-Table2726731436383210271164102[[#This Row],[TOTAL YTD]]</f>
        <v>15000</v>
      </c>
      <c r="N131" s="745">
        <f>Table2726731436383210271164102[[#This Row],[TOTAL YTD]]/Table2726731436383210271164102[[#This Row],[FINAL BUDGET]]</f>
        <v>0</v>
      </c>
      <c r="O131" s="47">
        <f>Table2726731436383210271164102[[#This Row],[FINAL BUDGET]]</f>
        <v>15000</v>
      </c>
      <c r="P131" s="802">
        <f t="shared" si="2"/>
        <v>0</v>
      </c>
      <c r="Q131" s="16"/>
      <c r="R131" s="805"/>
      <c r="S131" s="114"/>
      <c r="T131" s="114"/>
      <c r="U131" s="114"/>
      <c r="V131" s="114"/>
      <c r="W131" s="114"/>
      <c r="X131" s="114"/>
    </row>
    <row r="132" spans="1:24" s="24" customFormat="1" ht="23.25" customHeight="1" x14ac:dyDescent="0.25">
      <c r="A132" s="746">
        <v>25109</v>
      </c>
      <c r="B132" s="557" t="s">
        <v>2169</v>
      </c>
      <c r="C132" s="617"/>
      <c r="D132" s="116"/>
      <c r="E132" s="135"/>
      <c r="F132" s="117" t="s">
        <v>1085</v>
      </c>
      <c r="G132" s="440">
        <v>13500</v>
      </c>
      <c r="H132" s="47"/>
      <c r="I132" s="47">
        <v>0</v>
      </c>
      <c r="J132" s="47">
        <v>0</v>
      </c>
      <c r="K132" s="47">
        <v>0</v>
      </c>
      <c r="L132" s="441">
        <f>Table2726731436383210271164102[[#This Row],[EXPENDED ]]+Table2726731436383210271164102[[#This Row],[ENCUMBERED]]</f>
        <v>0</v>
      </c>
      <c r="M132" s="441">
        <f>Table2726731436383210271164102[[#This Row],[FORECAST]]-Table2726731436383210271164102[[#This Row],[TOTAL YTD]]</f>
        <v>0</v>
      </c>
      <c r="N132" s="745">
        <v>0</v>
      </c>
      <c r="O132" s="47">
        <f>Table2726731436383210271164102[[#This Row],[FINAL BUDGET]]</f>
        <v>0</v>
      </c>
      <c r="P132" s="802">
        <f t="shared" si="2"/>
        <v>0</v>
      </c>
      <c r="Q132" s="16"/>
      <c r="R132" s="805"/>
      <c r="S132" s="114"/>
      <c r="T132" s="114"/>
      <c r="U132" s="114"/>
      <c r="V132" s="114"/>
      <c r="W132" s="114"/>
      <c r="X132" s="114"/>
    </row>
    <row r="133" spans="1:24" s="555" customFormat="1" ht="19.5" customHeight="1" x14ac:dyDescent="0.25">
      <c r="A133" s="746">
        <v>24110</v>
      </c>
      <c r="B133" s="557" t="s">
        <v>1701</v>
      </c>
      <c r="C133" s="21"/>
      <c r="D133" s="117"/>
      <c r="E133" s="116" t="s">
        <v>1085</v>
      </c>
      <c r="F133" s="117"/>
      <c r="G133" s="439">
        <v>1119117</v>
      </c>
      <c r="H133" s="47"/>
      <c r="I133" s="47">
        <f>Table2726731436383210271164102[[#This Row],[FY2024-2025 BUDGET]]+Table2726731436383210271164102[[#This Row],[ADDITIONAL REVENUE ]]</f>
        <v>1119117</v>
      </c>
      <c r="J133" s="47">
        <v>412164.4</v>
      </c>
      <c r="K133" s="708">
        <v>15150</v>
      </c>
      <c r="L133" s="441">
        <f>Table2726731436383210271164102[[#This Row],[EXPENDED ]]+Table2726731436383210271164102[[#This Row],[ENCUMBERED]]</f>
        <v>427314.4</v>
      </c>
      <c r="M133" s="441">
        <f>Table2726731436383210271164102[[#This Row],[FORECAST]]-Table2726731436383210271164102[[#This Row],[TOTAL YTD]]</f>
        <v>691802.6</v>
      </c>
      <c r="N133" s="745">
        <f>Table2726731436383210271164102[[#This Row],[TOTAL YTD]]/Table2726731436383210271164102[[#This Row],[FINAL BUDGET]]</f>
        <v>0.38183174770823786</v>
      </c>
      <c r="O133" s="47">
        <f>Table2726731436383210271164102[[#This Row],[FINAL BUDGET]]</f>
        <v>1119117</v>
      </c>
      <c r="P133" s="802">
        <f t="shared" si="2"/>
        <v>0</v>
      </c>
      <c r="Q133" s="16" t="s">
        <v>2166</v>
      </c>
      <c r="R133" s="827" t="s">
        <v>1927</v>
      </c>
      <c r="S133" s="114"/>
      <c r="T133" s="114"/>
      <c r="U133" s="114"/>
      <c r="V133" s="114"/>
      <c r="W133" s="114"/>
      <c r="X133" s="114"/>
    </row>
    <row r="134" spans="1:24" s="555" customFormat="1" ht="19.5" customHeight="1" x14ac:dyDescent="0.25">
      <c r="A134" s="746">
        <v>25110</v>
      </c>
      <c r="B134" s="557" t="s">
        <v>1711</v>
      </c>
      <c r="C134" s="21"/>
      <c r="D134" s="117"/>
      <c r="E134" s="116" t="s">
        <v>1085</v>
      </c>
      <c r="F134" s="117"/>
      <c r="G134" s="439">
        <v>6268675</v>
      </c>
      <c r="H134" s="47"/>
      <c r="I134" s="47">
        <f>Table2726731436383210271164102[[#This Row],[FY2024-2025 BUDGET]]+Table2726731436383210271164102[[#This Row],[ADDITIONAL REVENUE ]]</f>
        <v>6268675</v>
      </c>
      <c r="J134" s="47">
        <v>1089909.3600000001</v>
      </c>
      <c r="K134" s="708">
        <v>301605.09999999998</v>
      </c>
      <c r="L134" s="441">
        <f>Table2726731436383210271164102[[#This Row],[EXPENDED ]]+Table2726731436383210271164102[[#This Row],[ENCUMBERED]]</f>
        <v>1391514.46</v>
      </c>
      <c r="M134" s="441">
        <f>Table2726731436383210271164102[[#This Row],[FORECAST]]-Table2726731436383210271164102[[#This Row],[TOTAL YTD]]</f>
        <v>4877160.54</v>
      </c>
      <c r="N134" s="745">
        <f>Table2726731436383210271164102[[#This Row],[TOTAL YTD]]/Table2726731436383210271164102[[#This Row],[FINAL BUDGET]]</f>
        <v>0.22197904022779932</v>
      </c>
      <c r="O134" s="47">
        <f>Table2726731436383210271164102[[#This Row],[FINAL BUDGET]]</f>
        <v>6268675</v>
      </c>
      <c r="P134" s="802">
        <f t="shared" si="2"/>
        <v>0</v>
      </c>
      <c r="Q134" s="16" t="s">
        <v>2138</v>
      </c>
      <c r="R134" s="827" t="s">
        <v>2257</v>
      </c>
      <c r="S134" s="114"/>
      <c r="T134" s="114"/>
      <c r="U134" s="114"/>
      <c r="V134" s="114"/>
      <c r="W134" s="114"/>
      <c r="X134" s="114"/>
    </row>
    <row r="135" spans="1:24" s="555" customFormat="1" ht="19.5" customHeight="1" x14ac:dyDescent="0.25">
      <c r="A135" s="746">
        <v>24111</v>
      </c>
      <c r="B135" s="557" t="s">
        <v>2258</v>
      </c>
      <c r="C135" s="21"/>
      <c r="D135" s="554"/>
      <c r="E135" s="116" t="s">
        <v>1085</v>
      </c>
      <c r="F135" s="117"/>
      <c r="G135" s="439">
        <v>39355</v>
      </c>
      <c r="H135" s="47"/>
      <c r="I135" s="47">
        <f>Table2726731436383210271164102[[#This Row],[FY2024-2025 BUDGET]]+Table2726731436383210271164102[[#This Row],[ADDITIONAL REVENUE ]]</f>
        <v>39355</v>
      </c>
      <c r="J135" s="47">
        <v>15679.62</v>
      </c>
      <c r="K135" s="708">
        <v>0</v>
      </c>
      <c r="L135" s="441">
        <f>Table2726731436383210271164102[[#This Row],[EXPENDED ]]+Table2726731436383210271164102[[#This Row],[ENCUMBERED]]</f>
        <v>15679.62</v>
      </c>
      <c r="M135" s="441">
        <f>Table2726731436383210271164102[[#This Row],[FORECAST]]-Table2726731436383210271164102[[#This Row],[TOTAL YTD]]</f>
        <v>23675.379999999997</v>
      </c>
      <c r="N135" s="745">
        <f>Table2726731436383210271164102[[#This Row],[TOTAL YTD]]/Table2726731436383210271164102[[#This Row],[FINAL BUDGET]]</f>
        <v>0.39841494092237328</v>
      </c>
      <c r="O135" s="441">
        <f>Table2726731436383210271164102[[#This Row],[FINAL BUDGET]]</f>
        <v>39355</v>
      </c>
      <c r="P135" s="817">
        <f t="shared" si="2"/>
        <v>0</v>
      </c>
      <c r="Q135" s="16" t="s">
        <v>2166</v>
      </c>
      <c r="R135" s="827"/>
      <c r="S135" s="114"/>
      <c r="T135" s="114"/>
      <c r="U135" s="114"/>
      <c r="V135" s="114"/>
      <c r="W135" s="114"/>
      <c r="X135" s="114"/>
    </row>
    <row r="136" spans="1:24" s="555" customFormat="1" ht="18.75" customHeight="1" x14ac:dyDescent="0.25">
      <c r="A136" s="746">
        <v>25111</v>
      </c>
      <c r="B136" s="557" t="s">
        <v>1113</v>
      </c>
      <c r="C136" s="21"/>
      <c r="D136" s="554"/>
      <c r="E136" s="116" t="s">
        <v>1085</v>
      </c>
      <c r="F136" s="117"/>
      <c r="G136" s="439">
        <v>194743</v>
      </c>
      <c r="H136" s="47"/>
      <c r="I136" s="47">
        <f>Table2726731436383210271164102[[#This Row],[FY2024-2025 BUDGET]]+Table2726731436383210271164102[[#This Row],[ADDITIONAL REVENUE ]]</f>
        <v>194743</v>
      </c>
      <c r="J136" s="47">
        <v>21179.97</v>
      </c>
      <c r="K136" s="708">
        <v>0</v>
      </c>
      <c r="L136" s="441">
        <f>Table2726731436383210271164102[[#This Row],[EXPENDED ]]+Table2726731436383210271164102[[#This Row],[ENCUMBERED]]</f>
        <v>21179.97</v>
      </c>
      <c r="M136" s="441">
        <f>Table2726731436383210271164102[[#This Row],[FORECAST]]-Table2726731436383210271164102[[#This Row],[TOTAL YTD]]</f>
        <v>173563.03</v>
      </c>
      <c r="N136" s="745">
        <f>Table2726731436383210271164102[[#This Row],[TOTAL YTD]]/Table2726731436383210271164102[[#This Row],[FINAL BUDGET]]</f>
        <v>0.10875856898579153</v>
      </c>
      <c r="O136" s="441">
        <f>Table2726731436383210271164102[[#This Row],[FINAL BUDGET]]</f>
        <v>194743</v>
      </c>
      <c r="P136" s="817">
        <f t="shared" si="2"/>
        <v>0</v>
      </c>
      <c r="Q136" s="16" t="s">
        <v>2138</v>
      </c>
      <c r="R136" s="827"/>
      <c r="S136" s="114"/>
      <c r="T136" s="114"/>
      <c r="U136" s="114"/>
      <c r="V136" s="114"/>
      <c r="W136" s="114"/>
      <c r="X136" s="114"/>
    </row>
    <row r="137" spans="1:24" s="555" customFormat="1" ht="19.5" customHeight="1" x14ac:dyDescent="0.25">
      <c r="A137" s="746">
        <v>24112</v>
      </c>
      <c r="B137" s="557" t="s">
        <v>2170</v>
      </c>
      <c r="C137" s="617"/>
      <c r="D137" s="553"/>
      <c r="E137" s="135"/>
      <c r="F137" s="117" t="s">
        <v>1085</v>
      </c>
      <c r="G137" s="440">
        <v>200000</v>
      </c>
      <c r="H137" s="47"/>
      <c r="I137" s="47">
        <f>Table2726731436383210271164102[[#This Row],[FY2024-2025 BUDGET]]+Table2726731436383210271164102[[#This Row],[ADDITIONAL REVENUE ]]</f>
        <v>200000</v>
      </c>
      <c r="J137" s="47">
        <v>2875</v>
      </c>
      <c r="K137" s="47">
        <v>197125</v>
      </c>
      <c r="L137" s="441">
        <f>Table2726731436383210271164102[[#This Row],[EXPENDED ]]+Table2726731436383210271164102[[#This Row],[ENCUMBERED]]</f>
        <v>200000</v>
      </c>
      <c r="M137" s="441">
        <f>Table2726731436383210271164102[[#This Row],[FORECAST]]-Table2726731436383210271164102[[#This Row],[TOTAL YTD]]</f>
        <v>0</v>
      </c>
      <c r="N137" s="745">
        <f>Table2726731436383210271164102[[#This Row],[TOTAL YTD]]/Table2726731436383210271164102[[#This Row],[FINAL BUDGET]]</f>
        <v>1</v>
      </c>
      <c r="O137" s="47">
        <f>Table2726731436383210271164102[[#This Row],[FINAL BUDGET]]</f>
        <v>200000</v>
      </c>
      <c r="P137" s="802">
        <f t="shared" si="2"/>
        <v>0</v>
      </c>
      <c r="Q137" s="820"/>
      <c r="R137" s="827"/>
      <c r="S137" s="114"/>
      <c r="T137" s="114"/>
      <c r="U137" s="114"/>
      <c r="V137" s="114"/>
      <c r="W137" s="114"/>
      <c r="X137" s="114"/>
    </row>
    <row r="138" spans="1:24" s="24" customFormat="1" ht="19.5" customHeight="1" x14ac:dyDescent="0.25">
      <c r="A138" s="746">
        <v>21113</v>
      </c>
      <c r="B138" s="557" t="s">
        <v>1548</v>
      </c>
      <c r="C138" s="429" t="s">
        <v>1603</v>
      </c>
      <c r="D138" s="553"/>
      <c r="E138" s="135"/>
      <c r="F138" s="117" t="s">
        <v>1085</v>
      </c>
      <c r="G138" s="439">
        <v>224504</v>
      </c>
      <c r="H138" s="47"/>
      <c r="I138" s="47">
        <f>Table2726731436383210271164102[[#This Row],[FY2024-2025 BUDGET]]+Table2726731436383210271164102[[#This Row],[ADDITIONAL REVENUE ]]</f>
        <v>224504</v>
      </c>
      <c r="J138" s="47">
        <v>0</v>
      </c>
      <c r="K138" s="708">
        <v>10750</v>
      </c>
      <c r="L138" s="441">
        <f>Table2726731436383210271164102[[#This Row],[EXPENDED ]]+Table2726731436383210271164102[[#This Row],[ENCUMBERED]]</f>
        <v>10750</v>
      </c>
      <c r="M138" s="441">
        <f>Table2726731436383210271164102[[#This Row],[FORECAST]]-Table2726731436383210271164102[[#This Row],[TOTAL YTD]]</f>
        <v>213754</v>
      </c>
      <c r="N138" s="745">
        <f>Table2726731436383210271164102[[#This Row],[TOTAL YTD]]/Table2726731436383210271164102[[#This Row],[FINAL BUDGET]]</f>
        <v>4.788333392723515E-2</v>
      </c>
      <c r="O138" s="47">
        <f>Table2726731436383210271164102[[#This Row],[FINAL BUDGET]]</f>
        <v>224504</v>
      </c>
      <c r="P138" s="802">
        <f t="shared" si="2"/>
        <v>0</v>
      </c>
      <c r="Q138" s="16"/>
      <c r="R138" s="821"/>
      <c r="S138" s="114"/>
      <c r="T138" s="114"/>
      <c r="U138" s="114"/>
      <c r="V138" s="114"/>
      <c r="W138" s="114"/>
      <c r="X138" s="114"/>
    </row>
    <row r="139" spans="1:24" s="24" customFormat="1" ht="19.5" customHeight="1" x14ac:dyDescent="0.25">
      <c r="A139" s="746">
        <v>23113</v>
      </c>
      <c r="B139" s="431" t="s">
        <v>1894</v>
      </c>
      <c r="C139" s="429" t="s">
        <v>1603</v>
      </c>
      <c r="D139" s="553"/>
      <c r="E139" s="135"/>
      <c r="F139" s="117" t="s">
        <v>1085</v>
      </c>
      <c r="G139" s="439"/>
      <c r="H139" s="47"/>
      <c r="I139" s="47">
        <f>Table2726731436383210271164102[[#This Row],[FY2024-2025 BUDGET]]+Table2726731436383210271164102[[#This Row],[ADDITIONAL REVENUE ]]</f>
        <v>0</v>
      </c>
      <c r="J139" s="47"/>
      <c r="K139" s="708"/>
      <c r="L139" s="441">
        <f>Table2726731436383210271164102[[#This Row],[EXPENDED ]]+Table2726731436383210271164102[[#This Row],[ENCUMBERED]]</f>
        <v>0</v>
      </c>
      <c r="M139" s="441">
        <f>Table2726731436383210271164102[[#This Row],[FORECAST]]-Table2726731436383210271164102[[#This Row],[TOTAL YTD]]</f>
        <v>0</v>
      </c>
      <c r="N139" s="745">
        <v>0</v>
      </c>
      <c r="O139" s="47">
        <f>Table2726731436383210271164102[[#This Row],[FINAL BUDGET]]</f>
        <v>0</v>
      </c>
      <c r="P139" s="802">
        <f t="shared" si="2"/>
        <v>0</v>
      </c>
      <c r="Q139" s="16"/>
      <c r="R139" s="821"/>
      <c r="S139" s="114"/>
      <c r="T139" s="114"/>
      <c r="U139" s="114"/>
      <c r="V139" s="114"/>
      <c r="W139" s="114"/>
      <c r="X139" s="114"/>
    </row>
    <row r="140" spans="1:24" s="24" customFormat="1" ht="19.5" customHeight="1" x14ac:dyDescent="0.25">
      <c r="A140" s="746">
        <v>23114</v>
      </c>
      <c r="B140" s="431" t="s">
        <v>1892</v>
      </c>
      <c r="C140" s="429" t="s">
        <v>1603</v>
      </c>
      <c r="D140" s="553"/>
      <c r="E140" s="135"/>
      <c r="F140" s="117" t="s">
        <v>1085</v>
      </c>
      <c r="G140" s="439">
        <v>51087</v>
      </c>
      <c r="H140" s="47"/>
      <c r="I140" s="47">
        <f>Table2726731436383210271164102[[#This Row],[FY2024-2025 BUDGET]]+Table2726731436383210271164102[[#This Row],[ADDITIONAL REVENUE ]]</f>
        <v>51087</v>
      </c>
      <c r="J140" s="47">
        <v>0</v>
      </c>
      <c r="K140" s="708">
        <v>0</v>
      </c>
      <c r="L140" s="441">
        <f>Table2726731436383210271164102[[#This Row],[EXPENDED ]]+Table2726731436383210271164102[[#This Row],[ENCUMBERED]]</f>
        <v>0</v>
      </c>
      <c r="M140" s="441">
        <f>Table2726731436383210271164102[[#This Row],[FORECAST]]-Table2726731436383210271164102[[#This Row],[TOTAL YTD]]</f>
        <v>51087</v>
      </c>
      <c r="N140" s="745">
        <f>Table2726731436383210271164102[[#This Row],[TOTAL YTD]]/Table2726731436383210271164102[[#This Row],[FINAL BUDGET]]</f>
        <v>0</v>
      </c>
      <c r="O140" s="47">
        <f>Table2726731436383210271164102[[#This Row],[FINAL BUDGET]]</f>
        <v>51087</v>
      </c>
      <c r="P140" s="802">
        <f t="shared" si="2"/>
        <v>0</v>
      </c>
      <c r="Q140" s="16"/>
      <c r="R140" s="821"/>
      <c r="S140" s="114"/>
      <c r="T140" s="114"/>
      <c r="U140" s="114"/>
      <c r="V140" s="114"/>
      <c r="W140" s="114"/>
      <c r="X140" s="114"/>
    </row>
    <row r="141" spans="1:24" s="24" customFormat="1" ht="19.5" customHeight="1" x14ac:dyDescent="0.25">
      <c r="A141" s="746">
        <v>18115</v>
      </c>
      <c r="B141" s="557" t="s">
        <v>1115</v>
      </c>
      <c r="C141" s="21">
        <v>842</v>
      </c>
      <c r="D141" s="554"/>
      <c r="E141" s="116"/>
      <c r="F141" s="117" t="s">
        <v>1085</v>
      </c>
      <c r="G141" s="439">
        <v>500</v>
      </c>
      <c r="H141" s="441"/>
      <c r="I141" s="47">
        <f>Table2726731436383210271164102[[#This Row],[FY2024-2025 BUDGET]]+Table2726731436383210271164102[[#This Row],[ADDITIONAL REVENUE ]]</f>
        <v>500</v>
      </c>
      <c r="J141" s="47">
        <v>0</v>
      </c>
      <c r="K141" s="708">
        <v>0</v>
      </c>
      <c r="L141" s="441">
        <f>Table2726731436383210271164102[[#This Row],[EXPENDED ]]+Table2726731436383210271164102[[#This Row],[ENCUMBERED]]</f>
        <v>0</v>
      </c>
      <c r="M141" s="441">
        <f>Table2726731436383210271164102[[#This Row],[FORECAST]]-Table2726731436383210271164102[[#This Row],[TOTAL YTD]]</f>
        <v>500</v>
      </c>
      <c r="N141" s="745">
        <f>Table2726731436383210271164102[[#This Row],[TOTAL YTD]]/Table2726731436383210271164102[[#This Row],[FINAL BUDGET]]</f>
        <v>0</v>
      </c>
      <c r="O141" s="47">
        <f>Table2726731436383210271164102[[#This Row],[FINAL BUDGET]]</f>
        <v>500</v>
      </c>
      <c r="P141" s="802">
        <f t="shared" si="2"/>
        <v>0</v>
      </c>
      <c r="Q141" s="16"/>
      <c r="R141" s="821"/>
      <c r="S141" s="114"/>
      <c r="T141" s="114"/>
      <c r="U141" s="114"/>
      <c r="V141" s="114"/>
      <c r="W141" s="114"/>
      <c r="X141" s="114"/>
    </row>
    <row r="142" spans="1:24" s="24" customFormat="1" ht="19.5" customHeight="1" x14ac:dyDescent="0.25">
      <c r="A142" s="746">
        <v>19116</v>
      </c>
      <c r="B142" s="431" t="s">
        <v>1373</v>
      </c>
      <c r="C142" s="617"/>
      <c r="D142" s="553"/>
      <c r="E142" s="135"/>
      <c r="F142" s="117" t="s">
        <v>1085</v>
      </c>
      <c r="G142" s="439">
        <v>1500</v>
      </c>
      <c r="H142" s="441"/>
      <c r="I142" s="47">
        <f>Table2726731436383210271164102[[#This Row],[FY2024-2025 BUDGET]]+Table2726731436383210271164102[[#This Row],[ADDITIONAL REVENUE ]]</f>
        <v>1500</v>
      </c>
      <c r="J142" s="47">
        <v>0</v>
      </c>
      <c r="K142" s="708">
        <v>0</v>
      </c>
      <c r="L142" s="441">
        <f>Table2726731436383210271164102[[#This Row],[EXPENDED ]]+Table2726731436383210271164102[[#This Row],[ENCUMBERED]]</f>
        <v>0</v>
      </c>
      <c r="M142" s="441">
        <f>Table2726731436383210271164102[[#This Row],[FORECAST]]-Table2726731436383210271164102[[#This Row],[TOTAL YTD]]</f>
        <v>1500</v>
      </c>
      <c r="N142" s="745">
        <f>Table2726731436383210271164102[[#This Row],[TOTAL YTD]]/Table2726731436383210271164102[[#This Row],[FINAL BUDGET]]</f>
        <v>0</v>
      </c>
      <c r="O142" s="47">
        <f>Table2726731436383210271164102[[#This Row],[FINAL BUDGET]]</f>
        <v>1500</v>
      </c>
      <c r="P142" s="802">
        <f t="shared" si="2"/>
        <v>0</v>
      </c>
      <c r="Q142" s="16"/>
      <c r="R142" s="821"/>
      <c r="S142" s="114"/>
      <c r="T142" s="114"/>
      <c r="U142" s="114"/>
      <c r="V142" s="114"/>
      <c r="W142" s="114"/>
      <c r="X142" s="114"/>
    </row>
    <row r="143" spans="1:24" s="24" customFormat="1" ht="19.5" customHeight="1" x14ac:dyDescent="0.25">
      <c r="A143" s="746">
        <v>20116</v>
      </c>
      <c r="B143" s="431" t="s">
        <v>1442</v>
      </c>
      <c r="C143" s="617">
        <v>863</v>
      </c>
      <c r="D143" s="116"/>
      <c r="E143" s="135"/>
      <c r="F143" s="117" t="s">
        <v>1085</v>
      </c>
      <c r="G143" s="439">
        <v>250</v>
      </c>
      <c r="H143" s="441"/>
      <c r="I143" s="47">
        <f>Table2726731436383210271164102[[#This Row],[FY2024-2025 BUDGET]]+Table2726731436383210271164102[[#This Row],[ADDITIONAL REVENUE ]]</f>
        <v>250</v>
      </c>
      <c r="J143" s="47">
        <v>0</v>
      </c>
      <c r="K143" s="708">
        <v>0</v>
      </c>
      <c r="L143" s="441">
        <f>Table2726731436383210271164102[[#This Row],[EXPENDED ]]+Table2726731436383210271164102[[#This Row],[ENCUMBERED]]</f>
        <v>0</v>
      </c>
      <c r="M143" s="441">
        <f>Table2726731436383210271164102[[#This Row],[FORECAST]]-Table2726731436383210271164102[[#This Row],[TOTAL YTD]]</f>
        <v>250</v>
      </c>
      <c r="N143" s="745">
        <f>Table2726731436383210271164102[[#This Row],[TOTAL YTD]]/Table2726731436383210271164102[[#This Row],[FINAL BUDGET]]</f>
        <v>0</v>
      </c>
      <c r="O143" s="47">
        <f>Table2726731436383210271164102[[#This Row],[FINAL BUDGET]]</f>
        <v>250</v>
      </c>
      <c r="P143" s="802">
        <f t="shared" si="2"/>
        <v>0</v>
      </c>
      <c r="Q143" s="16"/>
      <c r="R143" s="821"/>
      <c r="S143" s="114"/>
      <c r="T143" s="114"/>
      <c r="U143" s="114"/>
      <c r="V143" s="114"/>
      <c r="W143" s="114"/>
      <c r="X143" s="114"/>
    </row>
    <row r="144" spans="1:24" s="24" customFormat="1" ht="19.5" customHeight="1" x14ac:dyDescent="0.25">
      <c r="A144" s="746">
        <v>24116</v>
      </c>
      <c r="B144" s="431" t="s">
        <v>1373</v>
      </c>
      <c r="C144" s="617"/>
      <c r="D144" s="116"/>
      <c r="E144" s="135"/>
      <c r="F144" s="117" t="s">
        <v>1085</v>
      </c>
      <c r="G144" s="440">
        <v>261</v>
      </c>
      <c r="H144" s="47"/>
      <c r="I144" s="47">
        <f>Table2726731436383210271164102[[#This Row],[FY2024-2025 BUDGET]]+Table2726731436383210271164102[[#This Row],[ADDITIONAL REVENUE ]]</f>
        <v>261</v>
      </c>
      <c r="J144" s="47">
        <v>0</v>
      </c>
      <c r="K144" s="47">
        <v>0</v>
      </c>
      <c r="L144" s="441">
        <f>Table2726731436383210271164102[[#This Row],[EXPENDED ]]+Table2726731436383210271164102[[#This Row],[ENCUMBERED]]</f>
        <v>0</v>
      </c>
      <c r="M144" s="441">
        <f>Table2726731436383210271164102[[#This Row],[FORECAST]]-Table2726731436383210271164102[[#This Row],[TOTAL YTD]]</f>
        <v>261</v>
      </c>
      <c r="N144" s="745">
        <f>Table2726731436383210271164102[[#This Row],[TOTAL YTD]]/Table2726731436383210271164102[[#This Row],[FINAL BUDGET]]</f>
        <v>0</v>
      </c>
      <c r="O144" s="47">
        <f>Table2726731436383210271164102[[#This Row],[FINAL BUDGET]]</f>
        <v>261</v>
      </c>
      <c r="P144" s="802">
        <f t="shared" si="2"/>
        <v>0</v>
      </c>
      <c r="Q144" s="16"/>
      <c r="R144" s="842"/>
      <c r="S144" s="114"/>
      <c r="T144" s="114"/>
      <c r="U144" s="114"/>
      <c r="V144" s="114"/>
      <c r="W144" s="114"/>
      <c r="X144" s="114"/>
    </row>
    <row r="145" spans="1:24" s="24" customFormat="1" ht="18" customHeight="1" x14ac:dyDescent="0.25">
      <c r="A145" s="746">
        <v>20119</v>
      </c>
      <c r="B145" s="431" t="s">
        <v>1444</v>
      </c>
      <c r="C145" s="429"/>
      <c r="D145" s="116"/>
      <c r="E145" s="135"/>
      <c r="F145" s="117" t="s">
        <v>1085</v>
      </c>
      <c r="G145" s="439">
        <v>1000</v>
      </c>
      <c r="H145" s="441"/>
      <c r="I145" s="47">
        <f>Table2726731436383210271164102[[#This Row],[FY2024-2025 BUDGET]]+Table2726731436383210271164102[[#This Row],[ADDITIONAL REVENUE ]]</f>
        <v>1000</v>
      </c>
      <c r="J145" s="47">
        <v>0</v>
      </c>
      <c r="K145" s="708">
        <v>0</v>
      </c>
      <c r="L145" s="441">
        <f>Table2726731436383210271164102[[#This Row],[EXPENDED ]]+Table2726731436383210271164102[[#This Row],[ENCUMBERED]]</f>
        <v>0</v>
      </c>
      <c r="M145" s="441">
        <f>Table2726731436383210271164102[[#This Row],[FORECAST]]-Table2726731436383210271164102[[#This Row],[TOTAL YTD]]</f>
        <v>1000</v>
      </c>
      <c r="N145" s="745">
        <f>Table2726731436383210271164102[[#This Row],[TOTAL YTD]]/Table2726731436383210271164102[[#This Row],[FINAL BUDGET]]</f>
        <v>0</v>
      </c>
      <c r="O145" s="47">
        <f>Table2726731436383210271164102[[#This Row],[FINAL BUDGET]]</f>
        <v>1000</v>
      </c>
      <c r="P145" s="802">
        <f t="shared" si="2"/>
        <v>0</v>
      </c>
      <c r="Q145" s="16"/>
      <c r="R145" s="805"/>
      <c r="S145" s="114"/>
      <c r="T145" s="114"/>
      <c r="U145" s="114"/>
      <c r="V145" s="114"/>
      <c r="W145" s="114"/>
      <c r="X145" s="114"/>
    </row>
    <row r="146" spans="1:24" s="24" customFormat="1" ht="19.5" customHeight="1" x14ac:dyDescent="0.25">
      <c r="A146" s="746">
        <v>21119</v>
      </c>
      <c r="B146" s="431" t="s">
        <v>1444</v>
      </c>
      <c r="C146" s="429"/>
      <c r="D146" s="116"/>
      <c r="E146" s="135"/>
      <c r="F146" s="117" t="s">
        <v>1085</v>
      </c>
      <c r="G146" s="439">
        <v>1500</v>
      </c>
      <c r="H146" s="441"/>
      <c r="I146" s="47">
        <f>Table2726731436383210271164102[[#This Row],[FY2024-2025 BUDGET]]+Table2726731436383210271164102[[#This Row],[ADDITIONAL REVENUE ]]</f>
        <v>1500</v>
      </c>
      <c r="J146" s="47">
        <v>0</v>
      </c>
      <c r="K146" s="708">
        <v>0</v>
      </c>
      <c r="L146" s="441">
        <f>Table2726731436383210271164102[[#This Row],[EXPENDED ]]+Table2726731436383210271164102[[#This Row],[ENCUMBERED]]</f>
        <v>0</v>
      </c>
      <c r="M146" s="441">
        <f>Table2726731436383210271164102[[#This Row],[FORECAST]]-Table2726731436383210271164102[[#This Row],[TOTAL YTD]]</f>
        <v>1500</v>
      </c>
      <c r="N146" s="745">
        <f>Table2726731436383210271164102[[#This Row],[TOTAL YTD]]/Table2726731436383210271164102[[#This Row],[FINAL BUDGET]]</f>
        <v>0</v>
      </c>
      <c r="O146" s="47">
        <f>Table2726731436383210271164102[[#This Row],[FINAL BUDGET]]</f>
        <v>1500</v>
      </c>
      <c r="P146" s="802">
        <f t="shared" si="2"/>
        <v>0</v>
      </c>
      <c r="Q146" s="16"/>
      <c r="R146" s="805"/>
      <c r="S146" s="114"/>
      <c r="T146" s="114"/>
      <c r="U146" s="114"/>
      <c r="V146" s="114"/>
      <c r="W146" s="114"/>
      <c r="X146" s="114"/>
    </row>
    <row r="147" spans="1:24" s="24" customFormat="1" ht="23.25" customHeight="1" x14ac:dyDescent="0.25">
      <c r="A147" s="746">
        <v>25120</v>
      </c>
      <c r="B147" s="431" t="s">
        <v>2171</v>
      </c>
      <c r="C147" s="21"/>
      <c r="D147" s="117" t="s">
        <v>1085</v>
      </c>
      <c r="E147" s="116"/>
      <c r="F147" s="117"/>
      <c r="G147" s="439">
        <v>101074</v>
      </c>
      <c r="H147" s="441"/>
      <c r="I147" s="47">
        <f>Table2726731436383210271164102[[#This Row],[FY2024-2025 BUDGET]]+Table2726731436383210271164102[[#This Row],[ADDITIONAL REVENUE ]]</f>
        <v>101074</v>
      </c>
      <c r="J147" s="47">
        <v>0</v>
      </c>
      <c r="K147" s="708">
        <v>0</v>
      </c>
      <c r="L147" s="441">
        <f>Table2726731436383210271164102[[#This Row],[EXPENDED ]]+Table2726731436383210271164102[[#This Row],[ENCUMBERED]]</f>
        <v>0</v>
      </c>
      <c r="M147" s="441">
        <f>Table2726731436383210271164102[[#This Row],[FORECAST]]-Table2726731436383210271164102[[#This Row],[TOTAL YTD]]</f>
        <v>101074</v>
      </c>
      <c r="N147" s="745">
        <f>Table2726731436383210271164102[[#This Row],[TOTAL YTD]]/Table2726731436383210271164102[[#This Row],[FINAL BUDGET]]</f>
        <v>0</v>
      </c>
      <c r="O147" s="47">
        <f>Table2726731436383210271164102[[#This Row],[FINAL BUDGET]]</f>
        <v>101074</v>
      </c>
      <c r="P147" s="802">
        <f t="shared" si="2"/>
        <v>0</v>
      </c>
      <c r="Q147" s="824" t="s">
        <v>2138</v>
      </c>
      <c r="R147" s="828"/>
      <c r="S147" s="114"/>
      <c r="T147" s="114"/>
      <c r="U147" s="114"/>
      <c r="V147" s="114"/>
      <c r="W147" s="114"/>
      <c r="X147" s="114"/>
    </row>
    <row r="148" spans="1:24" s="24" customFormat="1" ht="19.5" customHeight="1" x14ac:dyDescent="0.25">
      <c r="A148" s="746">
        <v>20121</v>
      </c>
      <c r="B148" s="431" t="s">
        <v>1122</v>
      </c>
      <c r="C148" s="21"/>
      <c r="D148" s="117"/>
      <c r="E148" s="116"/>
      <c r="F148" s="117" t="s">
        <v>1085</v>
      </c>
      <c r="G148" s="439">
        <v>91</v>
      </c>
      <c r="H148" s="441"/>
      <c r="I148" s="47">
        <f>Table2726731436383210271164102[[#This Row],[FY2024-2025 BUDGET]]+Table2726731436383210271164102[[#This Row],[ADDITIONAL REVENUE ]]</f>
        <v>91</v>
      </c>
      <c r="J148" s="47">
        <v>0</v>
      </c>
      <c r="K148" s="708">
        <v>0</v>
      </c>
      <c r="L148" s="441">
        <f>Table2726731436383210271164102[[#This Row],[EXPENDED ]]+Table2726731436383210271164102[[#This Row],[ENCUMBERED]]</f>
        <v>0</v>
      </c>
      <c r="M148" s="441">
        <f>Table2726731436383210271164102[[#This Row],[FORECAST]]-Table2726731436383210271164102[[#This Row],[TOTAL YTD]]</f>
        <v>91</v>
      </c>
      <c r="N148" s="745">
        <f>Table2726731436383210271164102[[#This Row],[TOTAL YTD]]/Table2726731436383210271164102[[#This Row],[FINAL BUDGET]]</f>
        <v>0</v>
      </c>
      <c r="O148" s="47">
        <f>Table2726731436383210271164102[[#This Row],[FINAL BUDGET]]</f>
        <v>91</v>
      </c>
      <c r="P148" s="802">
        <f t="shared" si="2"/>
        <v>0</v>
      </c>
      <c r="Q148" s="46"/>
      <c r="R148" s="828"/>
      <c r="S148" s="114"/>
      <c r="T148" s="114"/>
      <c r="U148" s="114"/>
      <c r="V148" s="114"/>
      <c r="W148" s="114"/>
      <c r="X148" s="114"/>
    </row>
    <row r="149" spans="1:24" s="24" customFormat="1" ht="19.5" customHeight="1" x14ac:dyDescent="0.25">
      <c r="A149" s="746">
        <v>24123</v>
      </c>
      <c r="B149" s="431" t="s">
        <v>1856</v>
      </c>
      <c r="C149" s="429">
        <v>815</v>
      </c>
      <c r="D149" s="116"/>
      <c r="E149" s="135"/>
      <c r="F149" s="117" t="s">
        <v>1085</v>
      </c>
      <c r="G149" s="440">
        <v>700</v>
      </c>
      <c r="H149" s="47"/>
      <c r="I149" s="47">
        <f>Table2726731436383210271164102[[#This Row],[FY2024-2025 BUDGET]]+Table2726731436383210271164102[[#This Row],[ADDITIONAL REVENUE ]]</f>
        <v>700</v>
      </c>
      <c r="J149" s="47">
        <v>0</v>
      </c>
      <c r="K149" s="47">
        <v>0</v>
      </c>
      <c r="L149" s="441">
        <f>Table2726731436383210271164102[[#This Row],[EXPENDED ]]+Table2726731436383210271164102[[#This Row],[ENCUMBERED]]</f>
        <v>0</v>
      </c>
      <c r="M149" s="441">
        <f>Table2726731436383210271164102[[#This Row],[FORECAST]]-Table2726731436383210271164102[[#This Row],[TOTAL YTD]]</f>
        <v>700</v>
      </c>
      <c r="N149" s="745">
        <f>Table2726731436383210271164102[[#This Row],[TOTAL YTD]]/Table2726731436383210271164102[[#This Row],[FINAL BUDGET]]</f>
        <v>0</v>
      </c>
      <c r="O149" s="47">
        <f>Table2726731436383210271164102[[#This Row],[FINAL BUDGET]]</f>
        <v>700</v>
      </c>
      <c r="P149" s="802">
        <f t="shared" si="2"/>
        <v>0</v>
      </c>
      <c r="Q149" s="16" t="s">
        <v>2174</v>
      </c>
      <c r="R149" s="805"/>
      <c r="S149" s="114"/>
      <c r="T149" s="114"/>
      <c r="U149" s="114"/>
      <c r="V149" s="114"/>
      <c r="W149" s="114"/>
      <c r="X149" s="114"/>
    </row>
    <row r="150" spans="1:24" s="24" customFormat="1" ht="19.5" customHeight="1" x14ac:dyDescent="0.25">
      <c r="A150" s="746">
        <v>23126</v>
      </c>
      <c r="B150" s="431" t="s">
        <v>2172</v>
      </c>
      <c r="C150" s="21">
        <v>864</v>
      </c>
      <c r="D150" s="116"/>
      <c r="E150" s="135"/>
      <c r="F150" s="117" t="s">
        <v>1085</v>
      </c>
      <c r="G150" s="440">
        <v>79603</v>
      </c>
      <c r="H150" s="47"/>
      <c r="I150" s="47">
        <f>Table2726731436383210271164102[[#This Row],[FY2024-2025 BUDGET]]+Table2726731436383210271164102[[#This Row],[ADDITIONAL REVENUE ]]</f>
        <v>79603</v>
      </c>
      <c r="J150" s="47">
        <v>0</v>
      </c>
      <c r="K150" s="47">
        <v>0</v>
      </c>
      <c r="L150" s="441">
        <f>Table2726731436383210271164102[[#This Row],[EXPENDED ]]+Table2726731436383210271164102[[#This Row],[ENCUMBERED]]</f>
        <v>0</v>
      </c>
      <c r="M150" s="441">
        <f>Table2726731436383210271164102[[#This Row],[FORECAST]]-Table2726731436383210271164102[[#This Row],[TOTAL YTD]]</f>
        <v>79603</v>
      </c>
      <c r="N150" s="745">
        <f>Table2726731436383210271164102[[#This Row],[TOTAL YTD]]/Table2726731436383210271164102[[#This Row],[FINAL BUDGET]]</f>
        <v>0</v>
      </c>
      <c r="O150" s="47">
        <f>Table2726731436383210271164102[[#This Row],[FINAL BUDGET]]</f>
        <v>79603</v>
      </c>
      <c r="P150" s="802">
        <f t="shared" si="2"/>
        <v>0</v>
      </c>
      <c r="Q150" s="16"/>
      <c r="R150" s="805"/>
      <c r="S150" s="114"/>
      <c r="T150" s="114"/>
      <c r="U150" s="114"/>
      <c r="V150" s="114"/>
      <c r="W150" s="114"/>
      <c r="X150" s="114"/>
    </row>
    <row r="151" spans="1:24" s="24" customFormat="1" ht="22.5" customHeight="1" x14ac:dyDescent="0.25">
      <c r="A151" s="746">
        <v>24126</v>
      </c>
      <c r="B151" s="431" t="s">
        <v>2173</v>
      </c>
      <c r="C151" s="617"/>
      <c r="D151" s="116"/>
      <c r="E151" s="135"/>
      <c r="F151" s="117" t="s">
        <v>1085</v>
      </c>
      <c r="G151" s="440">
        <v>5000</v>
      </c>
      <c r="H151" s="47"/>
      <c r="I151" s="47">
        <f>Table2726731436383210271164102[[#This Row],[FY2024-2025 BUDGET]]+Table2726731436383210271164102[[#This Row],[ADDITIONAL REVENUE ]]</f>
        <v>5000</v>
      </c>
      <c r="J151" s="47">
        <v>0</v>
      </c>
      <c r="K151" s="47">
        <v>0</v>
      </c>
      <c r="L151" s="441">
        <f>Table2726731436383210271164102[[#This Row],[EXPENDED ]]+Table2726731436383210271164102[[#This Row],[ENCUMBERED]]</f>
        <v>0</v>
      </c>
      <c r="M151" s="441">
        <f>Table2726731436383210271164102[[#This Row],[FORECAST]]-Table2726731436383210271164102[[#This Row],[TOTAL YTD]]</f>
        <v>5000</v>
      </c>
      <c r="N151" s="745">
        <f>Table2726731436383210271164102[[#This Row],[TOTAL YTD]]/Table2726731436383210271164102[[#This Row],[FINAL BUDGET]]</f>
        <v>0</v>
      </c>
      <c r="O151" s="47">
        <f>Table2726731436383210271164102[[#This Row],[FINAL BUDGET]]</f>
        <v>5000</v>
      </c>
      <c r="P151" s="802">
        <f t="shared" si="2"/>
        <v>0</v>
      </c>
      <c r="Q151" s="16" t="s">
        <v>2174</v>
      </c>
      <c r="R151" s="805"/>
      <c r="S151" s="114"/>
      <c r="T151" s="114"/>
      <c r="U151" s="114"/>
      <c r="V151" s="114"/>
      <c r="W151" s="114"/>
      <c r="X151" s="114"/>
    </row>
    <row r="152" spans="1:24" s="24" customFormat="1" ht="19.5" customHeight="1" x14ac:dyDescent="0.25">
      <c r="A152" s="746">
        <v>19127</v>
      </c>
      <c r="B152" s="431" t="s">
        <v>1120</v>
      </c>
      <c r="C152" s="617">
        <v>862</v>
      </c>
      <c r="D152" s="116"/>
      <c r="E152" s="135"/>
      <c r="F152" s="117" t="s">
        <v>1085</v>
      </c>
      <c r="G152" s="439">
        <v>1936</v>
      </c>
      <c r="H152" s="441"/>
      <c r="I152" s="47">
        <f>Table2726731436383210271164102[[#This Row],[FY2024-2025 BUDGET]]+Table2726731436383210271164102[[#This Row],[ADDITIONAL REVENUE ]]</f>
        <v>1936</v>
      </c>
      <c r="J152" s="47">
        <v>0</v>
      </c>
      <c r="K152" s="708">
        <v>0</v>
      </c>
      <c r="L152" s="441">
        <f>Table2726731436383210271164102[[#This Row],[EXPENDED ]]+Table2726731436383210271164102[[#This Row],[ENCUMBERED]]</f>
        <v>0</v>
      </c>
      <c r="M152" s="441">
        <f>Table2726731436383210271164102[[#This Row],[FORECAST]]-Table2726731436383210271164102[[#This Row],[TOTAL YTD]]</f>
        <v>1936</v>
      </c>
      <c r="N152" s="745">
        <f>Table2726731436383210271164102[[#This Row],[TOTAL YTD]]/Table2726731436383210271164102[[#This Row],[FINAL BUDGET]]</f>
        <v>0</v>
      </c>
      <c r="O152" s="47">
        <f>Table2726731436383210271164102[[#This Row],[FINAL BUDGET]]</f>
        <v>1936</v>
      </c>
      <c r="P152" s="802">
        <f t="shared" si="2"/>
        <v>0</v>
      </c>
      <c r="Q152" s="16"/>
      <c r="R152" s="821"/>
      <c r="S152" s="114"/>
      <c r="T152" s="114"/>
      <c r="U152" s="114"/>
      <c r="V152" s="114"/>
      <c r="W152" s="114"/>
      <c r="X152" s="114"/>
    </row>
    <row r="153" spans="1:24" s="24" customFormat="1" ht="19.5" customHeight="1" x14ac:dyDescent="0.25">
      <c r="A153" s="746">
        <v>20127</v>
      </c>
      <c r="B153" s="431" t="s">
        <v>1120</v>
      </c>
      <c r="C153" s="429">
        <v>862</v>
      </c>
      <c r="D153" s="116"/>
      <c r="E153" s="135"/>
      <c r="F153" s="117" t="s">
        <v>1085</v>
      </c>
      <c r="G153" s="439">
        <v>724</v>
      </c>
      <c r="H153" s="441"/>
      <c r="I153" s="47">
        <f>Table2726731436383210271164102[[#This Row],[FY2024-2025 BUDGET]]+Table2726731436383210271164102[[#This Row],[ADDITIONAL REVENUE ]]</f>
        <v>724</v>
      </c>
      <c r="J153" s="47">
        <v>0</v>
      </c>
      <c r="K153" s="708">
        <v>0</v>
      </c>
      <c r="L153" s="441">
        <f>Table2726731436383210271164102[[#This Row],[EXPENDED ]]+Table2726731436383210271164102[[#This Row],[ENCUMBERED]]</f>
        <v>0</v>
      </c>
      <c r="M153" s="441">
        <f>Table2726731436383210271164102[[#This Row],[FORECAST]]-Table2726731436383210271164102[[#This Row],[TOTAL YTD]]</f>
        <v>724</v>
      </c>
      <c r="N153" s="745">
        <f>Table2726731436383210271164102[[#This Row],[TOTAL YTD]]/Table2726731436383210271164102[[#This Row],[FINAL BUDGET]]</f>
        <v>0</v>
      </c>
      <c r="O153" s="47">
        <f>Table2726731436383210271164102[[#This Row],[FINAL BUDGET]]</f>
        <v>724</v>
      </c>
      <c r="P153" s="802">
        <f t="shared" si="2"/>
        <v>0</v>
      </c>
      <c r="Q153" s="16"/>
      <c r="R153" s="821"/>
      <c r="S153" s="114"/>
      <c r="T153" s="114"/>
      <c r="U153" s="114"/>
      <c r="V153" s="114"/>
      <c r="W153" s="114"/>
      <c r="X153" s="114"/>
    </row>
    <row r="154" spans="1:24" s="24" customFormat="1" ht="19.5" customHeight="1" x14ac:dyDescent="0.25">
      <c r="A154" s="746">
        <v>21130</v>
      </c>
      <c r="B154" s="431" t="s">
        <v>1081</v>
      </c>
      <c r="C154" s="429" t="s">
        <v>1603</v>
      </c>
      <c r="D154" s="117"/>
      <c r="E154" s="53" t="s">
        <v>1085</v>
      </c>
      <c r="F154" s="117"/>
      <c r="G154" s="439">
        <v>29116</v>
      </c>
      <c r="H154" s="47"/>
      <c r="I154" s="47">
        <f>Table2726731436383210271164102[[#This Row],[FY2024-2025 BUDGET]]+Table2726731436383210271164102[[#This Row],[ADDITIONAL REVENUE ]]</f>
        <v>29116</v>
      </c>
      <c r="J154" s="47">
        <v>0</v>
      </c>
      <c r="K154" s="708">
        <v>0</v>
      </c>
      <c r="L154" s="441">
        <f>Table2726731436383210271164102[[#This Row],[EXPENDED ]]+Table2726731436383210271164102[[#This Row],[ENCUMBERED]]</f>
        <v>0</v>
      </c>
      <c r="M154" s="441">
        <f>Table2726731436383210271164102[[#This Row],[FORECAST]]-Table2726731436383210271164102[[#This Row],[TOTAL YTD]]</f>
        <v>29116</v>
      </c>
      <c r="N154" s="745">
        <f>Table2726731436383210271164102[[#This Row],[TOTAL YTD]]/Table2726731436383210271164102[[#This Row],[FINAL BUDGET]]</f>
        <v>0</v>
      </c>
      <c r="O154" s="47">
        <f>Table2726731436383210271164102[[#This Row],[FINAL BUDGET]]</f>
        <v>29116</v>
      </c>
      <c r="P154" s="802">
        <f t="shared" ref="P154:P208" si="3">I154-O154</f>
        <v>0</v>
      </c>
      <c r="Q154" s="824"/>
      <c r="R154" s="825"/>
      <c r="S154" s="114"/>
      <c r="T154" s="114"/>
      <c r="U154" s="114"/>
      <c r="V154" s="114"/>
      <c r="W154" s="114"/>
      <c r="X154" s="114"/>
    </row>
    <row r="155" spans="1:24" s="24" customFormat="1" ht="19.5" customHeight="1" x14ac:dyDescent="0.25">
      <c r="A155" s="746">
        <v>22130</v>
      </c>
      <c r="B155" s="431" t="s">
        <v>1081</v>
      </c>
      <c r="C155" s="429" t="s">
        <v>1603</v>
      </c>
      <c r="D155" s="117"/>
      <c r="E155" s="53" t="s">
        <v>1085</v>
      </c>
      <c r="F155" s="117"/>
      <c r="G155" s="439">
        <v>105226</v>
      </c>
      <c r="H155" s="47"/>
      <c r="I155" s="47">
        <f>Table2726731436383210271164102[[#This Row],[FY2024-2025 BUDGET]]+Table2726731436383210271164102[[#This Row],[ADDITIONAL REVENUE ]]</f>
        <v>105226</v>
      </c>
      <c r="J155" s="47">
        <v>0</v>
      </c>
      <c r="K155" s="708">
        <v>0</v>
      </c>
      <c r="L155" s="441">
        <f>Table2726731436383210271164102[[#This Row],[EXPENDED ]]+Table2726731436383210271164102[[#This Row],[ENCUMBERED]]</f>
        <v>0</v>
      </c>
      <c r="M155" s="441">
        <f>Table2726731436383210271164102[[#This Row],[FORECAST]]-Table2726731436383210271164102[[#This Row],[TOTAL YTD]]</f>
        <v>105226</v>
      </c>
      <c r="N155" s="745">
        <f>Table2726731436383210271164102[[#This Row],[TOTAL YTD]]/Table2726731436383210271164102[[#This Row],[FINAL BUDGET]]</f>
        <v>0</v>
      </c>
      <c r="O155" s="47">
        <f>Table2726731436383210271164102[[#This Row],[FINAL BUDGET]]</f>
        <v>105226</v>
      </c>
      <c r="P155" s="802">
        <f t="shared" si="3"/>
        <v>0</v>
      </c>
      <c r="Q155" s="16"/>
      <c r="R155" s="821"/>
      <c r="S155" s="114"/>
      <c r="T155" s="114"/>
      <c r="U155" s="114"/>
      <c r="V155" s="114"/>
      <c r="W155" s="114"/>
      <c r="X155" s="114"/>
    </row>
    <row r="156" spans="1:24" s="24" customFormat="1" ht="19.5" customHeight="1" x14ac:dyDescent="0.25">
      <c r="A156" s="746">
        <v>23130</v>
      </c>
      <c r="B156" s="557" t="s">
        <v>1081</v>
      </c>
      <c r="C156" s="429" t="s">
        <v>1603</v>
      </c>
      <c r="D156" s="117"/>
      <c r="E156" s="53" t="s">
        <v>1085</v>
      </c>
      <c r="F156" s="117"/>
      <c r="G156" s="439">
        <v>151469</v>
      </c>
      <c r="H156" s="47"/>
      <c r="I156" s="47">
        <f>Table2726731436383210271164102[[#This Row],[FY2024-2025 BUDGET]]+Table2726731436383210271164102[[#This Row],[ADDITIONAL REVENUE ]]</f>
        <v>151469</v>
      </c>
      <c r="J156" s="47">
        <v>0</v>
      </c>
      <c r="K156" s="708">
        <v>0</v>
      </c>
      <c r="L156" s="441">
        <f>Table2726731436383210271164102[[#This Row],[EXPENDED ]]+Table2726731436383210271164102[[#This Row],[ENCUMBERED]]</f>
        <v>0</v>
      </c>
      <c r="M156" s="441">
        <f>Table2726731436383210271164102[[#This Row],[FORECAST]]-Table2726731436383210271164102[[#This Row],[TOTAL YTD]]</f>
        <v>151469</v>
      </c>
      <c r="N156" s="745">
        <f>Table2726731436383210271164102[[#This Row],[TOTAL YTD]]/Table2726731436383210271164102[[#This Row],[FINAL BUDGET]]</f>
        <v>0</v>
      </c>
      <c r="O156" s="47">
        <f>Table2726731436383210271164102[[#This Row],[FINAL BUDGET]]</f>
        <v>151469</v>
      </c>
      <c r="P156" s="802">
        <f t="shared" si="3"/>
        <v>0</v>
      </c>
      <c r="Q156" s="16"/>
      <c r="R156" s="821"/>
      <c r="S156" s="114"/>
      <c r="T156" s="114"/>
      <c r="U156" s="114"/>
      <c r="V156" s="114"/>
      <c r="W156" s="114"/>
      <c r="X156" s="114"/>
    </row>
    <row r="157" spans="1:24" s="24" customFormat="1" ht="19.5" customHeight="1" x14ac:dyDescent="0.25">
      <c r="A157" s="746">
        <v>24130</v>
      </c>
      <c r="B157" s="557" t="s">
        <v>1081</v>
      </c>
      <c r="C157" s="429" t="s">
        <v>1603</v>
      </c>
      <c r="D157" s="117"/>
      <c r="E157" s="53" t="s">
        <v>1085</v>
      </c>
      <c r="F157" s="117"/>
      <c r="G157" s="440">
        <f>54921+57156+57156</f>
        <v>169233</v>
      </c>
      <c r="H157" s="47"/>
      <c r="I157" s="47">
        <f>Table2726731436383210271164102[[#This Row],[FY2024-2025 BUDGET]]+Table2726731436383210271164102[[#This Row],[ADDITIONAL REVENUE ]]</f>
        <v>169233</v>
      </c>
      <c r="J157" s="47">
        <v>0</v>
      </c>
      <c r="K157" s="47">
        <v>0</v>
      </c>
      <c r="L157" s="441">
        <f>Table2726731436383210271164102[[#This Row],[EXPENDED ]]+Table2726731436383210271164102[[#This Row],[ENCUMBERED]]</f>
        <v>0</v>
      </c>
      <c r="M157" s="441">
        <f>Table2726731436383210271164102[[#This Row],[FORECAST]]-Table2726731436383210271164102[[#This Row],[TOTAL YTD]]</f>
        <v>169233</v>
      </c>
      <c r="N157" s="745">
        <f>Table2726731436383210271164102[[#This Row],[TOTAL YTD]]/Table2726731436383210271164102[[#This Row],[FINAL BUDGET]]</f>
        <v>0</v>
      </c>
      <c r="O157" s="47">
        <f>Table2726731436383210271164102[[#This Row],[FINAL BUDGET]]</f>
        <v>169233</v>
      </c>
      <c r="P157" s="802">
        <f t="shared" si="3"/>
        <v>0</v>
      </c>
      <c r="Q157" s="16"/>
      <c r="R157" s="821"/>
      <c r="S157" s="114"/>
      <c r="T157" s="114"/>
      <c r="U157" s="114"/>
      <c r="V157" s="114"/>
      <c r="W157" s="114"/>
      <c r="X157" s="114"/>
    </row>
    <row r="158" spans="1:24" ht="19.5" customHeight="1" x14ac:dyDescent="0.25">
      <c r="A158" s="746">
        <v>21138</v>
      </c>
      <c r="B158" s="431" t="s">
        <v>1782</v>
      </c>
      <c r="C158" s="429"/>
      <c r="D158" s="116"/>
      <c r="E158" s="135"/>
      <c r="F158" s="117" t="s">
        <v>1085</v>
      </c>
      <c r="G158" s="439">
        <v>45955</v>
      </c>
      <c r="H158" s="441"/>
      <c r="I158" s="47">
        <f>Table2726731436383210271164102[[#This Row],[FY2024-2025 BUDGET]]+Table2726731436383210271164102[[#This Row],[ADDITIONAL REVENUE ]]</f>
        <v>45955</v>
      </c>
      <c r="J158" s="47">
        <v>0</v>
      </c>
      <c r="K158" s="708">
        <v>0</v>
      </c>
      <c r="L158" s="441">
        <f>Table2726731436383210271164102[[#This Row],[EXPENDED ]]+Table2726731436383210271164102[[#This Row],[ENCUMBERED]]</f>
        <v>0</v>
      </c>
      <c r="M158" s="441">
        <f>Table2726731436383210271164102[[#This Row],[FORECAST]]-Table2726731436383210271164102[[#This Row],[TOTAL YTD]]</f>
        <v>45955</v>
      </c>
      <c r="N158" s="745">
        <f>Table2726731436383210271164102[[#This Row],[TOTAL YTD]]/Table2726731436383210271164102[[#This Row],[FINAL BUDGET]]</f>
        <v>0</v>
      </c>
      <c r="O158" s="47">
        <f>Table2726731436383210271164102[[#This Row],[FINAL BUDGET]]</f>
        <v>45955</v>
      </c>
      <c r="P158" s="802">
        <f t="shared" si="3"/>
        <v>0</v>
      </c>
      <c r="Q158" s="16"/>
      <c r="R158" s="821"/>
    </row>
    <row r="159" spans="1:24" ht="21.75" customHeight="1" x14ac:dyDescent="0.25">
      <c r="A159" s="746">
        <v>25140</v>
      </c>
      <c r="B159" s="431" t="s">
        <v>2259</v>
      </c>
      <c r="C159" s="429"/>
      <c r="D159" s="116" t="s">
        <v>1085</v>
      </c>
      <c r="E159" s="135"/>
      <c r="F159" s="117"/>
      <c r="G159" s="440">
        <v>422582</v>
      </c>
      <c r="H159" s="47"/>
      <c r="I159" s="47">
        <f>Table2726731436383210271164102[[#This Row],[FY2024-2025 BUDGET]]+Table2726731436383210271164102[[#This Row],[ADDITIONAL REVENUE ]]</f>
        <v>422582</v>
      </c>
      <c r="J159" s="47">
        <v>0</v>
      </c>
      <c r="K159" s="47">
        <v>0</v>
      </c>
      <c r="L159" s="441">
        <f>Table2726731436383210271164102[[#This Row],[EXPENDED ]]+Table2726731436383210271164102[[#This Row],[ENCUMBERED]]</f>
        <v>0</v>
      </c>
      <c r="M159" s="441">
        <f>Table2726731436383210271164102[[#This Row],[FORECAST]]-Table2726731436383210271164102[[#This Row],[TOTAL YTD]]</f>
        <v>422582</v>
      </c>
      <c r="N159" s="745">
        <f>Table2726731436383210271164102[[#This Row],[TOTAL YTD]]/Table2726731436383210271164102[[#This Row],[FINAL BUDGET]]</f>
        <v>0</v>
      </c>
      <c r="O159" s="47">
        <f>Table2726731436383210271164102[[#This Row],[FINAL BUDGET]]</f>
        <v>422582</v>
      </c>
      <c r="P159" s="802">
        <f t="shared" si="3"/>
        <v>0</v>
      </c>
      <c r="Q159" s="16"/>
      <c r="R159" s="821"/>
    </row>
    <row r="160" spans="1:24" ht="19.5" customHeight="1" x14ac:dyDescent="0.25">
      <c r="A160" s="746">
        <v>20144</v>
      </c>
      <c r="B160" s="431" t="s">
        <v>1395</v>
      </c>
      <c r="C160" s="21">
        <v>816</v>
      </c>
      <c r="D160" s="117"/>
      <c r="E160" s="116"/>
      <c r="F160" s="117" t="s">
        <v>1085</v>
      </c>
      <c r="G160" s="439">
        <v>48105</v>
      </c>
      <c r="H160" s="441">
        <v>19741.22</v>
      </c>
      <c r="I160" s="47">
        <f>Table2726731436383210271164102[[#This Row],[FY2024-2025 BUDGET]]+Table2726731436383210271164102[[#This Row],[ADDITIONAL REVENUE ]]</f>
        <v>67846.22</v>
      </c>
      <c r="J160" s="47">
        <v>23435.16</v>
      </c>
      <c r="K160" s="708">
        <v>322.75</v>
      </c>
      <c r="L160" s="441">
        <f>Table2726731436383210271164102[[#This Row],[EXPENDED ]]+Table2726731436383210271164102[[#This Row],[ENCUMBERED]]</f>
        <v>23757.91</v>
      </c>
      <c r="M160" s="441">
        <f>Table2726731436383210271164102[[#This Row],[FORECAST]]-Table2726731436383210271164102[[#This Row],[TOTAL YTD]]</f>
        <v>44088.31</v>
      </c>
      <c r="N160" s="745">
        <f>Table2726731436383210271164102[[#This Row],[TOTAL YTD]]/Table2726731436383210271164102[[#This Row],[FINAL BUDGET]]</f>
        <v>0.350172935205528</v>
      </c>
      <c r="O160" s="47">
        <f>Table2726731436383210271164102[[#This Row],[FINAL BUDGET]]</f>
        <v>67846.22</v>
      </c>
      <c r="P160" s="802">
        <f t="shared" si="3"/>
        <v>0</v>
      </c>
      <c r="Q160" s="16"/>
      <c r="R160" s="821"/>
    </row>
    <row r="161" spans="1:24" ht="19.5" customHeight="1" x14ac:dyDescent="0.25">
      <c r="A161" s="746">
        <v>21144</v>
      </c>
      <c r="B161" s="431" t="s">
        <v>1496</v>
      </c>
      <c r="C161" s="429">
        <v>810</v>
      </c>
      <c r="D161" s="116"/>
      <c r="E161" s="135"/>
      <c r="F161" s="117" t="s">
        <v>1085</v>
      </c>
      <c r="G161" s="439">
        <v>13972</v>
      </c>
      <c r="H161" s="441"/>
      <c r="I161" s="47">
        <f>Table2726731436383210271164102[[#This Row],[FY2024-2025 BUDGET]]+Table2726731436383210271164102[[#This Row],[ADDITIONAL REVENUE ]]</f>
        <v>13972</v>
      </c>
      <c r="J161" s="47">
        <v>0</v>
      </c>
      <c r="K161" s="708">
        <v>0</v>
      </c>
      <c r="L161" s="441">
        <f>Table2726731436383210271164102[[#This Row],[EXPENDED ]]+Table2726731436383210271164102[[#This Row],[ENCUMBERED]]</f>
        <v>0</v>
      </c>
      <c r="M161" s="441">
        <f>Table2726731436383210271164102[[#This Row],[FORECAST]]-Table2726731436383210271164102[[#This Row],[TOTAL YTD]]</f>
        <v>13972</v>
      </c>
      <c r="N161" s="745">
        <f>Table2726731436383210271164102[[#This Row],[TOTAL YTD]]/Table2726731436383210271164102[[#This Row],[FINAL BUDGET]]</f>
        <v>0</v>
      </c>
      <c r="O161" s="47">
        <f>Table2726731436383210271164102[[#This Row],[FINAL BUDGET]]</f>
        <v>13972</v>
      </c>
      <c r="P161" s="802">
        <f t="shared" si="3"/>
        <v>0</v>
      </c>
      <c r="Q161" s="16"/>
      <c r="R161" s="821"/>
    </row>
    <row r="162" spans="1:24" ht="19.5" customHeight="1" x14ac:dyDescent="0.25">
      <c r="A162" s="746">
        <v>17145</v>
      </c>
      <c r="B162" s="431" t="s">
        <v>1139</v>
      </c>
      <c r="C162" s="429">
        <v>811</v>
      </c>
      <c r="D162" s="116"/>
      <c r="E162" s="135"/>
      <c r="F162" s="117" t="s">
        <v>1085</v>
      </c>
      <c r="G162" s="439">
        <v>30</v>
      </c>
      <c r="H162" s="441"/>
      <c r="I162" s="47">
        <f>Table2726731436383210271164102[[#This Row],[FY2024-2025 BUDGET]]+Table2726731436383210271164102[[#This Row],[ADDITIONAL REVENUE ]]</f>
        <v>30</v>
      </c>
      <c r="J162" s="47">
        <v>0</v>
      </c>
      <c r="K162" s="708">
        <v>0</v>
      </c>
      <c r="L162" s="441">
        <f>Table2726731436383210271164102[[#This Row],[EXPENDED ]]+Table2726731436383210271164102[[#This Row],[ENCUMBERED]]</f>
        <v>0</v>
      </c>
      <c r="M162" s="441">
        <f>Table2726731436383210271164102[[#This Row],[FORECAST]]-Table2726731436383210271164102[[#This Row],[TOTAL YTD]]</f>
        <v>30</v>
      </c>
      <c r="N162" s="745">
        <f>Table2726731436383210271164102[[#This Row],[TOTAL YTD]]/Table2726731436383210271164102[[#This Row],[FINAL BUDGET]]</f>
        <v>0</v>
      </c>
      <c r="O162" s="47">
        <f>Table2726731436383210271164102[[#This Row],[FINAL BUDGET]]</f>
        <v>30</v>
      </c>
      <c r="P162" s="802">
        <f t="shared" si="3"/>
        <v>0</v>
      </c>
      <c r="Q162" s="16"/>
      <c r="R162" s="821"/>
    </row>
    <row r="163" spans="1:24" ht="19.5" customHeight="1" x14ac:dyDescent="0.25">
      <c r="A163" s="746">
        <v>18145</v>
      </c>
      <c r="B163" s="431" t="s">
        <v>1141</v>
      </c>
      <c r="C163" s="429" t="s">
        <v>1603</v>
      </c>
      <c r="D163" s="117"/>
      <c r="E163" s="116"/>
      <c r="F163" s="117" t="s">
        <v>1085</v>
      </c>
      <c r="G163" s="439">
        <v>7999</v>
      </c>
      <c r="H163" s="441"/>
      <c r="I163" s="47">
        <f>Table2726731436383210271164102[[#This Row],[FY2024-2025 BUDGET]]+Table2726731436383210271164102[[#This Row],[ADDITIONAL REVENUE ]]</f>
        <v>7999</v>
      </c>
      <c r="J163" s="47">
        <v>0</v>
      </c>
      <c r="K163" s="708">
        <v>0</v>
      </c>
      <c r="L163" s="441">
        <f>Table2726731436383210271164102[[#This Row],[EXPENDED ]]+Table2726731436383210271164102[[#This Row],[ENCUMBERED]]</f>
        <v>0</v>
      </c>
      <c r="M163" s="441">
        <f>Table2726731436383210271164102[[#This Row],[FORECAST]]-Table2726731436383210271164102[[#This Row],[TOTAL YTD]]</f>
        <v>7999</v>
      </c>
      <c r="N163" s="745">
        <f>Table2726731436383210271164102[[#This Row],[TOTAL YTD]]/Table2726731436383210271164102[[#This Row],[FINAL BUDGET]]</f>
        <v>0</v>
      </c>
      <c r="O163" s="47">
        <f>Table2726731436383210271164102[[#This Row],[FINAL BUDGET]]</f>
        <v>7999</v>
      </c>
      <c r="P163" s="802">
        <f t="shared" si="3"/>
        <v>0</v>
      </c>
      <c r="Q163" s="16"/>
      <c r="R163" s="821"/>
    </row>
    <row r="164" spans="1:24" ht="23.25" customHeight="1" x14ac:dyDescent="0.25">
      <c r="A164" s="746">
        <v>20145</v>
      </c>
      <c r="B164" s="431" t="s">
        <v>1392</v>
      </c>
      <c r="C164" s="617"/>
      <c r="D164" s="116"/>
      <c r="E164" s="135"/>
      <c r="F164" s="117" t="s">
        <v>1085</v>
      </c>
      <c r="G164" s="439">
        <v>1097</v>
      </c>
      <c r="H164" s="441"/>
      <c r="I164" s="47">
        <f>Table2726731436383210271164102[[#This Row],[FY2024-2025 BUDGET]]+Table2726731436383210271164102[[#This Row],[ADDITIONAL REVENUE ]]</f>
        <v>1097</v>
      </c>
      <c r="J164" s="47">
        <v>0</v>
      </c>
      <c r="K164" s="708">
        <v>0</v>
      </c>
      <c r="L164" s="441">
        <f>Table2726731436383210271164102[[#This Row],[EXPENDED ]]+Table2726731436383210271164102[[#This Row],[ENCUMBERED]]</f>
        <v>0</v>
      </c>
      <c r="M164" s="441">
        <f>Table2726731436383210271164102[[#This Row],[FORECAST]]-Table2726731436383210271164102[[#This Row],[TOTAL YTD]]</f>
        <v>1097</v>
      </c>
      <c r="N164" s="745">
        <f>Table2726731436383210271164102[[#This Row],[TOTAL YTD]]/Table2726731436383210271164102[[#This Row],[FINAL BUDGET]]</f>
        <v>0</v>
      </c>
      <c r="O164" s="47">
        <f>Table2726731436383210271164102[[#This Row],[FINAL BUDGET]]</f>
        <v>1097</v>
      </c>
      <c r="P164" s="802">
        <f t="shared" si="3"/>
        <v>0</v>
      </c>
      <c r="Q164" s="16" t="s">
        <v>2138</v>
      </c>
      <c r="R164" s="821"/>
    </row>
    <row r="165" spans="1:24" ht="19.5" customHeight="1" x14ac:dyDescent="0.25">
      <c r="A165" s="746">
        <v>25145</v>
      </c>
      <c r="B165" s="431" t="s">
        <v>2260</v>
      </c>
      <c r="C165" s="429"/>
      <c r="D165" s="116"/>
      <c r="E165" s="135"/>
      <c r="F165" s="117" t="s">
        <v>1085</v>
      </c>
      <c r="G165" s="440">
        <v>9000</v>
      </c>
      <c r="H165" s="47"/>
      <c r="I165" s="47">
        <f>Table2726731436383210271164102[[#This Row],[FY2024-2025 BUDGET]]+Table2726731436383210271164102[[#This Row],[ADDITIONAL REVENUE ]]</f>
        <v>9000</v>
      </c>
      <c r="J165" s="47">
        <v>0</v>
      </c>
      <c r="K165" s="47">
        <v>0</v>
      </c>
      <c r="L165" s="441">
        <f>Table2726731436383210271164102[[#This Row],[EXPENDED ]]+Table2726731436383210271164102[[#This Row],[ENCUMBERED]]</f>
        <v>0</v>
      </c>
      <c r="M165" s="441">
        <f>Table2726731436383210271164102[[#This Row],[FORECAST]]-Table2726731436383210271164102[[#This Row],[TOTAL YTD]]</f>
        <v>9000</v>
      </c>
      <c r="N165" s="745">
        <f>Table2726731436383210271164102[[#This Row],[TOTAL YTD]]/Table2726731436383210271164102[[#This Row],[FINAL BUDGET]]</f>
        <v>0</v>
      </c>
      <c r="O165" s="47">
        <f>Table2726731436383210271164102[[#This Row],[FINAL BUDGET]]</f>
        <v>9000</v>
      </c>
      <c r="P165" s="802">
        <f t="shared" si="3"/>
        <v>0</v>
      </c>
      <c r="Q165" s="16" t="s">
        <v>2138</v>
      </c>
      <c r="R165" s="821"/>
    </row>
    <row r="166" spans="1:24" ht="19.5" customHeight="1" x14ac:dyDescent="0.25">
      <c r="A166" s="746">
        <v>18146</v>
      </c>
      <c r="B166" s="431" t="s">
        <v>1143</v>
      </c>
      <c r="C166" s="429">
        <v>825</v>
      </c>
      <c r="D166" s="116"/>
      <c r="E166" s="135"/>
      <c r="F166" s="117" t="s">
        <v>1085</v>
      </c>
      <c r="G166" s="439">
        <v>111</v>
      </c>
      <c r="H166" s="441"/>
      <c r="I166" s="47">
        <f>Table2726731436383210271164102[[#This Row],[FY2024-2025 BUDGET]]+Table2726731436383210271164102[[#This Row],[ADDITIONAL REVENUE ]]</f>
        <v>111</v>
      </c>
      <c r="J166" s="47">
        <v>0</v>
      </c>
      <c r="K166" s="708">
        <v>0</v>
      </c>
      <c r="L166" s="441">
        <f>Table2726731436383210271164102[[#This Row],[EXPENDED ]]+Table2726731436383210271164102[[#This Row],[ENCUMBERED]]</f>
        <v>0</v>
      </c>
      <c r="M166" s="441">
        <f>Table2726731436383210271164102[[#This Row],[FORECAST]]-Table2726731436383210271164102[[#This Row],[TOTAL YTD]]</f>
        <v>111</v>
      </c>
      <c r="N166" s="745">
        <f>Table2726731436383210271164102[[#This Row],[TOTAL YTD]]/Table2726731436383210271164102[[#This Row],[FINAL BUDGET]]</f>
        <v>0</v>
      </c>
      <c r="O166" s="47">
        <f>Table2726731436383210271164102[[#This Row],[FINAL BUDGET]]</f>
        <v>111</v>
      </c>
      <c r="P166" s="802">
        <f t="shared" si="3"/>
        <v>0</v>
      </c>
      <c r="Q166" s="16"/>
      <c r="R166" s="821"/>
    </row>
    <row r="167" spans="1:24" ht="19.5" customHeight="1" x14ac:dyDescent="0.25">
      <c r="A167" s="746">
        <v>20146</v>
      </c>
      <c r="B167" s="431" t="s">
        <v>1433</v>
      </c>
      <c r="C167" s="21"/>
      <c r="D167" s="117"/>
      <c r="E167" s="116"/>
      <c r="F167" s="117" t="s">
        <v>1085</v>
      </c>
      <c r="G167" s="439">
        <v>1000</v>
      </c>
      <c r="H167" s="441"/>
      <c r="I167" s="47">
        <f>Table2726731436383210271164102[[#This Row],[FY2024-2025 BUDGET]]+Table2726731436383210271164102[[#This Row],[ADDITIONAL REVENUE ]]</f>
        <v>1000</v>
      </c>
      <c r="J167" s="47">
        <v>0</v>
      </c>
      <c r="K167" s="708">
        <v>0</v>
      </c>
      <c r="L167" s="441">
        <f>Table2726731436383210271164102[[#This Row],[EXPENDED ]]+Table2726731436383210271164102[[#This Row],[ENCUMBERED]]</f>
        <v>0</v>
      </c>
      <c r="M167" s="441">
        <f>Table2726731436383210271164102[[#This Row],[FORECAST]]-Table2726731436383210271164102[[#This Row],[TOTAL YTD]]</f>
        <v>1000</v>
      </c>
      <c r="N167" s="745">
        <f>Table2726731436383210271164102[[#This Row],[TOTAL YTD]]/Table2726731436383210271164102[[#This Row],[FINAL BUDGET]]</f>
        <v>0</v>
      </c>
      <c r="O167" s="47">
        <f>Table2726731436383210271164102[[#This Row],[FINAL BUDGET]]</f>
        <v>1000</v>
      </c>
      <c r="P167" s="802">
        <f t="shared" si="3"/>
        <v>0</v>
      </c>
      <c r="Q167" s="16"/>
      <c r="R167" s="821"/>
    </row>
    <row r="168" spans="1:24" ht="19.5" customHeight="1" x14ac:dyDescent="0.25">
      <c r="A168" s="746">
        <v>21146</v>
      </c>
      <c r="B168" s="431" t="s">
        <v>1493</v>
      </c>
      <c r="C168" s="429"/>
      <c r="D168" s="116"/>
      <c r="E168" s="135"/>
      <c r="F168" s="117" t="s">
        <v>1085</v>
      </c>
      <c r="G168" s="439">
        <v>595</v>
      </c>
      <c r="H168" s="441"/>
      <c r="I168" s="47">
        <f>Table2726731436383210271164102[[#This Row],[FY2024-2025 BUDGET]]+Table2726731436383210271164102[[#This Row],[ADDITIONAL REVENUE ]]</f>
        <v>595</v>
      </c>
      <c r="J168" s="47">
        <v>0</v>
      </c>
      <c r="K168" s="708">
        <v>0</v>
      </c>
      <c r="L168" s="441">
        <f>Table2726731436383210271164102[[#This Row],[EXPENDED ]]+Table2726731436383210271164102[[#This Row],[ENCUMBERED]]</f>
        <v>0</v>
      </c>
      <c r="M168" s="441">
        <f>Table2726731436383210271164102[[#This Row],[FORECAST]]-Table2726731436383210271164102[[#This Row],[TOTAL YTD]]</f>
        <v>595</v>
      </c>
      <c r="N168" s="745">
        <f>Table2726731436383210271164102[[#This Row],[TOTAL YTD]]/Table2726731436383210271164102[[#This Row],[FINAL BUDGET]]</f>
        <v>0</v>
      </c>
      <c r="O168" s="47">
        <f>Table2726731436383210271164102[[#This Row],[FINAL BUDGET]]</f>
        <v>595</v>
      </c>
      <c r="P168" s="802">
        <f t="shared" si="3"/>
        <v>0</v>
      </c>
      <c r="Q168" s="16"/>
      <c r="R168" s="821"/>
    </row>
    <row r="169" spans="1:24" ht="19.5" customHeight="1" x14ac:dyDescent="0.25">
      <c r="A169" s="746">
        <v>22146</v>
      </c>
      <c r="B169" s="431" t="s">
        <v>1433</v>
      </c>
      <c r="C169" s="429"/>
      <c r="D169" s="116"/>
      <c r="E169" s="135"/>
      <c r="F169" s="117" t="s">
        <v>1085</v>
      </c>
      <c r="G169" s="439">
        <v>1000</v>
      </c>
      <c r="H169" s="441"/>
      <c r="I169" s="47">
        <f>Table2726731436383210271164102[[#This Row],[FY2024-2025 BUDGET]]+Table2726731436383210271164102[[#This Row],[ADDITIONAL REVENUE ]]</f>
        <v>1000</v>
      </c>
      <c r="J169" s="47">
        <v>0</v>
      </c>
      <c r="K169" s="708">
        <v>0</v>
      </c>
      <c r="L169" s="441">
        <f>Table2726731436383210271164102[[#This Row],[EXPENDED ]]+Table2726731436383210271164102[[#This Row],[ENCUMBERED]]</f>
        <v>0</v>
      </c>
      <c r="M169" s="441">
        <f>Table2726731436383210271164102[[#This Row],[FORECAST]]-Table2726731436383210271164102[[#This Row],[TOTAL YTD]]</f>
        <v>1000</v>
      </c>
      <c r="N169" s="745">
        <f>Table2726731436383210271164102[[#This Row],[TOTAL YTD]]/Table2726731436383210271164102[[#This Row],[FINAL BUDGET]]</f>
        <v>0</v>
      </c>
      <c r="O169" s="47">
        <f>Table2726731436383210271164102[[#This Row],[FINAL BUDGET]]</f>
        <v>1000</v>
      </c>
      <c r="P169" s="802">
        <f t="shared" si="3"/>
        <v>0</v>
      </c>
      <c r="Q169" s="16"/>
      <c r="R169" s="821"/>
    </row>
    <row r="170" spans="1:24" ht="19.5" customHeight="1" x14ac:dyDescent="0.25">
      <c r="A170" s="746">
        <v>23146</v>
      </c>
      <c r="B170" s="431" t="s">
        <v>1433</v>
      </c>
      <c r="C170" s="429"/>
      <c r="D170" s="116"/>
      <c r="E170" s="135"/>
      <c r="F170" s="117" t="s">
        <v>1085</v>
      </c>
      <c r="G170" s="439">
        <v>1000</v>
      </c>
      <c r="H170" s="441"/>
      <c r="I170" s="47">
        <f>Table2726731436383210271164102[[#This Row],[FY2024-2025 BUDGET]]+Table2726731436383210271164102[[#This Row],[ADDITIONAL REVENUE ]]</f>
        <v>1000</v>
      </c>
      <c r="J170" s="47">
        <v>0</v>
      </c>
      <c r="K170" s="708">
        <v>0</v>
      </c>
      <c r="L170" s="441">
        <f>Table2726731436383210271164102[[#This Row],[EXPENDED ]]+Table2726731436383210271164102[[#This Row],[ENCUMBERED]]</f>
        <v>0</v>
      </c>
      <c r="M170" s="441">
        <f>Table2726731436383210271164102[[#This Row],[FORECAST]]-Table2726731436383210271164102[[#This Row],[TOTAL YTD]]</f>
        <v>1000</v>
      </c>
      <c r="N170" s="745">
        <f>Table2726731436383210271164102[[#This Row],[TOTAL YTD]]/Table2726731436383210271164102[[#This Row],[FINAL BUDGET]]</f>
        <v>0</v>
      </c>
      <c r="O170" s="47">
        <f>Table2726731436383210271164102[[#This Row],[FINAL BUDGET]]</f>
        <v>1000</v>
      </c>
      <c r="P170" s="802">
        <f t="shared" si="3"/>
        <v>0</v>
      </c>
      <c r="Q170" s="16"/>
      <c r="R170" s="821"/>
    </row>
    <row r="171" spans="1:24" ht="19.5" customHeight="1" x14ac:dyDescent="0.25">
      <c r="A171" s="746">
        <v>24146</v>
      </c>
      <c r="B171" s="557" t="s">
        <v>1983</v>
      </c>
      <c r="C171" s="429" t="s">
        <v>1603</v>
      </c>
      <c r="D171" s="116"/>
      <c r="E171" s="135"/>
      <c r="F171" s="117" t="s">
        <v>1085</v>
      </c>
      <c r="G171" s="440">
        <v>93795</v>
      </c>
      <c r="H171" s="47">
        <v>93795</v>
      </c>
      <c r="I171" s="47">
        <f>Table2726731436383210271164102[[#This Row],[FY2024-2025 BUDGET]]+Table2726731436383210271164102[[#This Row],[ADDITIONAL REVENUE ]]</f>
        <v>187590</v>
      </c>
      <c r="J171" s="47">
        <v>0</v>
      </c>
      <c r="K171" s="47">
        <v>10180.6</v>
      </c>
      <c r="L171" s="441">
        <f>Table2726731436383210271164102[[#This Row],[EXPENDED ]]+Table2726731436383210271164102[[#This Row],[ENCUMBERED]]</f>
        <v>10180.6</v>
      </c>
      <c r="M171" s="441">
        <f>Table2726731436383210271164102[[#This Row],[FORECAST]]-Table2726731436383210271164102[[#This Row],[TOTAL YTD]]</f>
        <v>177409.4</v>
      </c>
      <c r="N171" s="745">
        <f>Table2726731436383210271164102[[#This Row],[TOTAL YTD]]/Table2726731436383210271164102[[#This Row],[FINAL BUDGET]]</f>
        <v>5.4270483501252735E-2</v>
      </c>
      <c r="O171" s="47">
        <f>Table2726731436383210271164102[[#This Row],[FINAL BUDGET]]</f>
        <v>187590</v>
      </c>
      <c r="P171" s="802">
        <f t="shared" si="3"/>
        <v>0</v>
      </c>
      <c r="Q171" s="16"/>
      <c r="R171" s="821"/>
    </row>
    <row r="172" spans="1:24" ht="19.5" customHeight="1" x14ac:dyDescent="0.25">
      <c r="A172" s="746">
        <v>17147</v>
      </c>
      <c r="B172" s="431" t="s">
        <v>1146</v>
      </c>
      <c r="C172" s="463" t="s">
        <v>1604</v>
      </c>
      <c r="D172" s="116"/>
      <c r="E172" s="135"/>
      <c r="F172" s="117" t="s">
        <v>1085</v>
      </c>
      <c r="G172" s="439">
        <v>23263</v>
      </c>
      <c r="H172" s="441">
        <f>21710.5+1675+18500+1350</f>
        <v>43235.5</v>
      </c>
      <c r="I172" s="47">
        <f>Table2726731436383210271164102[[#This Row],[FY2024-2025 BUDGET]]+Table2726731436383210271164102[[#This Row],[ADDITIONAL REVENUE ]]</f>
        <v>66498.5</v>
      </c>
      <c r="J172" s="47">
        <v>18277.73</v>
      </c>
      <c r="K172" s="708">
        <v>0</v>
      </c>
      <c r="L172" s="441">
        <f>Table2726731436383210271164102[[#This Row],[EXPENDED ]]+Table2726731436383210271164102[[#This Row],[ENCUMBERED]]</f>
        <v>18277.73</v>
      </c>
      <c r="M172" s="441">
        <f>Table2726731436383210271164102[[#This Row],[FORECAST]]-Table2726731436383210271164102[[#This Row],[TOTAL YTD]]</f>
        <v>48220.770000000004</v>
      </c>
      <c r="N172" s="745">
        <f>Table2726731436383210271164102[[#This Row],[TOTAL YTD]]/Table2726731436383210271164102[[#This Row],[FINAL BUDGET]]</f>
        <v>0.27485928254020769</v>
      </c>
      <c r="O172" s="47">
        <f>Table2726731436383210271164102[[#This Row],[FINAL BUDGET]]</f>
        <v>66498.5</v>
      </c>
      <c r="P172" s="802">
        <f t="shared" si="3"/>
        <v>0</v>
      </c>
      <c r="Q172" s="841"/>
      <c r="R172" s="806"/>
    </row>
    <row r="173" spans="1:24" ht="19.5" customHeight="1" x14ac:dyDescent="0.25">
      <c r="A173" s="746">
        <v>21147</v>
      </c>
      <c r="B173" s="431" t="s">
        <v>1478</v>
      </c>
      <c r="C173" s="617">
        <v>822</v>
      </c>
      <c r="D173" s="116"/>
      <c r="E173" s="135"/>
      <c r="F173" s="117" t="s">
        <v>1085</v>
      </c>
      <c r="G173" s="439">
        <v>4918</v>
      </c>
      <c r="H173" s="441"/>
      <c r="I173" s="47">
        <f>Table2726731436383210271164102[[#This Row],[FY2024-2025 BUDGET]]+Table2726731436383210271164102[[#This Row],[ADDITIONAL REVENUE ]]</f>
        <v>4918</v>
      </c>
      <c r="J173" s="47">
        <v>0</v>
      </c>
      <c r="K173" s="708">
        <v>0</v>
      </c>
      <c r="L173" s="441">
        <f>Table2726731436383210271164102[[#This Row],[EXPENDED ]]+Table2726731436383210271164102[[#This Row],[ENCUMBERED]]</f>
        <v>0</v>
      </c>
      <c r="M173" s="441">
        <f>Table2726731436383210271164102[[#This Row],[FORECAST]]-Table2726731436383210271164102[[#This Row],[TOTAL YTD]]</f>
        <v>4918</v>
      </c>
      <c r="N173" s="745">
        <f>Table2726731436383210271164102[[#This Row],[TOTAL YTD]]/Table2726731436383210271164102[[#This Row],[FINAL BUDGET]]</f>
        <v>0</v>
      </c>
      <c r="O173" s="47">
        <f>Table2726731436383210271164102[[#This Row],[FINAL BUDGET]]</f>
        <v>4918</v>
      </c>
      <c r="P173" s="802">
        <f t="shared" si="3"/>
        <v>0</v>
      </c>
      <c r="Q173" s="841"/>
      <c r="R173" s="806"/>
    </row>
    <row r="174" spans="1:24" ht="19.5" customHeight="1" x14ac:dyDescent="0.25">
      <c r="A174" s="746">
        <v>24147</v>
      </c>
      <c r="B174" s="431" t="s">
        <v>1985</v>
      </c>
      <c r="C174" s="21"/>
      <c r="D174" s="117"/>
      <c r="E174" s="116"/>
      <c r="F174" s="117" t="s">
        <v>1085</v>
      </c>
      <c r="G174" s="440">
        <v>2600</v>
      </c>
      <c r="H174" s="47">
        <f>1300+2600</f>
        <v>3900</v>
      </c>
      <c r="I174" s="47">
        <f>Table2726731436383210271164102[[#This Row],[FY2024-2025 BUDGET]]+Table2726731436383210271164102[[#This Row],[ADDITIONAL REVENUE ]]</f>
        <v>6500</v>
      </c>
      <c r="J174" s="47">
        <v>2678.01</v>
      </c>
      <c r="K174" s="47">
        <v>0</v>
      </c>
      <c r="L174" s="441">
        <f>Table2726731436383210271164102[[#This Row],[EXPENDED ]]+Table2726731436383210271164102[[#This Row],[ENCUMBERED]]</f>
        <v>2678.01</v>
      </c>
      <c r="M174" s="550">
        <f>Table2726731436383210271164102[[#This Row],[FORECAST]]-Table2726731436383210271164102[[#This Row],[TOTAL YTD]]</f>
        <v>3821.99</v>
      </c>
      <c r="N174" s="745">
        <f>Table2726731436383210271164102[[#This Row],[TOTAL YTD]]/Table2726731436383210271164102[[#This Row],[FINAL BUDGET]]</f>
        <v>0.41200153846153847</v>
      </c>
      <c r="O174" s="47">
        <f>Table2726731436383210271164102[[#This Row],[FINAL BUDGET]]</f>
        <v>6500</v>
      </c>
      <c r="P174" s="802">
        <f t="shared" si="3"/>
        <v>0</v>
      </c>
      <c r="Q174" s="841"/>
      <c r="R174" s="806"/>
    </row>
    <row r="175" spans="1:24" s="551" customFormat="1" ht="19.5" customHeight="1" x14ac:dyDescent="0.25">
      <c r="A175" s="746">
        <v>10148</v>
      </c>
      <c r="B175" s="431" t="s">
        <v>1148</v>
      </c>
      <c r="C175" s="21"/>
      <c r="D175" s="117"/>
      <c r="E175" s="116"/>
      <c r="F175" s="117" t="s">
        <v>1085</v>
      </c>
      <c r="G175" s="439">
        <v>45690</v>
      </c>
      <c r="H175" s="441"/>
      <c r="I175" s="47">
        <f>Table2726731436383210271164102[[#This Row],[FY2024-2025 BUDGET]]+Table2726731436383210271164102[[#This Row],[ADDITIONAL REVENUE ]]</f>
        <v>45690</v>
      </c>
      <c r="J175" s="829">
        <v>-341.49</v>
      </c>
      <c r="K175" s="708">
        <v>0</v>
      </c>
      <c r="L175" s="441">
        <f>Table2726731436383210271164102[[#This Row],[EXPENDED ]]+Table2726731436383210271164102[[#This Row],[ENCUMBERED]]</f>
        <v>-341.49</v>
      </c>
      <c r="M175" s="441">
        <f>Table2726731436383210271164102[[#This Row],[FORECAST]]-Table2726731436383210271164102[[#This Row],[TOTAL YTD]]</f>
        <v>46031.49</v>
      </c>
      <c r="N175" s="745">
        <f>Table2726731436383210271164102[[#This Row],[TOTAL YTD]]/Table2726731436383210271164102[[#This Row],[FINAL BUDGET]]</f>
        <v>-7.474064346684176E-3</v>
      </c>
      <c r="O175" s="441">
        <f>Table2726731436383210271164102[[#This Row],[FINAL BUDGET]]</f>
        <v>45690</v>
      </c>
      <c r="P175" s="817">
        <f t="shared" si="3"/>
        <v>0</v>
      </c>
      <c r="Q175" s="843"/>
      <c r="R175" s="830"/>
      <c r="S175" s="114"/>
      <c r="T175" s="114"/>
      <c r="U175" s="114"/>
      <c r="V175" s="114"/>
      <c r="W175" s="114"/>
      <c r="X175" s="114"/>
    </row>
    <row r="176" spans="1:24" s="551" customFormat="1" ht="19.5" customHeight="1" x14ac:dyDescent="0.25">
      <c r="A176" s="746">
        <v>25148</v>
      </c>
      <c r="B176" s="431" t="s">
        <v>1355</v>
      </c>
      <c r="C176" s="617"/>
      <c r="D176" s="116"/>
      <c r="E176" s="135"/>
      <c r="F176" s="117" t="s">
        <v>1085</v>
      </c>
      <c r="G176" s="440">
        <v>7260</v>
      </c>
      <c r="H176" s="47"/>
      <c r="I176" s="47">
        <f>Table2726731436383210271164102[[#This Row],[FY2024-2025 BUDGET]]+Table2726731436383210271164102[[#This Row],[ADDITIONAL REVENUE ]]</f>
        <v>7260</v>
      </c>
      <c r="J176" s="47">
        <v>0</v>
      </c>
      <c r="K176" s="47">
        <v>0</v>
      </c>
      <c r="L176" s="441">
        <f>Table2726731436383210271164102[[#This Row],[EXPENDED ]]+Table2726731436383210271164102[[#This Row],[ENCUMBERED]]</f>
        <v>0</v>
      </c>
      <c r="M176" s="441">
        <f>Table2726731436383210271164102[[#This Row],[FORECAST]]-Table2726731436383210271164102[[#This Row],[TOTAL YTD]]</f>
        <v>7260</v>
      </c>
      <c r="N176" s="745">
        <f>Table2726731436383210271164102[[#This Row],[TOTAL YTD]]/Table2726731436383210271164102[[#This Row],[FINAL BUDGET]]</f>
        <v>0</v>
      </c>
      <c r="O176" s="47">
        <f>Table2726731436383210271164102[[#This Row],[FINAL BUDGET]]</f>
        <v>7260</v>
      </c>
      <c r="P176" s="802">
        <f t="shared" si="3"/>
        <v>0</v>
      </c>
      <c r="Q176" s="16" t="s">
        <v>2138</v>
      </c>
      <c r="R176" s="830"/>
      <c r="S176" s="114"/>
      <c r="T176" s="114"/>
      <c r="U176" s="114"/>
      <c r="V176" s="114"/>
      <c r="W176" s="114"/>
      <c r="X176" s="114"/>
    </row>
    <row r="177" spans="1:18" ht="19.5" customHeight="1" x14ac:dyDescent="0.25">
      <c r="A177" s="746">
        <v>18150</v>
      </c>
      <c r="B177" s="431" t="s">
        <v>1150</v>
      </c>
      <c r="C177" s="21">
        <v>810</v>
      </c>
      <c r="D177" s="116"/>
      <c r="E177" s="135"/>
      <c r="F177" s="117" t="s">
        <v>1085</v>
      </c>
      <c r="G177" s="439">
        <v>165</v>
      </c>
      <c r="H177" s="441"/>
      <c r="I177" s="47">
        <f>Table2726731436383210271164102[[#This Row],[FY2024-2025 BUDGET]]+Table2726731436383210271164102[[#This Row],[ADDITIONAL REVENUE ]]</f>
        <v>165</v>
      </c>
      <c r="J177" s="47">
        <v>0</v>
      </c>
      <c r="K177" s="708">
        <v>0</v>
      </c>
      <c r="L177" s="441">
        <f>Table2726731436383210271164102[[#This Row],[EXPENDED ]]+Table2726731436383210271164102[[#This Row],[ENCUMBERED]]</f>
        <v>0</v>
      </c>
      <c r="M177" s="441">
        <f>Table2726731436383210271164102[[#This Row],[FORECAST]]-Table2726731436383210271164102[[#This Row],[TOTAL YTD]]</f>
        <v>165</v>
      </c>
      <c r="N177" s="745">
        <f>Table2726731436383210271164102[[#This Row],[TOTAL YTD]]/Table2726731436383210271164102[[#This Row],[FINAL BUDGET]]</f>
        <v>0</v>
      </c>
      <c r="O177" s="47">
        <f>Table2726731436383210271164102[[#This Row],[FINAL BUDGET]]</f>
        <v>165</v>
      </c>
      <c r="P177" s="802">
        <f t="shared" si="3"/>
        <v>0</v>
      </c>
      <c r="Q177" s="841"/>
      <c r="R177" s="806"/>
    </row>
    <row r="178" spans="1:18" ht="19.5" customHeight="1" x14ac:dyDescent="0.25">
      <c r="A178" s="746">
        <v>19150</v>
      </c>
      <c r="B178" s="431" t="s">
        <v>1152</v>
      </c>
      <c r="C178" s="429">
        <v>846</v>
      </c>
      <c r="D178" s="135"/>
      <c r="E178" s="135"/>
      <c r="F178" s="117" t="s">
        <v>1085</v>
      </c>
      <c r="G178" s="439">
        <v>3240</v>
      </c>
      <c r="H178" s="441"/>
      <c r="I178" s="47">
        <f>Table2726731436383210271164102[[#This Row],[FY2024-2025 BUDGET]]+Table2726731436383210271164102[[#This Row],[ADDITIONAL REVENUE ]]</f>
        <v>3240</v>
      </c>
      <c r="J178" s="47">
        <v>0</v>
      </c>
      <c r="K178" s="708">
        <v>0</v>
      </c>
      <c r="L178" s="441">
        <f>Table2726731436383210271164102[[#This Row],[EXPENDED ]]+Table2726731436383210271164102[[#This Row],[ENCUMBERED]]</f>
        <v>0</v>
      </c>
      <c r="M178" s="441">
        <f>Table2726731436383210271164102[[#This Row],[FORECAST]]-Table2726731436383210271164102[[#This Row],[TOTAL YTD]]</f>
        <v>3240</v>
      </c>
      <c r="N178" s="745">
        <f>Table2726731436383210271164102[[#This Row],[TOTAL YTD]]/Table2726731436383210271164102[[#This Row],[FINAL BUDGET]]</f>
        <v>0</v>
      </c>
      <c r="O178" s="47">
        <f>Table2726731436383210271164102[[#This Row],[FINAL BUDGET]]</f>
        <v>3240</v>
      </c>
      <c r="P178" s="802">
        <f t="shared" si="3"/>
        <v>0</v>
      </c>
      <c r="Q178" s="841"/>
      <c r="R178" s="806"/>
    </row>
    <row r="179" spans="1:18" ht="22.5" x14ac:dyDescent="0.25">
      <c r="A179" s="464" t="s">
        <v>1879</v>
      </c>
      <c r="B179" s="431" t="s">
        <v>1467</v>
      </c>
      <c r="C179" s="429"/>
      <c r="D179" s="116"/>
      <c r="E179" s="135"/>
      <c r="F179" s="117" t="s">
        <v>1085</v>
      </c>
      <c r="G179" s="439">
        <v>32507</v>
      </c>
      <c r="H179" s="441"/>
      <c r="I179" s="47">
        <f>Table2726731436383210271164102[[#This Row],[FY2024-2025 BUDGET]]+Table2726731436383210271164102[[#This Row],[ADDITIONAL REVENUE ]]</f>
        <v>32507</v>
      </c>
      <c r="J179" s="47">
        <v>0</v>
      </c>
      <c r="K179" s="708">
        <v>0</v>
      </c>
      <c r="L179" s="441">
        <f>Table2726731436383210271164102[[#This Row],[EXPENDED ]]+Table2726731436383210271164102[[#This Row],[ENCUMBERED]]</f>
        <v>0</v>
      </c>
      <c r="M179" s="441">
        <f>Table2726731436383210271164102[[#This Row],[FORECAST]]-Table2726731436383210271164102[[#This Row],[TOTAL YTD]]</f>
        <v>32507</v>
      </c>
      <c r="N179" s="745">
        <f>Table2726731436383210271164102[[#This Row],[TOTAL YTD]]/Table2726731436383210271164102[[#This Row],[FINAL BUDGET]]</f>
        <v>0</v>
      </c>
      <c r="O179" s="47">
        <f>Table2726731436383210271164102[[#This Row],[FINAL BUDGET]]</f>
        <v>32507</v>
      </c>
      <c r="P179" s="802">
        <f t="shared" si="3"/>
        <v>0</v>
      </c>
      <c r="Q179" s="841"/>
      <c r="R179" s="806"/>
    </row>
    <row r="180" spans="1:18" ht="22.5" x14ac:dyDescent="0.25">
      <c r="A180" s="464" t="s">
        <v>2073</v>
      </c>
      <c r="B180" s="431" t="s">
        <v>1467</v>
      </c>
      <c r="C180" s="617"/>
      <c r="D180" s="116"/>
      <c r="E180" s="135"/>
      <c r="F180" s="117" t="s">
        <v>1085</v>
      </c>
      <c r="G180" s="440">
        <v>41413</v>
      </c>
      <c r="H180" s="47"/>
      <c r="I180" s="47">
        <f>Table2726731436383210271164102[[#This Row],[FY2024-2025 BUDGET]]+Table2726731436383210271164102[[#This Row],[ADDITIONAL REVENUE ]]</f>
        <v>41413</v>
      </c>
      <c r="J180" s="47">
        <f>44623.25-3210.25</f>
        <v>41413</v>
      </c>
      <c r="K180" s="47">
        <v>0</v>
      </c>
      <c r="L180" s="441">
        <f>Table2726731436383210271164102[[#This Row],[EXPENDED ]]+Table2726731436383210271164102[[#This Row],[ENCUMBERED]]</f>
        <v>41413</v>
      </c>
      <c r="M180" s="550">
        <f>Table2726731436383210271164102[[#This Row],[FORECAST]]-Table2726731436383210271164102[[#This Row],[TOTAL YTD]]</f>
        <v>0</v>
      </c>
      <c r="N180" s="745">
        <f>Table2726731436383210271164102[[#This Row],[TOTAL YTD]]/Table2726731436383210271164102[[#This Row],[FINAL BUDGET]]</f>
        <v>1</v>
      </c>
      <c r="O180" s="47">
        <f>Table2726731436383210271164102[[#This Row],[FINAL BUDGET]]</f>
        <v>41413</v>
      </c>
      <c r="P180" s="802">
        <f t="shared" si="3"/>
        <v>0</v>
      </c>
      <c r="Q180" s="841"/>
      <c r="R180" s="806"/>
    </row>
    <row r="181" spans="1:18" ht="22.5" x14ac:dyDescent="0.25">
      <c r="A181" s="464" t="s">
        <v>2261</v>
      </c>
      <c r="B181" s="431" t="s">
        <v>1467</v>
      </c>
      <c r="C181" s="617"/>
      <c r="D181" s="116"/>
      <c r="E181" s="135"/>
      <c r="F181" s="117" t="s">
        <v>1085</v>
      </c>
      <c r="G181" s="440">
        <v>60000</v>
      </c>
      <c r="H181" s="47"/>
      <c r="I181" s="47">
        <f>Table2726731436383210271164102[[#This Row],[FY2024-2025 BUDGET]]+Table2726731436383210271164102[[#This Row],[ADDITIONAL REVENUE ]]</f>
        <v>60000</v>
      </c>
      <c r="J181" s="47">
        <v>3210</v>
      </c>
      <c r="K181" s="47">
        <v>4604</v>
      </c>
      <c r="L181" s="441">
        <f>Table2726731436383210271164102[[#This Row],[EXPENDED ]]+Table2726731436383210271164102[[#This Row],[ENCUMBERED]]</f>
        <v>7814</v>
      </c>
      <c r="M181" s="550">
        <f>Table2726731436383210271164102[[#This Row],[FORECAST]]-Table2726731436383210271164102[[#This Row],[TOTAL YTD]]</f>
        <v>52186</v>
      </c>
      <c r="N181" s="745">
        <f>Table2726731436383210271164102[[#This Row],[TOTAL YTD]]/Table2726731436383210271164102[[#This Row],[FINAL BUDGET]]</f>
        <v>0.13023333333333334</v>
      </c>
      <c r="O181" s="47">
        <f>Table2726731436383210271164102[[#This Row],[FINAL BUDGET]]</f>
        <v>60000</v>
      </c>
      <c r="P181" s="802">
        <f t="shared" si="3"/>
        <v>0</v>
      </c>
      <c r="Q181" s="841"/>
      <c r="R181" s="806"/>
    </row>
    <row r="182" spans="1:18" x14ac:dyDescent="0.25">
      <c r="A182" s="464" t="s">
        <v>1153</v>
      </c>
      <c r="B182" s="431" t="s">
        <v>1371</v>
      </c>
      <c r="C182" s="429"/>
      <c r="D182" s="116"/>
      <c r="E182" s="135"/>
      <c r="F182" s="117" t="s">
        <v>1085</v>
      </c>
      <c r="G182" s="439">
        <v>1074</v>
      </c>
      <c r="H182" s="441"/>
      <c r="I182" s="47">
        <f>Table2726731436383210271164102[[#This Row],[FY2024-2025 BUDGET]]+Table2726731436383210271164102[[#This Row],[ADDITIONAL REVENUE ]]</f>
        <v>1074</v>
      </c>
      <c r="J182" s="47">
        <v>0</v>
      </c>
      <c r="K182" s="708">
        <v>0</v>
      </c>
      <c r="L182" s="441">
        <f>Table2726731436383210271164102[[#This Row],[EXPENDED ]]+Table2726731436383210271164102[[#This Row],[ENCUMBERED]]</f>
        <v>0</v>
      </c>
      <c r="M182" s="441">
        <f>Table2726731436383210271164102[[#This Row],[FORECAST]]-Table2726731436383210271164102[[#This Row],[TOTAL YTD]]</f>
        <v>1074</v>
      </c>
      <c r="N182" s="745">
        <f>Table2726731436383210271164102[[#This Row],[TOTAL YTD]]/Table2726731436383210271164102[[#This Row],[FINAL BUDGET]]</f>
        <v>0</v>
      </c>
      <c r="O182" s="47">
        <f>Table2726731436383210271164102[[#This Row],[FINAL BUDGET]]</f>
        <v>1074</v>
      </c>
      <c r="P182" s="802">
        <f t="shared" si="3"/>
        <v>0</v>
      </c>
      <c r="Q182" s="841"/>
      <c r="R182" s="806"/>
    </row>
    <row r="183" spans="1:18" ht="22.5" x14ac:dyDescent="0.25">
      <c r="A183" s="464" t="s">
        <v>1357</v>
      </c>
      <c r="B183" s="431" t="s">
        <v>1358</v>
      </c>
      <c r="C183" s="617"/>
      <c r="D183" s="116"/>
      <c r="E183" s="135"/>
      <c r="F183" s="117" t="s">
        <v>1118</v>
      </c>
      <c r="G183" s="439">
        <v>1307</v>
      </c>
      <c r="H183" s="441"/>
      <c r="I183" s="47">
        <f>Table2726731436383210271164102[[#This Row],[FY2024-2025 BUDGET]]+Table2726731436383210271164102[[#This Row],[ADDITIONAL REVENUE ]]</f>
        <v>1307</v>
      </c>
      <c r="J183" s="47">
        <v>0</v>
      </c>
      <c r="K183" s="708">
        <v>0</v>
      </c>
      <c r="L183" s="441">
        <f>Table2726731436383210271164102[[#This Row],[EXPENDED ]]+Table2726731436383210271164102[[#This Row],[ENCUMBERED]]</f>
        <v>0</v>
      </c>
      <c r="M183" s="441">
        <f>Table2726731436383210271164102[[#This Row],[FORECAST]]-Table2726731436383210271164102[[#This Row],[TOTAL YTD]]</f>
        <v>1307</v>
      </c>
      <c r="N183" s="745">
        <f>Table2726731436383210271164102[[#This Row],[TOTAL YTD]]/Table2726731436383210271164102[[#This Row],[FINAL BUDGET]]</f>
        <v>0</v>
      </c>
      <c r="O183" s="47">
        <f>Table2726731436383210271164102[[#This Row],[FINAL BUDGET]]</f>
        <v>1307</v>
      </c>
      <c r="P183" s="802">
        <f t="shared" si="3"/>
        <v>0</v>
      </c>
      <c r="Q183" s="841"/>
      <c r="R183" s="806"/>
    </row>
    <row r="184" spans="1:18" ht="19.5" customHeight="1" x14ac:dyDescent="0.25">
      <c r="A184" s="464" t="s">
        <v>1880</v>
      </c>
      <c r="B184" s="431" t="s">
        <v>1881</v>
      </c>
      <c r="C184" s="21"/>
      <c r="D184" s="117"/>
      <c r="E184" s="117"/>
      <c r="F184" s="117" t="s">
        <v>1118</v>
      </c>
      <c r="G184" s="439">
        <v>29939</v>
      </c>
      <c r="H184" s="441"/>
      <c r="I184" s="47">
        <f>Table2726731436383210271164102[[#This Row],[FY2024-2025 BUDGET]]+Table2726731436383210271164102[[#This Row],[ADDITIONAL REVENUE ]]</f>
        <v>29939</v>
      </c>
      <c r="J184" s="47">
        <v>0</v>
      </c>
      <c r="K184" s="708">
        <v>0</v>
      </c>
      <c r="L184" s="441">
        <f>Table2726731436383210271164102[[#This Row],[EXPENDED ]]+Table2726731436383210271164102[[#This Row],[ENCUMBERED]]</f>
        <v>0</v>
      </c>
      <c r="M184" s="441">
        <f>Table2726731436383210271164102[[#This Row],[FORECAST]]-Table2726731436383210271164102[[#This Row],[TOTAL YTD]]</f>
        <v>29939</v>
      </c>
      <c r="N184" s="745">
        <f>Table2726731436383210271164102[[#This Row],[TOTAL YTD]]/Table2726731436383210271164102[[#This Row],[FINAL BUDGET]]</f>
        <v>0</v>
      </c>
      <c r="O184" s="47">
        <f>Table2726731436383210271164102[[#This Row],[FINAL BUDGET]]</f>
        <v>29939</v>
      </c>
      <c r="P184" s="802">
        <f t="shared" si="3"/>
        <v>0</v>
      </c>
      <c r="Q184" s="841"/>
      <c r="R184" s="806"/>
    </row>
    <row r="185" spans="1:18" x14ac:dyDescent="0.25">
      <c r="A185" s="464" t="s">
        <v>2074</v>
      </c>
      <c r="B185" s="431" t="s">
        <v>1881</v>
      </c>
      <c r="C185" s="429"/>
      <c r="D185" s="116"/>
      <c r="E185" s="135"/>
      <c r="F185" s="117" t="s">
        <v>1085</v>
      </c>
      <c r="G185" s="440">
        <v>11009</v>
      </c>
      <c r="H185" s="47"/>
      <c r="I185" s="47">
        <f>Table2726731436383210271164102[[#This Row],[FY2024-2025 BUDGET]]+Table2726731436383210271164102[[#This Row],[ADDITIONAL REVENUE ]]</f>
        <v>11009</v>
      </c>
      <c r="J185" s="47">
        <f>36833.43-25824.43</f>
        <v>11009</v>
      </c>
      <c r="K185" s="47">
        <v>0</v>
      </c>
      <c r="L185" s="441">
        <f>Table2726731436383210271164102[[#This Row],[EXPENDED ]]+Table2726731436383210271164102[[#This Row],[ENCUMBERED]]</f>
        <v>11009</v>
      </c>
      <c r="M185" s="550">
        <f>Table2726731436383210271164102[[#This Row],[FORECAST]]-Table2726731436383210271164102[[#This Row],[TOTAL YTD]]</f>
        <v>0</v>
      </c>
      <c r="N185" s="745">
        <f>Table2726731436383210271164102[[#This Row],[TOTAL YTD]]/Table2726731436383210271164102[[#This Row],[FINAL BUDGET]]</f>
        <v>1</v>
      </c>
      <c r="O185" s="47">
        <f>Table2726731436383210271164102[[#This Row],[FINAL BUDGET]]</f>
        <v>11009</v>
      </c>
      <c r="P185" s="802">
        <f t="shared" si="3"/>
        <v>0</v>
      </c>
      <c r="Q185" s="841"/>
      <c r="R185" s="806"/>
    </row>
    <row r="186" spans="1:18" x14ac:dyDescent="0.25">
      <c r="A186" s="464" t="s">
        <v>2262</v>
      </c>
      <c r="B186" s="431" t="s">
        <v>1881</v>
      </c>
      <c r="C186" s="429"/>
      <c r="D186" s="116"/>
      <c r="E186" s="135"/>
      <c r="F186" s="117" t="s">
        <v>1085</v>
      </c>
      <c r="G186" s="440">
        <v>47018</v>
      </c>
      <c r="H186" s="47"/>
      <c r="I186" s="47">
        <f>Table2726731436383210271164102[[#This Row],[FY2024-2025 BUDGET]]+Table2726731436383210271164102[[#This Row],[ADDITIONAL REVENUE ]]</f>
        <v>47018</v>
      </c>
      <c r="J186" s="47">
        <v>25824</v>
      </c>
      <c r="K186" s="47">
        <v>7653</v>
      </c>
      <c r="L186" s="441">
        <f>Table2726731436383210271164102[[#This Row],[EXPENDED ]]+Table2726731436383210271164102[[#This Row],[ENCUMBERED]]</f>
        <v>33477</v>
      </c>
      <c r="M186" s="550">
        <f>Table2726731436383210271164102[[#This Row],[FORECAST]]-Table2726731436383210271164102[[#This Row],[TOTAL YTD]]</f>
        <v>13541</v>
      </c>
      <c r="N186" s="745">
        <f>Table2726731436383210271164102[[#This Row],[TOTAL YTD]]/Table2726731436383210271164102[[#This Row],[FINAL BUDGET]]</f>
        <v>0.71200391339487001</v>
      </c>
      <c r="O186" s="47">
        <f>Table2726731436383210271164102[[#This Row],[FINAL BUDGET]]</f>
        <v>47018</v>
      </c>
      <c r="P186" s="802">
        <f t="shared" si="3"/>
        <v>0</v>
      </c>
      <c r="Q186" s="841"/>
      <c r="R186" s="806"/>
    </row>
    <row r="187" spans="1:18" ht="22.5" x14ac:dyDescent="0.25">
      <c r="A187" s="464" t="s">
        <v>1155</v>
      </c>
      <c r="B187" s="431" t="s">
        <v>1370</v>
      </c>
      <c r="C187" s="429">
        <v>808</v>
      </c>
      <c r="D187" s="116"/>
      <c r="E187" s="135"/>
      <c r="F187" s="117" t="s">
        <v>1085</v>
      </c>
      <c r="G187" s="439">
        <v>49</v>
      </c>
      <c r="H187" s="441"/>
      <c r="I187" s="47">
        <f>Table2726731436383210271164102[[#This Row],[FY2024-2025 BUDGET]]+Table2726731436383210271164102[[#This Row],[ADDITIONAL REVENUE ]]</f>
        <v>49</v>
      </c>
      <c r="J187" s="47">
        <v>0</v>
      </c>
      <c r="K187" s="708">
        <v>0</v>
      </c>
      <c r="L187" s="441">
        <f>Table2726731436383210271164102[[#This Row],[EXPENDED ]]+Table2726731436383210271164102[[#This Row],[ENCUMBERED]]</f>
        <v>0</v>
      </c>
      <c r="M187" s="441">
        <f>Table2726731436383210271164102[[#This Row],[FORECAST]]-Table2726731436383210271164102[[#This Row],[TOTAL YTD]]</f>
        <v>49</v>
      </c>
      <c r="N187" s="745">
        <f>Table2726731436383210271164102[[#This Row],[TOTAL YTD]]/Table2726731436383210271164102[[#This Row],[FINAL BUDGET]]</f>
        <v>0</v>
      </c>
      <c r="O187" s="47">
        <f>Table2726731436383210271164102[[#This Row],[FINAL BUDGET]]</f>
        <v>49</v>
      </c>
      <c r="P187" s="802">
        <f t="shared" si="3"/>
        <v>0</v>
      </c>
      <c r="Q187" s="841"/>
      <c r="R187" s="806"/>
    </row>
    <row r="188" spans="1:18" ht="19.5" customHeight="1" x14ac:dyDescent="0.25">
      <c r="A188" s="464" t="s">
        <v>1882</v>
      </c>
      <c r="B188" s="431" t="s">
        <v>1546</v>
      </c>
      <c r="C188" s="21"/>
      <c r="D188" s="117"/>
      <c r="E188" s="116"/>
      <c r="F188" s="117" t="s">
        <v>1085</v>
      </c>
      <c r="G188" s="439">
        <v>36741</v>
      </c>
      <c r="H188" s="441"/>
      <c r="I188" s="47">
        <f>Table2726731436383210271164102[[#This Row],[FY2024-2025 BUDGET]]+Table2726731436383210271164102[[#This Row],[ADDITIONAL REVENUE ]]</f>
        <v>36741</v>
      </c>
      <c r="J188" s="47">
        <v>0</v>
      </c>
      <c r="K188" s="708">
        <v>0</v>
      </c>
      <c r="L188" s="441">
        <f>Table2726731436383210271164102[[#This Row],[EXPENDED ]]+Table2726731436383210271164102[[#This Row],[ENCUMBERED]]</f>
        <v>0</v>
      </c>
      <c r="M188" s="441">
        <f>Table2726731436383210271164102[[#This Row],[FORECAST]]-Table2726731436383210271164102[[#This Row],[TOTAL YTD]]</f>
        <v>36741</v>
      </c>
      <c r="N188" s="745">
        <f>Table2726731436383210271164102[[#This Row],[TOTAL YTD]]/Table2726731436383210271164102[[#This Row],[FINAL BUDGET]]</f>
        <v>0</v>
      </c>
      <c r="O188" s="47">
        <f>Table2726731436383210271164102[[#This Row],[FINAL BUDGET]]</f>
        <v>36741</v>
      </c>
      <c r="P188" s="802">
        <f t="shared" si="3"/>
        <v>0</v>
      </c>
      <c r="Q188" s="841"/>
      <c r="R188" s="806"/>
    </row>
    <row r="189" spans="1:18" ht="22.5" x14ac:dyDescent="0.25">
      <c r="A189" s="464" t="s">
        <v>2075</v>
      </c>
      <c r="B189" s="431" t="s">
        <v>1546</v>
      </c>
      <c r="C189" s="429"/>
      <c r="D189" s="116"/>
      <c r="E189" s="135"/>
      <c r="F189" s="117" t="s">
        <v>1085</v>
      </c>
      <c r="G189" s="440">
        <v>30749</v>
      </c>
      <c r="H189" s="47"/>
      <c r="I189" s="47">
        <f>Table2726731436383210271164102[[#This Row],[FY2024-2025 BUDGET]]+Table2726731436383210271164102[[#This Row],[ADDITIONAL REVENUE ]]</f>
        <v>30749</v>
      </c>
      <c r="J189" s="47">
        <v>23867.79</v>
      </c>
      <c r="K189" s="47">
        <v>1863.53</v>
      </c>
      <c r="L189" s="441">
        <f>Table2726731436383210271164102[[#This Row],[EXPENDED ]]+Table2726731436383210271164102[[#This Row],[ENCUMBERED]]</f>
        <v>25731.32</v>
      </c>
      <c r="M189" s="441">
        <f>Table2726731436383210271164102[[#This Row],[FORECAST]]-Table2726731436383210271164102[[#This Row],[TOTAL YTD]]</f>
        <v>5017.68</v>
      </c>
      <c r="N189" s="745">
        <f>Table2726731436383210271164102[[#This Row],[TOTAL YTD]]/Table2726731436383210271164102[[#This Row],[FINAL BUDGET]]</f>
        <v>0.83681810790594813</v>
      </c>
      <c r="O189" s="47">
        <f>Table2726731436383210271164102[[#This Row],[FINAL BUDGET]]</f>
        <v>30749</v>
      </c>
      <c r="P189" s="802">
        <f t="shared" si="3"/>
        <v>0</v>
      </c>
      <c r="Q189" s="841"/>
      <c r="R189" s="806"/>
    </row>
    <row r="190" spans="1:18" ht="22.5" x14ac:dyDescent="0.25">
      <c r="A190" s="464" t="s">
        <v>1883</v>
      </c>
      <c r="B190" s="557" t="s">
        <v>1361</v>
      </c>
      <c r="C190" s="617"/>
      <c r="D190" s="116"/>
      <c r="E190" s="135"/>
      <c r="F190" s="117" t="s">
        <v>1085</v>
      </c>
      <c r="G190" s="439">
        <v>34869</v>
      </c>
      <c r="H190" s="441"/>
      <c r="I190" s="47">
        <f>Table2726731436383210271164102[[#This Row],[FY2024-2025 BUDGET]]+Table2726731436383210271164102[[#This Row],[ADDITIONAL REVENUE ]]</f>
        <v>34869</v>
      </c>
      <c r="J190" s="47">
        <v>0</v>
      </c>
      <c r="K190" s="708">
        <v>0</v>
      </c>
      <c r="L190" s="441">
        <f>Table2726731436383210271164102[[#This Row],[EXPENDED ]]+Table2726731436383210271164102[[#This Row],[ENCUMBERED]]</f>
        <v>0</v>
      </c>
      <c r="M190" s="441">
        <f>Table2726731436383210271164102[[#This Row],[FORECAST]]-Table2726731436383210271164102[[#This Row],[TOTAL YTD]]</f>
        <v>34869</v>
      </c>
      <c r="N190" s="745">
        <f>Table2726731436383210271164102[[#This Row],[TOTAL YTD]]/Table2726731436383210271164102[[#This Row],[FINAL BUDGET]]</f>
        <v>0</v>
      </c>
      <c r="O190" s="47">
        <f>Table2726731436383210271164102[[#This Row],[FINAL BUDGET]]</f>
        <v>34869</v>
      </c>
      <c r="P190" s="802">
        <f t="shared" si="3"/>
        <v>0</v>
      </c>
      <c r="Q190" s="841"/>
      <c r="R190" s="806"/>
    </row>
    <row r="191" spans="1:18" ht="22.5" x14ac:dyDescent="0.25">
      <c r="A191" s="464" t="s">
        <v>2076</v>
      </c>
      <c r="B191" s="557" t="s">
        <v>1361</v>
      </c>
      <c r="C191" s="617"/>
      <c r="D191" s="116"/>
      <c r="E191" s="135"/>
      <c r="F191" s="117" t="s">
        <v>1085</v>
      </c>
      <c r="G191" s="440">
        <v>20112</v>
      </c>
      <c r="H191" s="47"/>
      <c r="I191" s="47">
        <f>Table2726731436383210271164102[[#This Row],[FY2024-2025 BUDGET]]+Table2726731436383210271164102[[#This Row],[ADDITIONAL REVENUE ]]</f>
        <v>20112</v>
      </c>
      <c r="J191" s="47">
        <f>35655.51-15544</f>
        <v>20111.510000000002</v>
      </c>
      <c r="K191" s="47">
        <v>0</v>
      </c>
      <c r="L191" s="441">
        <f>Table2726731436383210271164102[[#This Row],[EXPENDED ]]+Table2726731436383210271164102[[#This Row],[ENCUMBERED]]</f>
        <v>20111.510000000002</v>
      </c>
      <c r="M191" s="550">
        <f>Table2726731436383210271164102[[#This Row],[FORECAST]]-Table2726731436383210271164102[[#This Row],[TOTAL YTD]]</f>
        <v>0.48999999999796273</v>
      </c>
      <c r="N191" s="745">
        <f>Table2726731436383210271164102[[#This Row],[TOTAL YTD]]/Table2726731436383210271164102[[#This Row],[FINAL BUDGET]]</f>
        <v>0.99997563643595877</v>
      </c>
      <c r="O191" s="47">
        <f>Table2726731436383210271164102[[#This Row],[FINAL BUDGET]]</f>
        <v>20112</v>
      </c>
      <c r="P191" s="802">
        <f t="shared" si="3"/>
        <v>0</v>
      </c>
      <c r="Q191" s="841"/>
      <c r="R191" s="806"/>
    </row>
    <row r="192" spans="1:18" ht="22.5" x14ac:dyDescent="0.25">
      <c r="A192" s="464" t="s">
        <v>2263</v>
      </c>
      <c r="B192" s="557" t="s">
        <v>1361</v>
      </c>
      <c r="C192" s="617"/>
      <c r="D192" s="116"/>
      <c r="E192" s="135"/>
      <c r="F192" s="117" t="s">
        <v>1085</v>
      </c>
      <c r="G192" s="440">
        <v>55020</v>
      </c>
      <c r="H192" s="47"/>
      <c r="I192" s="47">
        <f>Table2726731436383210271164102[[#This Row],[FY2024-2025 BUDGET]]+Table2726731436383210271164102[[#This Row],[ADDITIONAL REVENUE ]]</f>
        <v>55020</v>
      </c>
      <c r="J192" s="47">
        <v>15544</v>
      </c>
      <c r="K192" s="47">
        <v>2700</v>
      </c>
      <c r="L192" s="441">
        <f>Table2726731436383210271164102[[#This Row],[EXPENDED ]]+Table2726731436383210271164102[[#This Row],[ENCUMBERED]]</f>
        <v>18244</v>
      </c>
      <c r="M192" s="550">
        <f>Table2726731436383210271164102[[#This Row],[FORECAST]]-Table2726731436383210271164102[[#This Row],[TOTAL YTD]]</f>
        <v>36776</v>
      </c>
      <c r="N192" s="745">
        <f>Table2726731436383210271164102[[#This Row],[TOTAL YTD]]/Table2726731436383210271164102[[#This Row],[FINAL BUDGET]]</f>
        <v>0.33158851326790256</v>
      </c>
      <c r="O192" s="47">
        <f>Table2726731436383210271164102[[#This Row],[FINAL BUDGET]]</f>
        <v>55020</v>
      </c>
      <c r="P192" s="802">
        <f t="shared" si="3"/>
        <v>0</v>
      </c>
      <c r="Q192" s="841"/>
      <c r="R192" s="806"/>
    </row>
    <row r="193" spans="1:18" ht="19.5" customHeight="1" x14ac:dyDescent="0.25">
      <c r="A193" s="464" t="s">
        <v>1157</v>
      </c>
      <c r="B193" s="431" t="s">
        <v>1369</v>
      </c>
      <c r="C193" s="21"/>
      <c r="D193" s="117"/>
      <c r="E193" s="116"/>
      <c r="F193" s="117" t="s">
        <v>1085</v>
      </c>
      <c r="G193" s="439">
        <v>65</v>
      </c>
      <c r="H193" s="441"/>
      <c r="I193" s="47">
        <f>Table2726731436383210271164102[[#This Row],[FY2024-2025 BUDGET]]+Table2726731436383210271164102[[#This Row],[ADDITIONAL REVENUE ]]</f>
        <v>65</v>
      </c>
      <c r="J193" s="47">
        <v>0</v>
      </c>
      <c r="K193" s="708">
        <v>0</v>
      </c>
      <c r="L193" s="441">
        <f>Table2726731436383210271164102[[#This Row],[EXPENDED ]]+Table2726731436383210271164102[[#This Row],[ENCUMBERED]]</f>
        <v>0</v>
      </c>
      <c r="M193" s="441">
        <f>Table2726731436383210271164102[[#This Row],[FORECAST]]-Table2726731436383210271164102[[#This Row],[TOTAL YTD]]</f>
        <v>65</v>
      </c>
      <c r="N193" s="745">
        <f>Table2726731436383210271164102[[#This Row],[TOTAL YTD]]/Table2726731436383210271164102[[#This Row],[FINAL BUDGET]]</f>
        <v>0</v>
      </c>
      <c r="O193" s="47">
        <f>Table2726731436383210271164102[[#This Row],[FINAL BUDGET]]</f>
        <v>65</v>
      </c>
      <c r="P193" s="802">
        <f t="shared" si="3"/>
        <v>0</v>
      </c>
      <c r="Q193" s="841"/>
      <c r="R193" s="806"/>
    </row>
    <row r="194" spans="1:18" ht="19.5" customHeight="1" x14ac:dyDescent="0.25">
      <c r="A194" s="464" t="s">
        <v>1746</v>
      </c>
      <c r="B194" s="431" t="s">
        <v>1776</v>
      </c>
      <c r="C194" s="429">
        <v>831</v>
      </c>
      <c r="D194" s="117"/>
      <c r="E194" s="116"/>
      <c r="F194" s="117" t="s">
        <v>1085</v>
      </c>
      <c r="G194" s="439">
        <v>2260</v>
      </c>
      <c r="H194" s="441"/>
      <c r="I194" s="47">
        <f>Table2726731436383210271164102[[#This Row],[FY2024-2025 BUDGET]]+Table2726731436383210271164102[[#This Row],[ADDITIONAL REVENUE ]]</f>
        <v>2260</v>
      </c>
      <c r="J194" s="47">
        <v>0</v>
      </c>
      <c r="K194" s="708">
        <v>0</v>
      </c>
      <c r="L194" s="441">
        <f>Table2726731436383210271164102[[#This Row],[EXPENDED ]]+Table2726731436383210271164102[[#This Row],[ENCUMBERED]]</f>
        <v>0</v>
      </c>
      <c r="M194" s="441">
        <f>Table2726731436383210271164102[[#This Row],[FORECAST]]-Table2726731436383210271164102[[#This Row],[TOTAL YTD]]</f>
        <v>2260</v>
      </c>
      <c r="N194" s="745">
        <f>Table2726731436383210271164102[[#This Row],[TOTAL YTD]]/Table2726731436383210271164102[[#This Row],[FINAL BUDGET]]</f>
        <v>0</v>
      </c>
      <c r="O194" s="47">
        <f>Table2726731436383210271164102[[#This Row],[FINAL BUDGET]]</f>
        <v>2260</v>
      </c>
      <c r="P194" s="802">
        <f t="shared" si="3"/>
        <v>0</v>
      </c>
      <c r="Q194" s="841"/>
      <c r="R194" s="806"/>
    </row>
    <row r="195" spans="1:18" x14ac:dyDescent="0.25">
      <c r="A195" s="464" t="s">
        <v>1159</v>
      </c>
      <c r="B195" s="431" t="s">
        <v>1368</v>
      </c>
      <c r="C195" s="429"/>
      <c r="D195" s="116"/>
      <c r="E195" s="135"/>
      <c r="F195" s="117" t="s">
        <v>1085</v>
      </c>
      <c r="G195" s="439">
        <v>761</v>
      </c>
      <c r="H195" s="441"/>
      <c r="I195" s="47">
        <f>Table2726731436383210271164102[[#This Row],[FY2024-2025 BUDGET]]+Table2726731436383210271164102[[#This Row],[ADDITIONAL REVENUE ]]</f>
        <v>761</v>
      </c>
      <c r="J195" s="47">
        <v>0</v>
      </c>
      <c r="K195" s="708">
        <v>0</v>
      </c>
      <c r="L195" s="441">
        <f>Table2726731436383210271164102[[#This Row],[EXPENDED ]]+Table2726731436383210271164102[[#This Row],[ENCUMBERED]]</f>
        <v>0</v>
      </c>
      <c r="M195" s="441">
        <f>Table2726731436383210271164102[[#This Row],[FORECAST]]-Table2726731436383210271164102[[#This Row],[TOTAL YTD]]</f>
        <v>761</v>
      </c>
      <c r="N195" s="745">
        <f>Table2726731436383210271164102[[#This Row],[TOTAL YTD]]/Table2726731436383210271164102[[#This Row],[FINAL BUDGET]]</f>
        <v>0</v>
      </c>
      <c r="O195" s="47">
        <f>Table2726731436383210271164102[[#This Row],[FINAL BUDGET]]</f>
        <v>761</v>
      </c>
      <c r="P195" s="802">
        <f t="shared" si="3"/>
        <v>0</v>
      </c>
      <c r="Q195" s="841"/>
      <c r="R195" s="806"/>
    </row>
    <row r="196" spans="1:18" ht="19.5" customHeight="1" x14ac:dyDescent="0.25">
      <c r="A196" s="464" t="s">
        <v>1775</v>
      </c>
      <c r="B196" s="431" t="s">
        <v>1637</v>
      </c>
      <c r="C196" s="429">
        <v>831</v>
      </c>
      <c r="D196" s="116"/>
      <c r="E196" s="135"/>
      <c r="F196" s="117" t="s">
        <v>1085</v>
      </c>
      <c r="G196" s="439">
        <v>6709</v>
      </c>
      <c r="H196" s="441"/>
      <c r="I196" s="47">
        <f>Table2726731436383210271164102[[#This Row],[FY2024-2025 BUDGET]]+Table2726731436383210271164102[[#This Row],[ADDITIONAL REVENUE ]]</f>
        <v>6709</v>
      </c>
      <c r="J196" s="47">
        <v>0</v>
      </c>
      <c r="K196" s="708">
        <v>0</v>
      </c>
      <c r="L196" s="441">
        <f>Table2726731436383210271164102[[#This Row],[EXPENDED ]]+Table2726731436383210271164102[[#This Row],[ENCUMBERED]]</f>
        <v>0</v>
      </c>
      <c r="M196" s="441">
        <f>Table2726731436383210271164102[[#This Row],[FORECAST]]-Table2726731436383210271164102[[#This Row],[TOTAL YTD]]</f>
        <v>6709</v>
      </c>
      <c r="N196" s="745">
        <f>Table2726731436383210271164102[[#This Row],[TOTAL YTD]]/Table2726731436383210271164102[[#This Row],[FINAL BUDGET]]</f>
        <v>0</v>
      </c>
      <c r="O196" s="47">
        <f>Table2726731436383210271164102[[#This Row],[FINAL BUDGET]]</f>
        <v>6709</v>
      </c>
      <c r="P196" s="802">
        <f t="shared" si="3"/>
        <v>0</v>
      </c>
      <c r="Q196" s="841"/>
      <c r="R196" s="806"/>
    </row>
    <row r="197" spans="1:18" ht="24" customHeight="1" x14ac:dyDescent="0.25">
      <c r="A197" s="464" t="s">
        <v>2082</v>
      </c>
      <c r="B197" s="431" t="s">
        <v>1637</v>
      </c>
      <c r="C197" s="429">
        <v>831</v>
      </c>
      <c r="D197" s="116"/>
      <c r="E197" s="135"/>
      <c r="F197" s="117" t="s">
        <v>1085</v>
      </c>
      <c r="G197" s="440">
        <v>60000</v>
      </c>
      <c r="H197" s="47"/>
      <c r="I197" s="47">
        <f>Table2726731436383210271164102[[#This Row],[FY2024-2025 BUDGET]]+Table2726731436383210271164102[[#This Row],[ADDITIONAL REVENUE ]]</f>
        <v>60000</v>
      </c>
      <c r="J197" s="47">
        <v>0</v>
      </c>
      <c r="K197" s="47">
        <v>0</v>
      </c>
      <c r="L197" s="441">
        <f>Table2726731436383210271164102[[#This Row],[EXPENDED ]]+Table2726731436383210271164102[[#This Row],[ENCUMBERED]]</f>
        <v>0</v>
      </c>
      <c r="M197" s="441">
        <f>Table2726731436383210271164102[[#This Row],[FORECAST]]-Table2726731436383210271164102[[#This Row],[TOTAL YTD]]</f>
        <v>60000</v>
      </c>
      <c r="N197" s="745">
        <f>Table2726731436383210271164102[[#This Row],[TOTAL YTD]]/Table2726731436383210271164102[[#This Row],[FINAL BUDGET]]</f>
        <v>0</v>
      </c>
      <c r="O197" s="47">
        <f>Table2726731436383210271164102[[#This Row],[FINAL BUDGET]]</f>
        <v>60000</v>
      </c>
      <c r="P197" s="802">
        <f t="shared" si="3"/>
        <v>0</v>
      </c>
      <c r="Q197" s="841"/>
      <c r="R197" s="806"/>
    </row>
    <row r="198" spans="1:18" x14ac:dyDescent="0.25">
      <c r="A198" s="464" t="s">
        <v>1833</v>
      </c>
      <c r="B198" s="431" t="s">
        <v>1834</v>
      </c>
      <c r="C198" s="429"/>
      <c r="D198" s="116"/>
      <c r="E198" s="135"/>
      <c r="F198" s="117" t="s">
        <v>1085</v>
      </c>
      <c r="G198" s="439">
        <v>21149</v>
      </c>
      <c r="H198" s="441"/>
      <c r="I198" s="47">
        <f>Table2726731436383210271164102[[#This Row],[FY2024-2025 BUDGET]]+Table2726731436383210271164102[[#This Row],[ADDITIONAL REVENUE ]]</f>
        <v>21149</v>
      </c>
      <c r="J198" s="47">
        <v>0</v>
      </c>
      <c r="K198" s="708">
        <v>0</v>
      </c>
      <c r="L198" s="441">
        <f>Table2726731436383210271164102[[#This Row],[EXPENDED ]]+Table2726731436383210271164102[[#This Row],[ENCUMBERED]]</f>
        <v>0</v>
      </c>
      <c r="M198" s="441">
        <f>Table2726731436383210271164102[[#This Row],[FORECAST]]-Table2726731436383210271164102[[#This Row],[TOTAL YTD]]</f>
        <v>21149</v>
      </c>
      <c r="N198" s="745">
        <f>Table2726731436383210271164102[[#This Row],[TOTAL YTD]]/Table2726731436383210271164102[[#This Row],[FINAL BUDGET]]</f>
        <v>0</v>
      </c>
      <c r="O198" s="47">
        <f>Table2726731436383210271164102[[#This Row],[FINAL BUDGET]]</f>
        <v>21149</v>
      </c>
      <c r="P198" s="802">
        <f t="shared" si="3"/>
        <v>0</v>
      </c>
      <c r="Q198" s="841"/>
      <c r="R198" s="806"/>
    </row>
    <row r="199" spans="1:18" ht="22.5" x14ac:dyDescent="0.25">
      <c r="A199" s="464" t="s">
        <v>1831</v>
      </c>
      <c r="B199" s="431" t="s">
        <v>1832</v>
      </c>
      <c r="C199" s="429">
        <v>812</v>
      </c>
      <c r="D199" s="116"/>
      <c r="E199" s="135"/>
      <c r="F199" s="117" t="s">
        <v>1085</v>
      </c>
      <c r="G199" s="439">
        <v>1874</v>
      </c>
      <c r="H199" s="441"/>
      <c r="I199" s="47">
        <f>Table2726731436383210271164102[[#This Row],[FY2024-2025 BUDGET]]+Table2726731436383210271164102[[#This Row],[ADDITIONAL REVENUE ]]</f>
        <v>1874</v>
      </c>
      <c r="J199" s="47">
        <v>0</v>
      </c>
      <c r="K199" s="708">
        <v>0</v>
      </c>
      <c r="L199" s="441">
        <f>Table2726731436383210271164102[[#This Row],[EXPENDED ]]+Table2726731436383210271164102[[#This Row],[ENCUMBERED]]</f>
        <v>0</v>
      </c>
      <c r="M199" s="441">
        <f>Table2726731436383210271164102[[#This Row],[FORECAST]]-Table2726731436383210271164102[[#This Row],[TOTAL YTD]]</f>
        <v>1874</v>
      </c>
      <c r="N199" s="745">
        <f>Table2726731436383210271164102[[#This Row],[TOTAL YTD]]/Table2726731436383210271164102[[#This Row],[FINAL BUDGET]]</f>
        <v>0</v>
      </c>
      <c r="O199" s="47">
        <f>Table2726731436383210271164102[[#This Row],[FINAL BUDGET]]</f>
        <v>1874</v>
      </c>
      <c r="P199" s="802">
        <f t="shared" si="3"/>
        <v>0</v>
      </c>
      <c r="Q199" s="841"/>
      <c r="R199" s="806"/>
    </row>
    <row r="200" spans="1:18" x14ac:dyDescent="0.25">
      <c r="A200" s="464" t="s">
        <v>1829</v>
      </c>
      <c r="B200" s="431" t="s">
        <v>1830</v>
      </c>
      <c r="C200" s="429">
        <v>845</v>
      </c>
      <c r="D200" s="116"/>
      <c r="E200" s="135"/>
      <c r="F200" s="117" t="s">
        <v>1085</v>
      </c>
      <c r="G200" s="439">
        <v>74</v>
      </c>
      <c r="H200" s="441"/>
      <c r="I200" s="47">
        <f>Table2726731436383210271164102[[#This Row],[FY2024-2025 BUDGET]]+Table2726731436383210271164102[[#This Row],[ADDITIONAL REVENUE ]]</f>
        <v>74</v>
      </c>
      <c r="J200" s="47">
        <v>73.78</v>
      </c>
      <c r="K200" s="708">
        <v>0</v>
      </c>
      <c r="L200" s="441">
        <f>Table2726731436383210271164102[[#This Row],[EXPENDED ]]+Table2726731436383210271164102[[#This Row],[ENCUMBERED]]</f>
        <v>73.78</v>
      </c>
      <c r="M200" s="441">
        <f>Table2726731436383210271164102[[#This Row],[FORECAST]]-Table2726731436383210271164102[[#This Row],[TOTAL YTD]]</f>
        <v>0.21999999999999886</v>
      </c>
      <c r="N200" s="745">
        <f>Table2726731436383210271164102[[#This Row],[TOTAL YTD]]/Table2726731436383210271164102[[#This Row],[FINAL BUDGET]]</f>
        <v>0.99702702702702706</v>
      </c>
      <c r="O200" s="47">
        <f>Table2726731436383210271164102[[#This Row],[FINAL BUDGET]]</f>
        <v>74</v>
      </c>
      <c r="P200" s="802">
        <f t="shared" si="3"/>
        <v>0</v>
      </c>
      <c r="Q200" s="841"/>
      <c r="R200" s="806"/>
    </row>
    <row r="201" spans="1:18" x14ac:dyDescent="0.25">
      <c r="A201" s="464" t="s">
        <v>2175</v>
      </c>
      <c r="B201" s="431" t="s">
        <v>1830</v>
      </c>
      <c r="C201" s="429">
        <v>845</v>
      </c>
      <c r="D201" s="116"/>
      <c r="E201" s="135"/>
      <c r="F201" s="117" t="s">
        <v>1085</v>
      </c>
      <c r="G201" s="440">
        <v>4300</v>
      </c>
      <c r="H201" s="47"/>
      <c r="I201" s="47">
        <f>Table2726731436383210271164102[[#This Row],[FY2024-2025 BUDGET]]+Table2726731436383210271164102[[#This Row],[ADDITIONAL REVENUE ]]</f>
        <v>4300</v>
      </c>
      <c r="J201" s="47">
        <v>1096.3</v>
      </c>
      <c r="K201" s="47">
        <v>210</v>
      </c>
      <c r="L201" s="441">
        <f>Table2726731436383210271164102[[#This Row],[EXPENDED ]]+Table2726731436383210271164102[[#This Row],[ENCUMBERED]]</f>
        <v>1306.3</v>
      </c>
      <c r="M201" s="441">
        <f>Table2726731436383210271164102[[#This Row],[FORECAST]]-Table2726731436383210271164102[[#This Row],[TOTAL YTD]]</f>
        <v>2993.7</v>
      </c>
      <c r="N201" s="745">
        <f>Table2726731436383210271164102[[#This Row],[TOTAL YTD]]/Table2726731436383210271164102[[#This Row],[FINAL BUDGET]]</f>
        <v>0.30379069767441857</v>
      </c>
      <c r="O201" s="47">
        <f>Table2726731436383210271164102[[#This Row],[FINAL BUDGET]]</f>
        <v>4300</v>
      </c>
      <c r="P201" s="802">
        <f t="shared" si="3"/>
        <v>0</v>
      </c>
      <c r="Q201" s="16" t="s">
        <v>2176</v>
      </c>
      <c r="R201" s="806"/>
    </row>
    <row r="202" spans="1:18" ht="19.5" customHeight="1" x14ac:dyDescent="0.25">
      <c r="A202" s="464" t="s">
        <v>1161</v>
      </c>
      <c r="B202" s="431" t="s">
        <v>1367</v>
      </c>
      <c r="C202" s="429"/>
      <c r="D202" s="116"/>
      <c r="E202" s="135"/>
      <c r="F202" s="117" t="s">
        <v>1085</v>
      </c>
      <c r="G202" s="439">
        <v>12846</v>
      </c>
      <c r="H202" s="441"/>
      <c r="I202" s="47">
        <f>Table2726731436383210271164102[[#This Row],[FY2024-2025 BUDGET]]+Table2726731436383210271164102[[#This Row],[ADDITIONAL REVENUE ]]</f>
        <v>12846</v>
      </c>
      <c r="J202" s="47">
        <v>0</v>
      </c>
      <c r="K202" s="708">
        <v>0</v>
      </c>
      <c r="L202" s="441">
        <f>Table2726731436383210271164102[[#This Row],[EXPENDED ]]+Table2726731436383210271164102[[#This Row],[ENCUMBERED]]</f>
        <v>0</v>
      </c>
      <c r="M202" s="441">
        <f>Table2726731436383210271164102[[#This Row],[FORECAST]]-Table2726731436383210271164102[[#This Row],[TOTAL YTD]]</f>
        <v>12846</v>
      </c>
      <c r="N202" s="745">
        <f>Table2726731436383210271164102[[#This Row],[TOTAL YTD]]/Table2726731436383210271164102[[#This Row],[FINAL BUDGET]]</f>
        <v>0</v>
      </c>
      <c r="O202" s="47">
        <f>Table2726731436383210271164102[[#This Row],[FINAL BUDGET]]</f>
        <v>12846</v>
      </c>
      <c r="P202" s="802">
        <f t="shared" si="3"/>
        <v>0</v>
      </c>
      <c r="Q202" s="841"/>
      <c r="R202" s="806"/>
    </row>
    <row r="203" spans="1:18" ht="19.5" customHeight="1" x14ac:dyDescent="0.25">
      <c r="A203" s="464" t="s">
        <v>1162</v>
      </c>
      <c r="B203" s="431" t="s">
        <v>1366</v>
      </c>
      <c r="C203" s="429"/>
      <c r="D203" s="116"/>
      <c r="E203" s="135"/>
      <c r="F203" s="117" t="s">
        <v>1085</v>
      </c>
      <c r="G203" s="439">
        <v>1586</v>
      </c>
      <c r="H203" s="441"/>
      <c r="I203" s="47">
        <f>Table2726731436383210271164102[[#This Row],[FY2024-2025 BUDGET]]+Table2726731436383210271164102[[#This Row],[ADDITIONAL REVENUE ]]</f>
        <v>1586</v>
      </c>
      <c r="J203" s="47">
        <v>0</v>
      </c>
      <c r="K203" s="708">
        <v>0</v>
      </c>
      <c r="L203" s="441">
        <f>Table2726731436383210271164102[[#This Row],[EXPENDED ]]+Table2726731436383210271164102[[#This Row],[ENCUMBERED]]</f>
        <v>0</v>
      </c>
      <c r="M203" s="441">
        <f>Table2726731436383210271164102[[#This Row],[FORECAST]]-Table2726731436383210271164102[[#This Row],[TOTAL YTD]]</f>
        <v>1586</v>
      </c>
      <c r="N203" s="745">
        <f>Table2726731436383210271164102[[#This Row],[TOTAL YTD]]/Table2726731436383210271164102[[#This Row],[FINAL BUDGET]]</f>
        <v>0</v>
      </c>
      <c r="O203" s="47">
        <f>Table2726731436383210271164102[[#This Row],[FINAL BUDGET]]</f>
        <v>1586</v>
      </c>
      <c r="P203" s="802">
        <f t="shared" si="3"/>
        <v>0</v>
      </c>
      <c r="Q203" s="841"/>
      <c r="R203" s="806"/>
    </row>
    <row r="204" spans="1:18" ht="19.5" customHeight="1" x14ac:dyDescent="0.25">
      <c r="A204" s="464" t="s">
        <v>1164</v>
      </c>
      <c r="B204" s="431" t="s">
        <v>1365</v>
      </c>
      <c r="C204" s="429">
        <v>803</v>
      </c>
      <c r="D204" s="116"/>
      <c r="E204" s="135"/>
      <c r="F204" s="117" t="s">
        <v>1085</v>
      </c>
      <c r="G204" s="439">
        <v>14</v>
      </c>
      <c r="H204" s="441"/>
      <c r="I204" s="47">
        <f>Table2726731436383210271164102[[#This Row],[FY2024-2025 BUDGET]]+Table2726731436383210271164102[[#This Row],[ADDITIONAL REVENUE ]]</f>
        <v>14</v>
      </c>
      <c r="J204" s="47">
        <v>0</v>
      </c>
      <c r="K204" s="708">
        <v>0</v>
      </c>
      <c r="L204" s="441">
        <f>Table2726731436383210271164102[[#This Row],[EXPENDED ]]+Table2726731436383210271164102[[#This Row],[ENCUMBERED]]</f>
        <v>0</v>
      </c>
      <c r="M204" s="441">
        <f>Table2726731436383210271164102[[#This Row],[FORECAST]]-Table2726731436383210271164102[[#This Row],[TOTAL YTD]]</f>
        <v>14</v>
      </c>
      <c r="N204" s="745">
        <f>Table2726731436383210271164102[[#This Row],[TOTAL YTD]]/Table2726731436383210271164102[[#This Row],[FINAL BUDGET]]</f>
        <v>0</v>
      </c>
      <c r="O204" s="47">
        <f>Table2726731436383210271164102[[#This Row],[FINAL BUDGET]]</f>
        <v>14</v>
      </c>
      <c r="P204" s="802">
        <f t="shared" si="3"/>
        <v>0</v>
      </c>
      <c r="Q204" s="841"/>
      <c r="R204" s="806"/>
    </row>
    <row r="205" spans="1:18" ht="19.5" customHeight="1" x14ac:dyDescent="0.25">
      <c r="A205" s="464" t="s">
        <v>1166</v>
      </c>
      <c r="B205" s="431" t="s">
        <v>1364</v>
      </c>
      <c r="C205" s="429"/>
      <c r="D205" s="116"/>
      <c r="E205" s="135"/>
      <c r="F205" s="117" t="s">
        <v>1085</v>
      </c>
      <c r="G205" s="439">
        <v>732</v>
      </c>
      <c r="H205" s="441"/>
      <c r="I205" s="47">
        <f>Table2726731436383210271164102[[#This Row],[FY2024-2025 BUDGET]]+Table2726731436383210271164102[[#This Row],[ADDITIONAL REVENUE ]]</f>
        <v>732</v>
      </c>
      <c r="J205" s="47">
        <v>0</v>
      </c>
      <c r="K205" s="708">
        <v>0</v>
      </c>
      <c r="L205" s="441">
        <f>Table2726731436383210271164102[[#This Row],[EXPENDED ]]+Table2726731436383210271164102[[#This Row],[ENCUMBERED]]</f>
        <v>0</v>
      </c>
      <c r="M205" s="441">
        <f>Table2726731436383210271164102[[#This Row],[FORECAST]]-Table2726731436383210271164102[[#This Row],[TOTAL YTD]]</f>
        <v>732</v>
      </c>
      <c r="N205" s="745">
        <f>Table2726731436383210271164102[[#This Row],[TOTAL YTD]]/Table2726731436383210271164102[[#This Row],[FINAL BUDGET]]</f>
        <v>0</v>
      </c>
      <c r="O205" s="47">
        <f>Table2726731436383210271164102[[#This Row],[FINAL BUDGET]]</f>
        <v>732</v>
      </c>
      <c r="P205" s="802">
        <f t="shared" si="3"/>
        <v>0</v>
      </c>
      <c r="Q205" s="841"/>
      <c r="R205" s="806"/>
    </row>
    <row r="206" spans="1:18" ht="19.5" customHeight="1" x14ac:dyDescent="0.25">
      <c r="A206" s="464" t="s">
        <v>1168</v>
      </c>
      <c r="B206" s="431" t="s">
        <v>1363</v>
      </c>
      <c r="C206" s="429">
        <v>846</v>
      </c>
      <c r="D206" s="116"/>
      <c r="E206" s="135"/>
      <c r="F206" s="117" t="s">
        <v>1085</v>
      </c>
      <c r="G206" s="439">
        <v>12500</v>
      </c>
      <c r="H206" s="441"/>
      <c r="I206" s="47">
        <f>Table2726731436383210271164102[[#This Row],[FY2024-2025 BUDGET]]+Table2726731436383210271164102[[#This Row],[ADDITIONAL REVENUE ]]</f>
        <v>12500</v>
      </c>
      <c r="J206" s="47">
        <v>0</v>
      </c>
      <c r="K206" s="708">
        <v>0</v>
      </c>
      <c r="L206" s="441">
        <f>Table2726731436383210271164102[[#This Row],[EXPENDED ]]+Table2726731436383210271164102[[#This Row],[ENCUMBERED]]</f>
        <v>0</v>
      </c>
      <c r="M206" s="441">
        <f>Table2726731436383210271164102[[#This Row],[FORECAST]]-Table2726731436383210271164102[[#This Row],[TOTAL YTD]]</f>
        <v>12500</v>
      </c>
      <c r="N206" s="745">
        <f>Table2726731436383210271164102[[#This Row],[TOTAL YTD]]/Table2726731436383210271164102[[#This Row],[FINAL BUDGET]]</f>
        <v>0</v>
      </c>
      <c r="O206" s="47">
        <f>Table2726731436383210271164102[[#This Row],[FINAL BUDGET]]</f>
        <v>12500</v>
      </c>
      <c r="P206" s="802">
        <f t="shared" si="3"/>
        <v>0</v>
      </c>
      <c r="Q206" s="841"/>
      <c r="R206" s="806"/>
    </row>
    <row r="207" spans="1:18" ht="19.5" customHeight="1" x14ac:dyDescent="0.25">
      <c r="A207" s="464" t="s">
        <v>2041</v>
      </c>
      <c r="B207" s="431" t="s">
        <v>2042</v>
      </c>
      <c r="C207" s="617">
        <v>839</v>
      </c>
      <c r="D207" s="116"/>
      <c r="E207" s="135"/>
      <c r="F207" s="117" t="s">
        <v>1085</v>
      </c>
      <c r="G207" s="440">
        <v>2381</v>
      </c>
      <c r="H207" s="47"/>
      <c r="I207" s="47">
        <f>Table2726731436383210271164102[[#This Row],[FY2024-2025 BUDGET]]+Table2726731436383210271164102[[#This Row],[ADDITIONAL REVENUE ]]</f>
        <v>2381</v>
      </c>
      <c r="J207" s="47">
        <v>0</v>
      </c>
      <c r="K207" s="47">
        <v>0</v>
      </c>
      <c r="L207" s="441">
        <f>Table2726731436383210271164102[[#This Row],[EXPENDED ]]+Table2726731436383210271164102[[#This Row],[ENCUMBERED]]</f>
        <v>0</v>
      </c>
      <c r="M207" s="441">
        <f>Table2726731436383210271164102[[#This Row],[FORECAST]]-Table2726731436383210271164102[[#This Row],[TOTAL YTD]]</f>
        <v>2381</v>
      </c>
      <c r="N207" s="745">
        <f>Table2726731436383210271164102[[#This Row],[TOTAL YTD]]/Table2726731436383210271164102[[#This Row],[FINAL BUDGET]]</f>
        <v>0</v>
      </c>
      <c r="O207" s="47">
        <f>Table2726731436383210271164102[[#This Row],[FINAL BUDGET]]</f>
        <v>2381</v>
      </c>
      <c r="P207" s="802">
        <f t="shared" si="3"/>
        <v>0</v>
      </c>
      <c r="Q207" s="841"/>
      <c r="R207" s="806"/>
    </row>
    <row r="208" spans="1:18" ht="16.5" customHeight="1" x14ac:dyDescent="0.25">
      <c r="A208" s="464" t="s">
        <v>1170</v>
      </c>
      <c r="B208" s="431" t="s">
        <v>1362</v>
      </c>
      <c r="C208" s="21"/>
      <c r="D208" s="117"/>
      <c r="E208" s="116"/>
      <c r="F208" s="117" t="s">
        <v>1085</v>
      </c>
      <c r="G208" s="439">
        <v>1936</v>
      </c>
      <c r="H208" s="441"/>
      <c r="I208" s="47">
        <f>Table2726731436383210271164102[[#This Row],[FY2024-2025 BUDGET]]+Table2726731436383210271164102[[#This Row],[ADDITIONAL REVENUE ]]</f>
        <v>1936</v>
      </c>
      <c r="J208" s="47">
        <v>0</v>
      </c>
      <c r="K208" s="708">
        <v>0</v>
      </c>
      <c r="L208" s="441">
        <f>Table2726731436383210271164102[[#This Row],[EXPENDED ]]+Table2726731436383210271164102[[#This Row],[ENCUMBERED]]</f>
        <v>0</v>
      </c>
      <c r="M208" s="441">
        <f>Table2726731436383210271164102[[#This Row],[FORECAST]]-Table2726731436383210271164102[[#This Row],[TOTAL YTD]]</f>
        <v>1936</v>
      </c>
      <c r="N208" s="745">
        <f>Table2726731436383210271164102[[#This Row],[TOTAL YTD]]/Table2726731436383210271164102[[#This Row],[FINAL BUDGET]]</f>
        <v>0</v>
      </c>
      <c r="O208" s="47">
        <f>Table2726731436383210271164102[[#This Row],[FINAL BUDGET]]</f>
        <v>1936</v>
      </c>
      <c r="P208" s="802">
        <f t="shared" si="3"/>
        <v>0</v>
      </c>
      <c r="Q208" s="841"/>
      <c r="R208" s="806"/>
    </row>
    <row r="209" spans="1:18" x14ac:dyDescent="0.25">
      <c r="A209" s="49"/>
      <c r="B209" s="557"/>
      <c r="C209" s="21"/>
      <c r="D209" s="116"/>
      <c r="E209" s="135"/>
      <c r="F209" s="117"/>
      <c r="G209" s="440"/>
      <c r="H209" s="47"/>
      <c r="I209" s="443"/>
      <c r="J209" s="47"/>
      <c r="K209" s="47"/>
      <c r="L209" s="441"/>
      <c r="M209" s="441"/>
      <c r="N209" s="441"/>
      <c r="O209" s="47"/>
      <c r="P209" s="47"/>
      <c r="Q209" s="841"/>
      <c r="R209" s="806"/>
    </row>
    <row r="210" spans="1:18" x14ac:dyDescent="0.25">
      <c r="A210" s="13" t="s">
        <v>54</v>
      </c>
      <c r="B210" s="558"/>
      <c r="C210" s="559"/>
      <c r="D210" s="18"/>
      <c r="E210" s="18"/>
      <c r="F210" s="18"/>
      <c r="G210" s="560">
        <f>SUBTOTAL(109,Table2726731436383210271164102[FY2024-2025 BUDGET])</f>
        <v>126433183.78999999</v>
      </c>
      <c r="H210" s="560">
        <f>SUBTOTAL(109,Table2726731436383210271164102[[ADDITIONAL REVENUE ]])</f>
        <v>160671.72</v>
      </c>
      <c r="I210" s="560">
        <f>SUBTOTAL(109,Table2726731436383210271164102[FINAL BUDGET])</f>
        <v>126580355.50999999</v>
      </c>
      <c r="J210" s="560">
        <f>SUBTOTAL(109,Table2726731436383210271164102[[EXPENDED ]])</f>
        <v>24935300.47000001</v>
      </c>
      <c r="K210" s="560">
        <f>SUBTOTAL(109,Table2726731436383210271164102[ENCUMBERED])</f>
        <v>15908098.129999999</v>
      </c>
      <c r="L210" s="708">
        <f>SUBTOTAL(109,Table2726731436383210271164102[TOTAL YTD])</f>
        <v>40393683.359999999</v>
      </c>
      <c r="M210" s="708">
        <f>SUBTOTAL(109,Table2726731436383210271164102[[AVAILABLE ]])</f>
        <v>85986672.150000006</v>
      </c>
      <c r="N210" s="708"/>
      <c r="O210" s="560">
        <f>SUBTOTAL(109,Table2726731436383210271164102[FORECAST])</f>
        <v>126580355.50999999</v>
      </c>
      <c r="P210" s="560">
        <f>SUBTOTAL(109,Table2726731436383210271164102[ROLLOVER])</f>
        <v>0</v>
      </c>
      <c r="Q210" s="841"/>
      <c r="R210" s="806"/>
    </row>
    <row r="211" spans="1:18" ht="18.75" x14ac:dyDescent="0.25">
      <c r="A211" s="50"/>
      <c r="B211" s="308"/>
      <c r="C211" s="430"/>
      <c r="D211" s="54"/>
      <c r="E211" s="54"/>
      <c r="F211" s="54"/>
      <c r="G211" s="303"/>
      <c r="H211" s="303"/>
      <c r="I211" s="303"/>
      <c r="J211" s="303"/>
      <c r="K211" s="304"/>
      <c r="L211" s="303"/>
      <c r="M211" s="303"/>
      <c r="N211" s="303"/>
      <c r="O211" s="305" t="s">
        <v>17</v>
      </c>
      <c r="P211" s="831"/>
      <c r="Q211" s="832"/>
      <c r="R211" s="833"/>
    </row>
    <row r="212" spans="1:18" ht="18.75" x14ac:dyDescent="0.25">
      <c r="A212" s="43" t="s">
        <v>1172</v>
      </c>
      <c r="B212" s="113"/>
      <c r="C212" s="136"/>
      <c r="D212" s="55"/>
      <c r="E212" s="55"/>
      <c r="F212" s="55"/>
      <c r="G212" s="306"/>
      <c r="H212" s="306"/>
      <c r="I212" s="306"/>
      <c r="J212" s="306"/>
      <c r="K212" s="307"/>
      <c r="L212" s="306"/>
      <c r="M212" s="306"/>
      <c r="N212" s="306"/>
      <c r="O212" s="306"/>
      <c r="P212" s="37"/>
    </row>
    <row r="213" spans="1:18" ht="18.75" x14ac:dyDescent="0.25">
      <c r="P213" s="37"/>
    </row>
    <row r="214" spans="1:18" ht="18.75" x14ac:dyDescent="0.25">
      <c r="A214" s="30" t="s">
        <v>17</v>
      </c>
      <c r="B214" s="138" t="s">
        <v>1173</v>
      </c>
      <c r="C214" s="55"/>
      <c r="D214" s="55"/>
      <c r="E214" s="55"/>
      <c r="F214" s="55"/>
      <c r="G214" s="306"/>
      <c r="H214" s="306"/>
      <c r="I214" s="306"/>
      <c r="J214" s="306"/>
      <c r="K214" s="307"/>
      <c r="L214" s="306"/>
      <c r="M214" s="306"/>
      <c r="N214" s="306"/>
      <c r="O214" s="306"/>
      <c r="P214" s="37"/>
    </row>
    <row r="215" spans="1:18" ht="29.25" customHeight="1" x14ac:dyDescent="0.25">
      <c r="B215" s="891" t="s">
        <v>1663</v>
      </c>
      <c r="C215" s="891"/>
      <c r="D215" s="891"/>
      <c r="E215" s="891"/>
      <c r="F215" s="891"/>
      <c r="G215" s="891"/>
      <c r="H215" s="891"/>
      <c r="I215" s="891"/>
      <c r="J215" s="891"/>
      <c r="K215" s="891"/>
      <c r="L215" s="891"/>
      <c r="M215" s="891"/>
      <c r="N215" s="891"/>
      <c r="O215" s="891"/>
      <c r="P215" s="37"/>
    </row>
    <row r="216" spans="1:18" ht="18.75" x14ac:dyDescent="0.25">
      <c r="P216" s="37"/>
    </row>
    <row r="217" spans="1:18" ht="18.75" x14ac:dyDescent="0.25">
      <c r="P217" s="37"/>
    </row>
    <row r="218" spans="1:18" ht="18.75" x14ac:dyDescent="0.25">
      <c r="P218" s="37"/>
    </row>
    <row r="219" spans="1:18" ht="18.75" x14ac:dyDescent="0.25">
      <c r="P219" s="37"/>
    </row>
    <row r="220" spans="1:18" ht="18.75" x14ac:dyDescent="0.25">
      <c r="P220" s="37"/>
    </row>
    <row r="221" spans="1:18" ht="18.75" x14ac:dyDescent="0.25">
      <c r="P221" s="37"/>
    </row>
    <row r="222" spans="1:18" ht="15" customHeight="1" x14ac:dyDescent="0.25">
      <c r="P222" s="37"/>
    </row>
    <row r="223" spans="1:18" ht="15" customHeight="1" x14ac:dyDescent="0.25">
      <c r="P223" s="37"/>
    </row>
    <row r="224" spans="1:18" ht="15" customHeight="1" x14ac:dyDescent="0.25">
      <c r="P224" s="37"/>
    </row>
    <row r="225" spans="16:16" ht="18.75" x14ac:dyDescent="0.25">
      <c r="P225" s="37"/>
    </row>
    <row r="226" spans="16:16" ht="13.5" customHeight="1" x14ac:dyDescent="0.25">
      <c r="P226" s="37"/>
    </row>
    <row r="227" spans="16:16" ht="12" customHeight="1" x14ac:dyDescent="0.25">
      <c r="P227" s="37"/>
    </row>
    <row r="228" spans="16:16" ht="17.25" customHeight="1" x14ac:dyDescent="0.25">
      <c r="P228" s="37"/>
    </row>
    <row r="229" spans="16:16" ht="32.25" customHeight="1" x14ac:dyDescent="0.25">
      <c r="P229" s="37"/>
    </row>
    <row r="230" spans="16:16" ht="18.75" customHeight="1" x14ac:dyDescent="0.25">
      <c r="P230" s="37"/>
    </row>
    <row r="231" spans="16:16" ht="28.5" customHeight="1" x14ac:dyDescent="0.25">
      <c r="P231" s="37"/>
    </row>
    <row r="232" spans="16:16" ht="30" customHeight="1" x14ac:dyDescent="0.25">
      <c r="P232" s="37"/>
    </row>
  </sheetData>
  <sheetProtection algorithmName="SHA-512" hashValue="FPtEvYbJDoqoLP1IhgdqJxHaqtdNn91/l/cIVWHycQUmSBlZYxfayouqz0BrcYmzVqcSQf2EzITt/Ggykxumew==" saltValue="6AfSaoicYucQ//oRUIiTPA==" spinCount="100000" sheet="1" objects="1" scenarios="1" selectLockedCells="1" sort="0" autoFilter="0" selectUnlockedCells="1"/>
  <autoFilter ref="Q5:R8" xr:uid="{3ACDBB86-7E7F-405D-BE4A-FB208930316A}"/>
  <mergeCells count="2">
    <mergeCell ref="A4:R4"/>
    <mergeCell ref="B215:O215"/>
  </mergeCells>
  <pageMargins left="0.3" right="0.3" top="0.65" bottom="0.6" header="0.3" footer="0.3"/>
  <pageSetup scale="75" fitToHeight="0" orientation="landscape" r:id="rId1"/>
  <headerFooter>
    <oddHeader>&amp;R&amp;P</oddHeader>
    <oddFooter>&amp;R&amp;D</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3E2B2-D8FF-4E2D-AC5D-D0A129075662}">
  <sheetPr>
    <tabColor theme="8" tint="0.39997558519241921"/>
  </sheetPr>
  <dimension ref="A1:L295"/>
  <sheetViews>
    <sheetView showGridLines="0" zoomScaleNormal="100" workbookViewId="0">
      <selection activeCell="F251" sqref="F251"/>
    </sheetView>
  </sheetViews>
  <sheetFormatPr defaultColWidth="9.28515625" defaultRowHeight="15" x14ac:dyDescent="0.25"/>
  <cols>
    <col min="1" max="1" width="7.28515625" style="5" customWidth="1"/>
    <col min="2" max="2" width="46.7109375" style="1" customWidth="1"/>
    <col min="3" max="3" width="10.42578125" style="10" customWidth="1"/>
    <col min="4" max="4" width="6.7109375" style="8" customWidth="1"/>
    <col min="5" max="5" width="7.7109375" style="8" customWidth="1"/>
    <col min="6" max="6" width="7.42578125" style="8" customWidth="1"/>
    <col min="7" max="7" width="50.28515625" style="4" customWidth="1"/>
    <col min="9" max="9" width="24.28515625" customWidth="1"/>
  </cols>
  <sheetData>
    <row r="1" spans="1:7" s="2" customFormat="1" ht="18.75" x14ac:dyDescent="0.3">
      <c r="A1" s="2" t="s">
        <v>0</v>
      </c>
      <c r="B1" s="1"/>
      <c r="C1" s="10"/>
      <c r="D1" s="7"/>
      <c r="E1" s="7"/>
      <c r="F1" s="7"/>
      <c r="G1" s="6"/>
    </row>
    <row r="2" spans="1:7" s="2" customFormat="1" ht="19.5" thickBot="1" x14ac:dyDescent="0.35">
      <c r="A2" s="2" t="s">
        <v>92</v>
      </c>
      <c r="B2" s="1"/>
      <c r="C2" s="10"/>
      <c r="D2" s="7"/>
      <c r="E2" s="7"/>
      <c r="F2" s="7"/>
      <c r="G2" s="6"/>
    </row>
    <row r="3" spans="1:7" ht="15.75" thickBot="1" x14ac:dyDescent="0.3">
      <c r="A3"/>
      <c r="C3" s="450" t="s">
        <v>93</v>
      </c>
      <c r="D3" s="892" t="s">
        <v>2182</v>
      </c>
      <c r="E3" s="892"/>
      <c r="F3" s="451">
        <v>2024</v>
      </c>
      <c r="G3" s="6"/>
    </row>
    <row r="4" spans="1:7" x14ac:dyDescent="0.25">
      <c r="A4"/>
      <c r="G4" s="6"/>
    </row>
    <row r="5" spans="1:7" s="2" customFormat="1" ht="18.75" x14ac:dyDescent="0.3">
      <c r="A5" s="12" t="s">
        <v>2272</v>
      </c>
      <c r="B5" s="32"/>
      <c r="C5" s="33"/>
      <c r="D5" s="34"/>
      <c r="E5" s="34"/>
      <c r="F5" s="34"/>
      <c r="G5" s="35"/>
    </row>
    <row r="7" spans="1:7" s="29" customFormat="1" ht="23.25" thickBot="1" x14ac:dyDescent="0.3">
      <c r="A7" s="424" t="s">
        <v>1082</v>
      </c>
      <c r="B7" s="428" t="s">
        <v>1083</v>
      </c>
      <c r="C7" s="522" t="s">
        <v>1174</v>
      </c>
      <c r="D7" s="425" t="s">
        <v>1175</v>
      </c>
      <c r="E7" s="425" t="s">
        <v>1176</v>
      </c>
      <c r="F7" s="426" t="s">
        <v>1177</v>
      </c>
      <c r="G7" s="427" t="s">
        <v>1178</v>
      </c>
    </row>
    <row r="8" spans="1:7" x14ac:dyDescent="0.25">
      <c r="A8" s="295" t="s">
        <v>2219</v>
      </c>
      <c r="B8" s="351" t="s">
        <v>1179</v>
      </c>
      <c r="C8" s="704">
        <v>45838</v>
      </c>
      <c r="D8" s="480" t="s">
        <v>1085</v>
      </c>
      <c r="E8" s="480"/>
      <c r="F8" s="481"/>
      <c r="G8" s="482" t="s">
        <v>1383</v>
      </c>
    </row>
    <row r="9" spans="1:7" x14ac:dyDescent="0.25">
      <c r="A9" s="295" t="s">
        <v>2273</v>
      </c>
      <c r="B9" s="351" t="s">
        <v>1180</v>
      </c>
      <c r="C9" s="703">
        <v>45838</v>
      </c>
      <c r="D9" s="480" t="s">
        <v>1085</v>
      </c>
      <c r="E9" s="480"/>
      <c r="F9" s="481"/>
      <c r="G9" s="482" t="s">
        <v>1383</v>
      </c>
    </row>
    <row r="10" spans="1:7" x14ac:dyDescent="0.25">
      <c r="A10" s="295" t="s">
        <v>2220</v>
      </c>
      <c r="B10" s="351" t="s">
        <v>1181</v>
      </c>
      <c r="C10" s="703">
        <v>45838</v>
      </c>
      <c r="D10" s="480" t="s">
        <v>1085</v>
      </c>
      <c r="E10" s="480"/>
      <c r="F10" s="481"/>
      <c r="G10" s="482" t="s">
        <v>1383</v>
      </c>
    </row>
    <row r="11" spans="1:7" ht="25.5" customHeight="1" x14ac:dyDescent="0.25">
      <c r="A11" s="295" t="s">
        <v>2274</v>
      </c>
      <c r="B11" s="351" t="s">
        <v>148</v>
      </c>
      <c r="C11" s="703">
        <v>45838</v>
      </c>
      <c r="D11" s="480" t="s">
        <v>1085</v>
      </c>
      <c r="E11" s="480"/>
      <c r="F11" s="481"/>
      <c r="G11" s="482" t="s">
        <v>1182</v>
      </c>
    </row>
    <row r="12" spans="1:7" ht="25.5" customHeight="1" x14ac:dyDescent="0.25">
      <c r="A12" s="295" t="s">
        <v>1935</v>
      </c>
      <c r="B12" s="351" t="s">
        <v>1936</v>
      </c>
      <c r="C12" s="703">
        <v>45838</v>
      </c>
      <c r="D12" s="480" t="s">
        <v>1085</v>
      </c>
      <c r="E12" s="480"/>
      <c r="F12" s="481"/>
      <c r="G12" s="484" t="s">
        <v>2025</v>
      </c>
    </row>
    <row r="13" spans="1:7" ht="25.5" customHeight="1" x14ac:dyDescent="0.25">
      <c r="A13" s="295" t="s">
        <v>1937</v>
      </c>
      <c r="B13" s="351" t="s">
        <v>1938</v>
      </c>
      <c r="C13" s="703">
        <v>45838</v>
      </c>
      <c r="D13" s="480" t="s">
        <v>1085</v>
      </c>
      <c r="E13" s="480"/>
      <c r="F13" s="481"/>
      <c r="G13" s="484" t="s">
        <v>2025</v>
      </c>
    </row>
    <row r="14" spans="1:7" ht="25.5" customHeight="1" x14ac:dyDescent="0.25">
      <c r="A14" s="295" t="s">
        <v>1939</v>
      </c>
      <c r="B14" s="351" t="s">
        <v>1940</v>
      </c>
      <c r="C14" s="703">
        <v>45838</v>
      </c>
      <c r="D14" s="480" t="s">
        <v>1085</v>
      </c>
      <c r="E14" s="480"/>
      <c r="F14" s="481"/>
      <c r="G14" s="484" t="s">
        <v>2025</v>
      </c>
    </row>
    <row r="15" spans="1:7" ht="25.5" customHeight="1" x14ac:dyDescent="0.25">
      <c r="A15" s="295" t="s">
        <v>1941</v>
      </c>
      <c r="B15" s="351" t="s">
        <v>1942</v>
      </c>
      <c r="C15" s="703">
        <v>45838</v>
      </c>
      <c r="D15" s="480" t="s">
        <v>1085</v>
      </c>
      <c r="E15" s="480"/>
      <c r="F15" s="481"/>
      <c r="G15" s="484" t="s">
        <v>2025</v>
      </c>
    </row>
    <row r="16" spans="1:7" ht="25.5" customHeight="1" x14ac:dyDescent="0.25">
      <c r="A16" s="295" t="s">
        <v>1943</v>
      </c>
      <c r="B16" s="351" t="s">
        <v>1944</v>
      </c>
      <c r="C16" s="703">
        <v>45838</v>
      </c>
      <c r="D16" s="480" t="s">
        <v>1085</v>
      </c>
      <c r="E16" s="480"/>
      <c r="F16" s="481"/>
      <c r="G16" s="484" t="s">
        <v>2025</v>
      </c>
    </row>
    <row r="17" spans="1:7" ht="25.5" customHeight="1" x14ac:dyDescent="0.25">
      <c r="A17" s="295" t="s">
        <v>1945</v>
      </c>
      <c r="B17" s="351" t="s">
        <v>1946</v>
      </c>
      <c r="C17" s="703">
        <v>45838</v>
      </c>
      <c r="D17" s="480" t="s">
        <v>1085</v>
      </c>
      <c r="E17" s="480"/>
      <c r="F17" s="481"/>
      <c r="G17" s="484" t="s">
        <v>2025</v>
      </c>
    </row>
    <row r="18" spans="1:7" ht="25.5" customHeight="1" x14ac:dyDescent="0.25">
      <c r="A18" s="295" t="s">
        <v>1947</v>
      </c>
      <c r="B18" s="351" t="s">
        <v>1948</v>
      </c>
      <c r="C18" s="703">
        <v>45838</v>
      </c>
      <c r="D18" s="480" t="s">
        <v>1085</v>
      </c>
      <c r="E18" s="480"/>
      <c r="F18" s="481"/>
      <c r="G18" s="484" t="s">
        <v>2025</v>
      </c>
    </row>
    <row r="19" spans="1:7" ht="96" customHeight="1" x14ac:dyDescent="0.25">
      <c r="A19" s="295" t="s">
        <v>1988</v>
      </c>
      <c r="B19" s="351" t="s">
        <v>1989</v>
      </c>
      <c r="C19" s="703">
        <v>45657</v>
      </c>
      <c r="D19" s="480" t="s">
        <v>1085</v>
      </c>
      <c r="E19" s="480"/>
      <c r="F19" s="481"/>
      <c r="G19" s="484" t="s">
        <v>2037</v>
      </c>
    </row>
    <row r="20" spans="1:7" ht="38.25" x14ac:dyDescent="0.25">
      <c r="A20" s="295" t="s">
        <v>2275</v>
      </c>
      <c r="B20" s="474" t="s">
        <v>1609</v>
      </c>
      <c r="C20" s="703">
        <v>46052</v>
      </c>
      <c r="D20" s="480"/>
      <c r="E20" s="480"/>
      <c r="F20" s="481" t="s">
        <v>1085</v>
      </c>
      <c r="G20" s="484" t="s">
        <v>1621</v>
      </c>
    </row>
    <row r="21" spans="1:7" ht="38.25" x14ac:dyDescent="0.25">
      <c r="A21" s="295" t="s">
        <v>1928</v>
      </c>
      <c r="B21" s="474" t="s">
        <v>1929</v>
      </c>
      <c r="C21" s="703">
        <v>45473</v>
      </c>
      <c r="D21" s="480"/>
      <c r="E21" s="480" t="s">
        <v>1085</v>
      </c>
      <c r="F21" s="481"/>
      <c r="G21" s="484" t="s">
        <v>1930</v>
      </c>
    </row>
    <row r="22" spans="1:7" ht="38.25" x14ac:dyDescent="0.25">
      <c r="A22" s="295" t="s">
        <v>1644</v>
      </c>
      <c r="B22" s="351" t="s">
        <v>1646</v>
      </c>
      <c r="C22" s="703">
        <v>45473</v>
      </c>
      <c r="D22" s="480" t="s">
        <v>1085</v>
      </c>
      <c r="E22" s="480"/>
      <c r="F22" s="481"/>
      <c r="G22" s="484" t="s">
        <v>1643</v>
      </c>
    </row>
    <row r="23" spans="1:7" x14ac:dyDescent="0.25">
      <c r="A23" s="295" t="s">
        <v>1821</v>
      </c>
      <c r="B23" s="351" t="s">
        <v>1822</v>
      </c>
      <c r="C23" s="703">
        <v>45565</v>
      </c>
      <c r="D23" s="480"/>
      <c r="E23" s="480" t="s">
        <v>1085</v>
      </c>
      <c r="F23" s="481"/>
      <c r="G23" s="483" t="s">
        <v>2038</v>
      </c>
    </row>
    <row r="24" spans="1:7" x14ac:dyDescent="0.25">
      <c r="A24" s="295" t="s">
        <v>1934</v>
      </c>
      <c r="B24" s="351" t="s">
        <v>1822</v>
      </c>
      <c r="C24" s="703">
        <v>45565</v>
      </c>
      <c r="D24" s="480"/>
      <c r="E24" s="480" t="s">
        <v>1085</v>
      </c>
      <c r="F24" s="481"/>
      <c r="G24" s="705" t="s">
        <v>2038</v>
      </c>
    </row>
    <row r="25" spans="1:7" x14ac:dyDescent="0.25">
      <c r="A25" s="295" t="s">
        <v>2276</v>
      </c>
      <c r="B25" s="351" t="s">
        <v>2277</v>
      </c>
      <c r="C25" s="706"/>
      <c r="D25" s="480"/>
      <c r="E25" s="480"/>
      <c r="F25" s="481"/>
      <c r="G25" s="483"/>
    </row>
    <row r="26" spans="1:7" ht="38.25" x14ac:dyDescent="0.25">
      <c r="A26" s="295" t="s">
        <v>1645</v>
      </c>
      <c r="B26" s="351" t="s">
        <v>1647</v>
      </c>
      <c r="C26" s="703">
        <v>45473</v>
      </c>
      <c r="D26" s="480" t="s">
        <v>1085</v>
      </c>
      <c r="E26" s="480"/>
      <c r="F26" s="481"/>
      <c r="G26" s="484" t="s">
        <v>1643</v>
      </c>
    </row>
    <row r="27" spans="1:7" x14ac:dyDescent="0.25">
      <c r="A27" s="295" t="s">
        <v>1802</v>
      </c>
      <c r="B27" s="351" t="s">
        <v>1803</v>
      </c>
      <c r="C27" s="703"/>
      <c r="D27" s="480"/>
      <c r="E27" s="480" t="s">
        <v>1085</v>
      </c>
      <c r="F27" s="481"/>
      <c r="G27" s="483"/>
    </row>
    <row r="28" spans="1:7" ht="25.5" x14ac:dyDescent="0.25">
      <c r="A28" s="295" t="s">
        <v>2278</v>
      </c>
      <c r="B28" s="351" t="s">
        <v>1077</v>
      </c>
      <c r="C28" s="703">
        <v>45838</v>
      </c>
      <c r="D28" s="480" t="s">
        <v>1085</v>
      </c>
      <c r="E28" s="480"/>
      <c r="F28" s="481"/>
      <c r="G28" s="485" t="s">
        <v>1184</v>
      </c>
    </row>
    <row r="29" spans="1:7" ht="25.5" x14ac:dyDescent="0.25">
      <c r="A29" s="295" t="s">
        <v>2279</v>
      </c>
      <c r="B29" s="351" t="s">
        <v>1088</v>
      </c>
      <c r="C29" s="703">
        <v>45838</v>
      </c>
      <c r="D29" s="480" t="s">
        <v>1085</v>
      </c>
      <c r="E29" s="480"/>
      <c r="F29" s="481"/>
      <c r="G29" s="482" t="s">
        <v>1185</v>
      </c>
    </row>
    <row r="30" spans="1:7" ht="38.25" x14ac:dyDescent="0.25">
      <c r="A30" s="295" t="s">
        <v>2280</v>
      </c>
      <c r="B30" s="351" t="s">
        <v>1089</v>
      </c>
      <c r="C30" s="703">
        <v>45838</v>
      </c>
      <c r="D30" s="480" t="s">
        <v>1085</v>
      </c>
      <c r="E30" s="480"/>
      <c r="F30" s="481"/>
      <c r="G30" s="482" t="s">
        <v>1384</v>
      </c>
    </row>
    <row r="31" spans="1:7" ht="25.5" x14ac:dyDescent="0.25">
      <c r="A31" s="295" t="s">
        <v>2281</v>
      </c>
      <c r="B31" s="351" t="s">
        <v>1090</v>
      </c>
      <c r="C31" s="703">
        <v>45838</v>
      </c>
      <c r="D31" s="480" t="s">
        <v>1085</v>
      </c>
      <c r="E31" s="480"/>
      <c r="F31" s="481"/>
      <c r="G31" s="482" t="s">
        <v>1186</v>
      </c>
    </row>
    <row r="32" spans="1:7" x14ac:dyDescent="0.25">
      <c r="A32" s="295" t="s">
        <v>1736</v>
      </c>
      <c r="B32" s="351" t="s">
        <v>1737</v>
      </c>
      <c r="C32" s="703"/>
      <c r="D32" s="480" t="s">
        <v>1118</v>
      </c>
      <c r="E32" s="480"/>
      <c r="F32" s="481"/>
      <c r="G32" s="483" t="s">
        <v>1188</v>
      </c>
    </row>
    <row r="33" spans="1:7" ht="38.25" x14ac:dyDescent="0.25">
      <c r="A33" s="295" t="s">
        <v>2282</v>
      </c>
      <c r="B33" s="351" t="s">
        <v>2283</v>
      </c>
      <c r="C33" s="703">
        <v>45838</v>
      </c>
      <c r="D33" s="480" t="s">
        <v>1085</v>
      </c>
      <c r="E33" s="480"/>
      <c r="F33" s="481"/>
      <c r="G33" s="482" t="s">
        <v>1187</v>
      </c>
    </row>
    <row r="34" spans="1:7" x14ac:dyDescent="0.25">
      <c r="A34" s="295" t="s">
        <v>1735</v>
      </c>
      <c r="B34" s="351" t="s">
        <v>1734</v>
      </c>
      <c r="C34" s="703">
        <v>45565</v>
      </c>
      <c r="D34" s="480" t="s">
        <v>1118</v>
      </c>
      <c r="E34" s="480"/>
      <c r="F34" s="481"/>
      <c r="G34" s="483" t="s">
        <v>1188</v>
      </c>
    </row>
    <row r="35" spans="1:7" x14ac:dyDescent="0.25">
      <c r="A35" s="295" t="s">
        <v>1733</v>
      </c>
      <c r="B35" s="351" t="s">
        <v>1734</v>
      </c>
      <c r="C35" s="703">
        <v>45565</v>
      </c>
      <c r="D35" s="480" t="s">
        <v>1118</v>
      </c>
      <c r="E35" s="480"/>
      <c r="F35" s="481"/>
      <c r="G35" s="483" t="s">
        <v>1188</v>
      </c>
    </row>
    <row r="36" spans="1:7" x14ac:dyDescent="0.25">
      <c r="A36" s="295" t="s">
        <v>2284</v>
      </c>
      <c r="B36" s="351" t="s">
        <v>1932</v>
      </c>
      <c r="C36" s="703">
        <v>45838</v>
      </c>
      <c r="D36" s="480" t="s">
        <v>1085</v>
      </c>
      <c r="E36" s="480"/>
      <c r="F36" s="481"/>
      <c r="G36" s="483" t="s">
        <v>1933</v>
      </c>
    </row>
    <row r="37" spans="1:7" x14ac:dyDescent="0.25">
      <c r="A37" s="295" t="s">
        <v>1730</v>
      </c>
      <c r="B37" s="351" t="s">
        <v>1731</v>
      </c>
      <c r="C37" s="703">
        <v>44806</v>
      </c>
      <c r="D37" s="480" t="s">
        <v>1085</v>
      </c>
      <c r="E37" s="480"/>
      <c r="F37" s="481"/>
      <c r="G37" s="483" t="s">
        <v>1732</v>
      </c>
    </row>
    <row r="38" spans="1:7" x14ac:dyDescent="0.25">
      <c r="A38" s="295" t="s">
        <v>2157</v>
      </c>
      <c r="B38" s="351" t="s">
        <v>2158</v>
      </c>
      <c r="C38" s="706"/>
      <c r="D38" s="480" t="s">
        <v>1085</v>
      </c>
      <c r="E38" s="480"/>
      <c r="F38" s="481"/>
      <c r="G38" s="483" t="s">
        <v>2285</v>
      </c>
    </row>
    <row r="39" spans="1:7" x14ac:dyDescent="0.25">
      <c r="A39" s="295" t="s">
        <v>2286</v>
      </c>
      <c r="B39" s="351" t="s">
        <v>1091</v>
      </c>
      <c r="C39" s="703">
        <v>45838</v>
      </c>
      <c r="D39" s="480" t="s">
        <v>1085</v>
      </c>
      <c r="E39" s="480"/>
      <c r="F39" s="481"/>
      <c r="G39" s="483" t="s">
        <v>1188</v>
      </c>
    </row>
    <row r="40" spans="1:7" x14ac:dyDescent="0.25">
      <c r="A40" s="295" t="s">
        <v>2287</v>
      </c>
      <c r="B40" s="351" t="s">
        <v>1091</v>
      </c>
      <c r="C40" s="703">
        <v>45838</v>
      </c>
      <c r="D40" s="480" t="s">
        <v>1085</v>
      </c>
      <c r="E40" s="480"/>
      <c r="F40" s="481"/>
      <c r="G40" s="483" t="s">
        <v>1188</v>
      </c>
    </row>
    <row r="41" spans="1:7" x14ac:dyDescent="0.25">
      <c r="A41" s="295" t="s">
        <v>2288</v>
      </c>
      <c r="B41" s="351" t="s">
        <v>1091</v>
      </c>
      <c r="C41" s="703">
        <v>45838</v>
      </c>
      <c r="D41" s="480" t="s">
        <v>1085</v>
      </c>
      <c r="E41" s="480"/>
      <c r="F41" s="481"/>
      <c r="G41" s="483" t="s">
        <v>1188</v>
      </c>
    </row>
    <row r="42" spans="1:7" x14ac:dyDescent="0.25">
      <c r="A42" s="295" t="s">
        <v>2289</v>
      </c>
      <c r="B42" s="351" t="s">
        <v>1092</v>
      </c>
      <c r="C42" s="703">
        <v>45838</v>
      </c>
      <c r="D42" s="480"/>
      <c r="E42" s="480" t="s">
        <v>1085</v>
      </c>
      <c r="F42" s="481"/>
      <c r="G42" s="482" t="s">
        <v>1189</v>
      </c>
    </row>
    <row r="43" spans="1:7" x14ac:dyDescent="0.25">
      <c r="A43" s="295" t="s">
        <v>1514</v>
      </c>
      <c r="B43" s="351" t="s">
        <v>1515</v>
      </c>
      <c r="C43" s="703" t="s">
        <v>1608</v>
      </c>
      <c r="D43" s="480"/>
      <c r="E43" s="480"/>
      <c r="F43" s="481" t="s">
        <v>1085</v>
      </c>
      <c r="G43" s="483"/>
    </row>
    <row r="44" spans="1:7" x14ac:dyDescent="0.25">
      <c r="A44" s="295" t="s">
        <v>1516</v>
      </c>
      <c r="B44" s="351" t="s">
        <v>1517</v>
      </c>
      <c r="C44" s="703" t="s">
        <v>1608</v>
      </c>
      <c r="D44" s="480"/>
      <c r="E44" s="480"/>
      <c r="F44" s="481" t="s">
        <v>1085</v>
      </c>
      <c r="G44" s="483"/>
    </row>
    <row r="45" spans="1:7" ht="25.5" x14ac:dyDescent="0.25">
      <c r="A45" s="295" t="s">
        <v>1804</v>
      </c>
      <c r="B45" s="351" t="s">
        <v>1805</v>
      </c>
      <c r="C45" s="703">
        <v>45930</v>
      </c>
      <c r="D45" s="480"/>
      <c r="E45" s="480" t="s">
        <v>1085</v>
      </c>
      <c r="F45" s="481"/>
      <c r="G45" s="484" t="s">
        <v>1806</v>
      </c>
    </row>
    <row r="46" spans="1:7" x14ac:dyDescent="0.25">
      <c r="A46" s="295" t="s">
        <v>1518</v>
      </c>
      <c r="B46" s="351" t="s">
        <v>1519</v>
      </c>
      <c r="C46" s="703" t="s">
        <v>1608</v>
      </c>
      <c r="D46" s="480"/>
      <c r="E46" s="480"/>
      <c r="F46" s="481" t="s">
        <v>1085</v>
      </c>
      <c r="G46" s="483"/>
    </row>
    <row r="47" spans="1:7" x14ac:dyDescent="0.25">
      <c r="A47" s="295" t="s">
        <v>1520</v>
      </c>
      <c r="B47" s="351" t="s">
        <v>1521</v>
      </c>
      <c r="C47" s="703" t="s">
        <v>1608</v>
      </c>
      <c r="D47" s="480"/>
      <c r="E47" s="480"/>
      <c r="F47" s="481" t="s">
        <v>1085</v>
      </c>
      <c r="G47" s="483"/>
    </row>
    <row r="48" spans="1:7" x14ac:dyDescent="0.25">
      <c r="A48" s="295" t="s">
        <v>1522</v>
      </c>
      <c r="B48" s="351" t="s">
        <v>1523</v>
      </c>
      <c r="C48" s="703" t="s">
        <v>1608</v>
      </c>
      <c r="D48" s="480"/>
      <c r="E48" s="480"/>
      <c r="F48" s="481" t="s">
        <v>1085</v>
      </c>
      <c r="G48" s="483"/>
    </row>
    <row r="49" spans="1:7" x14ac:dyDescent="0.25">
      <c r="A49" s="295" t="s">
        <v>1410</v>
      </c>
      <c r="B49" s="351" t="s">
        <v>1411</v>
      </c>
      <c r="C49" s="703" t="s">
        <v>1608</v>
      </c>
      <c r="D49" s="480" t="s">
        <v>1085</v>
      </c>
      <c r="E49" s="480"/>
      <c r="F49" s="481"/>
      <c r="G49" s="483" t="s">
        <v>1638</v>
      </c>
    </row>
    <row r="50" spans="1:7" x14ac:dyDescent="0.25">
      <c r="A50" s="295" t="s">
        <v>2290</v>
      </c>
      <c r="B50" s="351" t="s">
        <v>1190</v>
      </c>
      <c r="C50" s="703">
        <v>45838</v>
      </c>
      <c r="D50" s="480" t="s">
        <v>1085</v>
      </c>
      <c r="E50" s="480"/>
      <c r="F50" s="481"/>
      <c r="G50" s="482" t="s">
        <v>1191</v>
      </c>
    </row>
    <row r="51" spans="1:7" x14ac:dyDescent="0.25">
      <c r="A51" s="295" t="s">
        <v>2291</v>
      </c>
      <c r="B51" s="351" t="s">
        <v>1094</v>
      </c>
      <c r="C51" s="703">
        <v>45838</v>
      </c>
      <c r="D51" s="480" t="s">
        <v>1085</v>
      </c>
      <c r="E51" s="480"/>
      <c r="F51" s="481"/>
      <c r="G51" s="483" t="s">
        <v>1192</v>
      </c>
    </row>
    <row r="52" spans="1:7" x14ac:dyDescent="0.25">
      <c r="A52" s="295" t="s">
        <v>2292</v>
      </c>
      <c r="B52" s="351" t="s">
        <v>1095</v>
      </c>
      <c r="C52" s="703">
        <v>45838</v>
      </c>
      <c r="D52" s="480" t="s">
        <v>1085</v>
      </c>
      <c r="E52" s="480"/>
      <c r="F52" s="481"/>
      <c r="G52" s="483" t="s">
        <v>1192</v>
      </c>
    </row>
    <row r="53" spans="1:7" x14ac:dyDescent="0.25">
      <c r="A53" s="295" t="s">
        <v>2293</v>
      </c>
      <c r="B53" s="351" t="s">
        <v>1193</v>
      </c>
      <c r="C53" s="703">
        <v>45838</v>
      </c>
      <c r="D53" s="480" t="s">
        <v>1085</v>
      </c>
      <c r="E53" s="480"/>
      <c r="F53" s="481"/>
      <c r="G53" s="483" t="s">
        <v>1192</v>
      </c>
    </row>
    <row r="54" spans="1:7" ht="25.5" x14ac:dyDescent="0.25">
      <c r="A54" s="295" t="s">
        <v>1769</v>
      </c>
      <c r="B54" s="351" t="s">
        <v>1770</v>
      </c>
      <c r="C54" s="703">
        <v>45473</v>
      </c>
      <c r="D54" s="480" t="s">
        <v>1085</v>
      </c>
      <c r="E54" s="480"/>
      <c r="F54" s="481"/>
      <c r="G54" s="484" t="s">
        <v>1780</v>
      </c>
    </row>
    <row r="55" spans="1:7" ht="25.5" x14ac:dyDescent="0.25">
      <c r="A55" s="295" t="s">
        <v>1771</v>
      </c>
      <c r="B55" s="351" t="s">
        <v>1772</v>
      </c>
      <c r="C55" s="703">
        <v>45473</v>
      </c>
      <c r="D55" s="480" t="s">
        <v>1085</v>
      </c>
      <c r="E55" s="480"/>
      <c r="F55" s="481"/>
      <c r="G55" s="484" t="s">
        <v>1780</v>
      </c>
    </row>
    <row r="56" spans="1:7" ht="25.5" x14ac:dyDescent="0.25">
      <c r="A56" s="295" t="s">
        <v>2294</v>
      </c>
      <c r="B56" s="351" t="s">
        <v>1779</v>
      </c>
      <c r="C56" s="703">
        <v>45838</v>
      </c>
      <c r="D56" s="480" t="s">
        <v>1085</v>
      </c>
      <c r="E56" s="480"/>
      <c r="F56" s="481"/>
      <c r="G56" s="484" t="s">
        <v>1825</v>
      </c>
    </row>
    <row r="57" spans="1:7" ht="25.5" x14ac:dyDescent="0.25">
      <c r="A57" s="295" t="s">
        <v>2295</v>
      </c>
      <c r="B57" s="351" t="s">
        <v>1926</v>
      </c>
      <c r="C57" s="703">
        <v>45838</v>
      </c>
      <c r="D57" s="480" t="s">
        <v>1085</v>
      </c>
      <c r="E57" s="480"/>
      <c r="F57" s="481"/>
      <c r="G57" s="484" t="s">
        <v>1825</v>
      </c>
    </row>
    <row r="58" spans="1:7" ht="76.5" x14ac:dyDescent="0.25">
      <c r="A58" s="295" t="s">
        <v>2022</v>
      </c>
      <c r="B58" s="351" t="s">
        <v>2023</v>
      </c>
      <c r="C58" s="703">
        <v>45900</v>
      </c>
      <c r="D58" s="480"/>
      <c r="E58" s="480" t="s">
        <v>1085</v>
      </c>
      <c r="F58" s="481"/>
      <c r="G58" s="484" t="s">
        <v>2026</v>
      </c>
    </row>
    <row r="59" spans="1:7" x14ac:dyDescent="0.25">
      <c r="A59" s="295" t="s">
        <v>2296</v>
      </c>
      <c r="B59" s="351" t="s">
        <v>2297</v>
      </c>
      <c r="C59" s="706"/>
      <c r="D59" s="480"/>
      <c r="E59" s="480" t="s">
        <v>1085</v>
      </c>
      <c r="F59" s="481"/>
      <c r="G59" s="483"/>
    </row>
    <row r="60" spans="1:7" ht="45" customHeight="1" x14ac:dyDescent="0.25">
      <c r="A60" s="295" t="s">
        <v>1673</v>
      </c>
      <c r="B60" s="351" t="s">
        <v>1674</v>
      </c>
      <c r="C60" s="703">
        <v>45565</v>
      </c>
      <c r="D60" s="480" t="s">
        <v>1085</v>
      </c>
      <c r="E60" s="480"/>
      <c r="F60" s="481"/>
      <c r="G60" s="484" t="s">
        <v>1675</v>
      </c>
    </row>
    <row r="61" spans="1:7" ht="45" customHeight="1" x14ac:dyDescent="0.25">
      <c r="A61" s="295" t="s">
        <v>1884</v>
      </c>
      <c r="B61" s="351" t="s">
        <v>1885</v>
      </c>
      <c r="C61" s="703"/>
      <c r="D61" s="480" t="s">
        <v>1085</v>
      </c>
      <c r="E61" s="480"/>
      <c r="F61" s="481"/>
      <c r="G61" s="484" t="s">
        <v>1675</v>
      </c>
    </row>
    <row r="62" spans="1:7" ht="21" customHeight="1" x14ac:dyDescent="0.25">
      <c r="A62" s="295" t="s">
        <v>2298</v>
      </c>
      <c r="B62" s="351" t="s">
        <v>2161</v>
      </c>
      <c r="C62" s="706"/>
      <c r="D62" s="480"/>
      <c r="E62" s="480" t="s">
        <v>1085</v>
      </c>
      <c r="F62" s="481"/>
      <c r="G62" s="483"/>
    </row>
    <row r="63" spans="1:7" ht="21" customHeight="1" x14ac:dyDescent="0.25">
      <c r="A63" s="295" t="s">
        <v>2299</v>
      </c>
      <c r="B63" s="351" t="s">
        <v>2162</v>
      </c>
      <c r="C63" s="706"/>
      <c r="D63" s="480"/>
      <c r="E63" s="480" t="s">
        <v>1085</v>
      </c>
      <c r="F63" s="481"/>
      <c r="G63" s="483"/>
    </row>
    <row r="64" spans="1:7" ht="38.25" x14ac:dyDescent="0.25">
      <c r="A64" s="295" t="s">
        <v>1706</v>
      </c>
      <c r="B64" s="351" t="s">
        <v>1707</v>
      </c>
      <c r="C64" s="703">
        <v>45565</v>
      </c>
      <c r="D64" s="480" t="s">
        <v>1085</v>
      </c>
      <c r="E64" s="480"/>
      <c r="F64" s="481"/>
      <c r="G64" s="484" t="s">
        <v>1712</v>
      </c>
    </row>
    <row r="65" spans="1:12" ht="25.5" x14ac:dyDescent="0.25">
      <c r="A65" s="295" t="s">
        <v>1605</v>
      </c>
      <c r="B65" s="351" t="s">
        <v>1606</v>
      </c>
      <c r="C65" s="703">
        <v>45565</v>
      </c>
      <c r="D65" s="480"/>
      <c r="E65" s="480" t="s">
        <v>1085</v>
      </c>
      <c r="F65" s="481"/>
      <c r="G65" s="484" t="s">
        <v>1607</v>
      </c>
    </row>
    <row r="66" spans="1:12" ht="38.25" x14ac:dyDescent="0.25">
      <c r="A66" s="295" t="s">
        <v>2300</v>
      </c>
      <c r="B66" s="351" t="s">
        <v>1708</v>
      </c>
      <c r="C66" s="703">
        <v>45687</v>
      </c>
      <c r="D66" s="480"/>
      <c r="E66" s="480" t="s">
        <v>1085</v>
      </c>
      <c r="F66" s="481"/>
      <c r="G66" s="484" t="s">
        <v>1713</v>
      </c>
      <c r="L66" s="25"/>
    </row>
    <row r="67" spans="1:12" ht="63.75" x14ac:dyDescent="0.25">
      <c r="A67" s="295" t="s">
        <v>2301</v>
      </c>
      <c r="B67" s="351" t="s">
        <v>1389</v>
      </c>
      <c r="C67" s="703">
        <v>45838</v>
      </c>
      <c r="D67" s="480" t="s">
        <v>1085</v>
      </c>
      <c r="E67" s="480"/>
      <c r="F67" s="481"/>
      <c r="G67" s="482" t="s">
        <v>1194</v>
      </c>
      <c r="L67" s="25"/>
    </row>
    <row r="68" spans="1:12" ht="15.75" x14ac:dyDescent="0.25">
      <c r="A68" s="295" t="s">
        <v>1910</v>
      </c>
      <c r="B68" s="351" t="s">
        <v>1714</v>
      </c>
      <c r="C68" s="703">
        <v>45473</v>
      </c>
      <c r="D68" s="480" t="s">
        <v>1085</v>
      </c>
      <c r="E68" s="480"/>
      <c r="F68" s="481"/>
      <c r="G68" s="483" t="s">
        <v>1195</v>
      </c>
      <c r="L68" s="25"/>
    </row>
    <row r="69" spans="1:12" ht="15.75" x14ac:dyDescent="0.25">
      <c r="A69" s="295" t="s">
        <v>2302</v>
      </c>
      <c r="B69" s="351" t="s">
        <v>1715</v>
      </c>
      <c r="C69" s="703">
        <v>45838</v>
      </c>
      <c r="D69" s="480" t="s">
        <v>1085</v>
      </c>
      <c r="E69" s="480"/>
      <c r="F69" s="481"/>
      <c r="G69" s="483" t="s">
        <v>1195</v>
      </c>
      <c r="L69" s="27"/>
    </row>
    <row r="70" spans="1:12" ht="25.5" x14ac:dyDescent="0.25">
      <c r="A70" s="295" t="s">
        <v>1905</v>
      </c>
      <c r="B70" s="351" t="s">
        <v>1099</v>
      </c>
      <c r="C70" s="703">
        <v>45473</v>
      </c>
      <c r="D70" s="480"/>
      <c r="E70" s="480" t="s">
        <v>1085</v>
      </c>
      <c r="F70" s="481"/>
      <c r="G70" s="482" t="s">
        <v>1196</v>
      </c>
      <c r="L70" s="27"/>
    </row>
    <row r="71" spans="1:12" ht="25.5" x14ac:dyDescent="0.25">
      <c r="A71" s="295" t="s">
        <v>2303</v>
      </c>
      <c r="B71" s="351" t="s">
        <v>1197</v>
      </c>
      <c r="C71" s="703">
        <v>45838</v>
      </c>
      <c r="D71" s="480"/>
      <c r="E71" s="480" t="s">
        <v>1085</v>
      </c>
      <c r="F71" s="481"/>
      <c r="G71" s="482" t="s">
        <v>1196</v>
      </c>
      <c r="L71" s="26"/>
    </row>
    <row r="72" spans="1:12" ht="17.25" x14ac:dyDescent="0.25">
      <c r="A72" s="295" t="s">
        <v>1911</v>
      </c>
      <c r="B72" s="351" t="s">
        <v>1100</v>
      </c>
      <c r="C72" s="703">
        <v>45473</v>
      </c>
      <c r="D72" s="480"/>
      <c r="E72" s="480" t="s">
        <v>1085</v>
      </c>
      <c r="F72" s="481"/>
      <c r="G72" s="482" t="s">
        <v>1198</v>
      </c>
      <c r="L72" s="26"/>
    </row>
    <row r="73" spans="1:12" x14ac:dyDescent="0.25">
      <c r="A73" s="295" t="s">
        <v>2304</v>
      </c>
      <c r="B73" s="351" t="s">
        <v>1101</v>
      </c>
      <c r="C73" s="703">
        <v>45838</v>
      </c>
      <c r="D73" s="480"/>
      <c r="E73" s="480" t="s">
        <v>1085</v>
      </c>
      <c r="F73" s="481"/>
      <c r="G73" s="482" t="s">
        <v>1198</v>
      </c>
      <c r="L73" s="28"/>
    </row>
    <row r="74" spans="1:12" ht="25.5" x14ac:dyDescent="0.25">
      <c r="A74" s="295" t="s">
        <v>1798</v>
      </c>
      <c r="B74" s="351" t="s">
        <v>1799</v>
      </c>
      <c r="C74" s="703">
        <v>45473</v>
      </c>
      <c r="D74" s="480" t="s">
        <v>1085</v>
      </c>
      <c r="E74" s="480"/>
      <c r="F74" s="481"/>
      <c r="G74" s="484" t="s">
        <v>1800</v>
      </c>
      <c r="L74" s="28"/>
    </row>
    <row r="75" spans="1:12" x14ac:dyDescent="0.25">
      <c r="A75" s="295" t="s">
        <v>2164</v>
      </c>
      <c r="B75" s="351" t="s">
        <v>2232</v>
      </c>
      <c r="C75" s="706"/>
      <c r="D75" s="480"/>
      <c r="E75" s="480"/>
      <c r="F75" s="481"/>
      <c r="G75" s="483"/>
      <c r="L75" s="28"/>
    </row>
    <row r="76" spans="1:12" x14ac:dyDescent="0.25">
      <c r="A76" s="295" t="s">
        <v>2305</v>
      </c>
      <c r="B76" s="351" t="s">
        <v>1987</v>
      </c>
      <c r="C76" s="706"/>
      <c r="D76" s="480" t="s">
        <v>1085</v>
      </c>
      <c r="E76" s="480"/>
      <c r="F76" s="481"/>
      <c r="G76" s="483"/>
      <c r="L76" s="28"/>
    </row>
    <row r="77" spans="1:12" x14ac:dyDescent="0.25">
      <c r="A77" s="295" t="s">
        <v>2020</v>
      </c>
      <c r="B77" s="351" t="s">
        <v>2021</v>
      </c>
      <c r="C77" s="703"/>
      <c r="D77" s="480"/>
      <c r="E77" s="480"/>
      <c r="F77" s="481" t="s">
        <v>1085</v>
      </c>
      <c r="G77" s="483"/>
      <c r="L77" s="28"/>
    </row>
    <row r="78" spans="1:12" ht="25.5" x14ac:dyDescent="0.25">
      <c r="A78" s="295" t="s">
        <v>2306</v>
      </c>
      <c r="B78" s="351" t="s">
        <v>1385</v>
      </c>
      <c r="C78" s="703">
        <v>45838</v>
      </c>
      <c r="D78" s="480"/>
      <c r="E78" s="480" t="s">
        <v>1085</v>
      </c>
      <c r="F78" s="481"/>
      <c r="G78" s="484" t="s">
        <v>1199</v>
      </c>
    </row>
    <row r="79" spans="1:12" x14ac:dyDescent="0.25">
      <c r="A79" s="295" t="s">
        <v>1103</v>
      </c>
      <c r="B79" s="351" t="s">
        <v>1200</v>
      </c>
      <c r="C79" s="703">
        <v>44377</v>
      </c>
      <c r="D79" s="480"/>
      <c r="E79" s="480"/>
      <c r="F79" s="481" t="s">
        <v>1085</v>
      </c>
      <c r="G79" s="483" t="s">
        <v>1201</v>
      </c>
    </row>
    <row r="80" spans="1:12" ht="25.5" x14ac:dyDescent="0.25">
      <c r="A80" s="295" t="s">
        <v>1951</v>
      </c>
      <c r="B80" s="351" t="s">
        <v>1952</v>
      </c>
      <c r="C80" s="703">
        <v>45473</v>
      </c>
      <c r="D80" s="480"/>
      <c r="E80" s="480"/>
      <c r="F80" s="481" t="s">
        <v>1085</v>
      </c>
      <c r="G80" s="484" t="s">
        <v>2027</v>
      </c>
    </row>
    <row r="81" spans="1:7" x14ac:dyDescent="0.25">
      <c r="A81" s="295" t="s">
        <v>1469</v>
      </c>
      <c r="B81" s="351" t="s">
        <v>1471</v>
      </c>
      <c r="C81" s="703">
        <v>44370</v>
      </c>
      <c r="D81" s="480"/>
      <c r="E81" s="480"/>
      <c r="F81" s="481" t="s">
        <v>1085</v>
      </c>
      <c r="G81" s="483" t="s">
        <v>1473</v>
      </c>
    </row>
    <row r="82" spans="1:7" ht="38.25" x14ac:dyDescent="0.25">
      <c r="A82" s="295" t="s">
        <v>1949</v>
      </c>
      <c r="B82" s="351" t="s">
        <v>1950</v>
      </c>
      <c r="C82" s="703">
        <v>45473</v>
      </c>
      <c r="D82" s="480"/>
      <c r="E82" s="480"/>
      <c r="F82" s="481" t="s">
        <v>1085</v>
      </c>
      <c r="G82" s="484" t="s">
        <v>2028</v>
      </c>
    </row>
    <row r="83" spans="1:7" x14ac:dyDescent="0.25">
      <c r="A83" s="295" t="s">
        <v>2062</v>
      </c>
      <c r="B83" s="351" t="s">
        <v>1471</v>
      </c>
      <c r="C83" s="706"/>
      <c r="D83" s="480"/>
      <c r="E83" s="480"/>
      <c r="F83" s="481" t="s">
        <v>1085</v>
      </c>
      <c r="G83" s="483" t="s">
        <v>2066</v>
      </c>
    </row>
    <row r="84" spans="1:7" x14ac:dyDescent="0.25">
      <c r="A84" s="295" t="s">
        <v>1953</v>
      </c>
      <c r="B84" s="351" t="s">
        <v>1814</v>
      </c>
      <c r="C84" s="703">
        <v>45473</v>
      </c>
      <c r="D84" s="480"/>
      <c r="E84" s="480"/>
      <c r="F84" s="481" t="s">
        <v>1085</v>
      </c>
      <c r="G84" s="483" t="s">
        <v>2029</v>
      </c>
    </row>
    <row r="85" spans="1:7" ht="25.5" x14ac:dyDescent="0.25">
      <c r="A85" s="295" t="s">
        <v>1470</v>
      </c>
      <c r="B85" s="351" t="s">
        <v>1427</v>
      </c>
      <c r="C85" s="703">
        <v>45473</v>
      </c>
      <c r="D85" s="480"/>
      <c r="E85" s="480"/>
      <c r="F85" s="481" t="s">
        <v>1085</v>
      </c>
      <c r="G85" s="484" t="s">
        <v>1472</v>
      </c>
    </row>
    <row r="86" spans="1:7" x14ac:dyDescent="0.25">
      <c r="A86" s="295" t="s">
        <v>1954</v>
      </c>
      <c r="B86" s="351" t="s">
        <v>1955</v>
      </c>
      <c r="C86" s="703">
        <v>45473</v>
      </c>
      <c r="D86" s="480"/>
      <c r="E86" s="480"/>
      <c r="F86" s="481" t="s">
        <v>1085</v>
      </c>
      <c r="G86" s="483" t="s">
        <v>2030</v>
      </c>
    </row>
    <row r="87" spans="1:7" ht="25.5" x14ac:dyDescent="0.25">
      <c r="A87" s="295" t="s">
        <v>1956</v>
      </c>
      <c r="B87" s="351" t="s">
        <v>1957</v>
      </c>
      <c r="C87" s="703">
        <v>45473</v>
      </c>
      <c r="D87" s="480"/>
      <c r="E87" s="480"/>
      <c r="F87" s="481" t="s">
        <v>1085</v>
      </c>
      <c r="G87" s="484" t="s">
        <v>2031</v>
      </c>
    </row>
    <row r="88" spans="1:7" x14ac:dyDescent="0.25">
      <c r="A88" s="295" t="s">
        <v>1958</v>
      </c>
      <c r="B88" s="351" t="s">
        <v>1959</v>
      </c>
      <c r="C88" s="703">
        <v>45473</v>
      </c>
      <c r="D88" s="480"/>
      <c r="E88" s="480"/>
      <c r="F88" s="481" t="s">
        <v>1085</v>
      </c>
      <c r="G88" s="483" t="s">
        <v>2032</v>
      </c>
    </row>
    <row r="89" spans="1:7" x14ac:dyDescent="0.25">
      <c r="A89" s="295" t="s">
        <v>2165</v>
      </c>
      <c r="B89" s="351" t="s">
        <v>2233</v>
      </c>
      <c r="C89" s="706"/>
      <c r="D89" s="480"/>
      <c r="E89" s="480"/>
      <c r="F89" s="481"/>
      <c r="G89" s="483"/>
    </row>
    <row r="90" spans="1:7" ht="25.5" x14ac:dyDescent="0.25">
      <c r="A90" s="295" t="s">
        <v>1960</v>
      </c>
      <c r="B90" s="351" t="s">
        <v>1104</v>
      </c>
      <c r="C90" s="703">
        <v>45473</v>
      </c>
      <c r="D90" s="480"/>
      <c r="E90" s="480" t="s">
        <v>1085</v>
      </c>
      <c r="F90" s="481"/>
      <c r="G90" s="484" t="s">
        <v>1183</v>
      </c>
    </row>
    <row r="91" spans="1:7" ht="25.5" x14ac:dyDescent="0.25">
      <c r="A91" s="295" t="s">
        <v>2307</v>
      </c>
      <c r="B91" s="351" t="s">
        <v>1104</v>
      </c>
      <c r="C91" s="703">
        <v>45473</v>
      </c>
      <c r="D91" s="480"/>
      <c r="E91" s="480" t="s">
        <v>1085</v>
      </c>
      <c r="F91" s="481"/>
      <c r="G91" s="484" t="s">
        <v>1183</v>
      </c>
    </row>
    <row r="92" spans="1:7" ht="25.5" x14ac:dyDescent="0.25">
      <c r="A92" s="295" t="s">
        <v>1961</v>
      </c>
      <c r="B92" s="351" t="s">
        <v>1105</v>
      </c>
      <c r="C92" s="703">
        <v>45473</v>
      </c>
      <c r="D92" s="480"/>
      <c r="E92" s="480" t="s">
        <v>1085</v>
      </c>
      <c r="F92" s="481"/>
      <c r="G92" s="484" t="s">
        <v>1183</v>
      </c>
    </row>
    <row r="93" spans="1:7" ht="25.5" x14ac:dyDescent="0.25">
      <c r="A93" s="295" t="s">
        <v>2308</v>
      </c>
      <c r="B93" s="351" t="s">
        <v>1105</v>
      </c>
      <c r="C93" s="703">
        <v>45473</v>
      </c>
      <c r="D93" s="480"/>
      <c r="E93" s="480" t="s">
        <v>1085</v>
      </c>
      <c r="F93" s="481"/>
      <c r="G93" s="484" t="s">
        <v>1183</v>
      </c>
    </row>
    <row r="94" spans="1:7" ht="25.5" x14ac:dyDescent="0.25">
      <c r="A94" s="295" t="s">
        <v>1962</v>
      </c>
      <c r="B94" s="351" t="s">
        <v>1716</v>
      </c>
      <c r="C94" s="703">
        <v>45473</v>
      </c>
      <c r="D94" s="480"/>
      <c r="E94" s="480" t="s">
        <v>1085</v>
      </c>
      <c r="F94" s="481"/>
      <c r="G94" s="484" t="s">
        <v>1183</v>
      </c>
    </row>
    <row r="95" spans="1:7" ht="25.5" x14ac:dyDescent="0.25">
      <c r="A95" s="295" t="s">
        <v>2309</v>
      </c>
      <c r="B95" s="351" t="s">
        <v>1963</v>
      </c>
      <c r="C95" s="703">
        <v>45473</v>
      </c>
      <c r="D95" s="480"/>
      <c r="E95" s="480" t="s">
        <v>1085</v>
      </c>
      <c r="F95" s="481"/>
      <c r="G95" s="484" t="s">
        <v>1183</v>
      </c>
    </row>
    <row r="96" spans="1:7" ht="25.5" x14ac:dyDescent="0.25">
      <c r="A96" s="295" t="s">
        <v>1965</v>
      </c>
      <c r="B96" s="351" t="s">
        <v>1106</v>
      </c>
      <c r="C96" s="703">
        <v>45473</v>
      </c>
      <c r="D96" s="480"/>
      <c r="E96" s="480" t="s">
        <v>1085</v>
      </c>
      <c r="F96" s="481"/>
      <c r="G96" s="484" t="s">
        <v>1183</v>
      </c>
    </row>
    <row r="97" spans="1:7" ht="25.5" x14ac:dyDescent="0.25">
      <c r="A97" s="295" t="s">
        <v>2310</v>
      </c>
      <c r="B97" s="351" t="s">
        <v>1106</v>
      </c>
      <c r="C97" s="703">
        <v>45473</v>
      </c>
      <c r="D97" s="480"/>
      <c r="E97" s="480" t="s">
        <v>1085</v>
      </c>
      <c r="F97" s="481"/>
      <c r="G97" s="484" t="s">
        <v>1183</v>
      </c>
    </row>
    <row r="98" spans="1:7" ht="25.5" x14ac:dyDescent="0.25">
      <c r="A98" s="295" t="s">
        <v>1964</v>
      </c>
      <c r="B98" s="351" t="s">
        <v>1635</v>
      </c>
      <c r="C98" s="703">
        <v>45473</v>
      </c>
      <c r="D98" s="480"/>
      <c r="E98" s="480" t="s">
        <v>1085</v>
      </c>
      <c r="F98" s="481"/>
      <c r="G98" s="484" t="s">
        <v>1183</v>
      </c>
    </row>
    <row r="99" spans="1:7" ht="25.5" x14ac:dyDescent="0.25">
      <c r="A99" s="295" t="s">
        <v>2311</v>
      </c>
      <c r="B99" s="351" t="s">
        <v>1635</v>
      </c>
      <c r="C99" s="703">
        <v>45473</v>
      </c>
      <c r="D99" s="480"/>
      <c r="E99" s="480" t="s">
        <v>1085</v>
      </c>
      <c r="F99" s="481"/>
      <c r="G99" s="484" t="s">
        <v>1183</v>
      </c>
    </row>
    <row r="100" spans="1:7" ht="25.5" x14ac:dyDescent="0.25">
      <c r="A100" s="295" t="s">
        <v>1966</v>
      </c>
      <c r="B100" s="351" t="s">
        <v>1718</v>
      </c>
      <c r="C100" s="703">
        <v>45473</v>
      </c>
      <c r="D100" s="480"/>
      <c r="E100" s="480" t="s">
        <v>1085</v>
      </c>
      <c r="F100" s="481"/>
      <c r="G100" s="484" t="s">
        <v>1183</v>
      </c>
    </row>
    <row r="101" spans="1:7" ht="25.5" x14ac:dyDescent="0.25">
      <c r="A101" s="295" t="s">
        <v>2312</v>
      </c>
      <c r="B101" s="351" t="s">
        <v>1967</v>
      </c>
      <c r="C101" s="703">
        <v>45473</v>
      </c>
      <c r="D101" s="480"/>
      <c r="E101" s="480" t="s">
        <v>1085</v>
      </c>
      <c r="F101" s="481"/>
      <c r="G101" s="484" t="s">
        <v>1183</v>
      </c>
    </row>
    <row r="102" spans="1:7" ht="25.5" x14ac:dyDescent="0.25">
      <c r="A102" s="295" t="s">
        <v>1968</v>
      </c>
      <c r="B102" s="351" t="s">
        <v>1717</v>
      </c>
      <c r="C102" s="703">
        <v>45473</v>
      </c>
      <c r="D102" s="480"/>
      <c r="E102" s="480" t="s">
        <v>1085</v>
      </c>
      <c r="F102" s="481"/>
      <c r="G102" s="484" t="s">
        <v>1183</v>
      </c>
    </row>
    <row r="103" spans="1:7" ht="25.5" x14ac:dyDescent="0.25">
      <c r="A103" s="295" t="s">
        <v>2313</v>
      </c>
      <c r="B103" s="351" t="s">
        <v>1969</v>
      </c>
      <c r="C103" s="703">
        <v>45473</v>
      </c>
      <c r="D103" s="480"/>
      <c r="E103" s="480" t="s">
        <v>1085</v>
      </c>
      <c r="F103" s="481"/>
      <c r="G103" s="484" t="s">
        <v>1183</v>
      </c>
    </row>
    <row r="104" spans="1:7" ht="25.5" x14ac:dyDescent="0.25">
      <c r="A104" s="295" t="s">
        <v>1971</v>
      </c>
      <c r="B104" s="351" t="s">
        <v>1970</v>
      </c>
      <c r="C104" s="703">
        <v>45536</v>
      </c>
      <c r="D104" s="480"/>
      <c r="E104" s="480" t="s">
        <v>1085</v>
      </c>
      <c r="F104" s="481"/>
      <c r="G104" s="484" t="s">
        <v>2033</v>
      </c>
    </row>
    <row r="105" spans="1:7" ht="25.5" x14ac:dyDescent="0.25">
      <c r="A105" s="295" t="s">
        <v>1454</v>
      </c>
      <c r="B105" s="351" t="s">
        <v>1456</v>
      </c>
      <c r="C105" s="703">
        <v>44742</v>
      </c>
      <c r="D105" s="480"/>
      <c r="E105" s="480"/>
      <c r="F105" s="481" t="s">
        <v>1085</v>
      </c>
      <c r="G105" s="484" t="s">
        <v>1460</v>
      </c>
    </row>
    <row r="106" spans="1:7" x14ac:dyDescent="0.25">
      <c r="A106" s="295" t="s">
        <v>1972</v>
      </c>
      <c r="B106" s="351" t="s">
        <v>1973</v>
      </c>
      <c r="C106" s="703"/>
      <c r="D106" s="480"/>
      <c r="E106" s="480" t="s">
        <v>1085</v>
      </c>
      <c r="F106" s="481"/>
      <c r="G106" s="484" t="s">
        <v>2039</v>
      </c>
    </row>
    <row r="107" spans="1:7" x14ac:dyDescent="0.25">
      <c r="A107" s="295" t="s">
        <v>2235</v>
      </c>
      <c r="B107" s="351" t="s">
        <v>1973</v>
      </c>
      <c r="C107" s="706"/>
      <c r="D107" s="480"/>
      <c r="E107" s="480"/>
      <c r="F107" s="481"/>
      <c r="G107" s="483"/>
    </row>
    <row r="108" spans="1:7" x14ac:dyDescent="0.25">
      <c r="A108" s="295" t="s">
        <v>1974</v>
      </c>
      <c r="B108" s="351" t="s">
        <v>1975</v>
      </c>
      <c r="C108" s="703"/>
      <c r="D108" s="480"/>
      <c r="E108" s="480" t="s">
        <v>1085</v>
      </c>
      <c r="F108" s="481"/>
      <c r="G108" s="484" t="s">
        <v>2039</v>
      </c>
    </row>
    <row r="109" spans="1:7" x14ac:dyDescent="0.25">
      <c r="A109" s="295" t="s">
        <v>2236</v>
      </c>
      <c r="B109" s="351" t="s">
        <v>1975</v>
      </c>
      <c r="C109" s="706"/>
      <c r="D109" s="480"/>
      <c r="E109" s="480"/>
      <c r="F109" s="481"/>
      <c r="G109" s="483"/>
    </row>
    <row r="110" spans="1:7" x14ac:dyDescent="0.25">
      <c r="A110" s="295" t="s">
        <v>1976</v>
      </c>
      <c r="B110" s="351" t="s">
        <v>1977</v>
      </c>
      <c r="C110" s="703"/>
      <c r="D110" s="480"/>
      <c r="E110" s="480" t="s">
        <v>1085</v>
      </c>
      <c r="F110" s="481"/>
      <c r="G110" s="484" t="s">
        <v>2039</v>
      </c>
    </row>
    <row r="111" spans="1:7" x14ac:dyDescent="0.25">
      <c r="A111" s="295" t="s">
        <v>2237</v>
      </c>
      <c r="B111" s="351" t="s">
        <v>1977</v>
      </c>
      <c r="C111" s="706"/>
      <c r="D111" s="480"/>
      <c r="E111" s="480"/>
      <c r="F111" s="481"/>
      <c r="G111" s="483"/>
    </row>
    <row r="112" spans="1:7" ht="25.5" x14ac:dyDescent="0.25">
      <c r="A112" s="295" t="s">
        <v>1455</v>
      </c>
      <c r="B112" s="351" t="s">
        <v>1356</v>
      </c>
      <c r="C112" s="703">
        <v>44742</v>
      </c>
      <c r="D112" s="480"/>
      <c r="E112" s="480"/>
      <c r="F112" s="481" t="s">
        <v>1085</v>
      </c>
      <c r="G112" s="484" t="s">
        <v>1461</v>
      </c>
    </row>
    <row r="113" spans="1:7" x14ac:dyDescent="0.25">
      <c r="A113" s="295" t="s">
        <v>1978</v>
      </c>
      <c r="B113" s="351" t="s">
        <v>1979</v>
      </c>
      <c r="C113" s="703"/>
      <c r="D113" s="480"/>
      <c r="E113" s="480" t="s">
        <v>1085</v>
      </c>
      <c r="F113" s="481"/>
      <c r="G113" s="484" t="s">
        <v>2039</v>
      </c>
    </row>
    <row r="114" spans="1:7" x14ac:dyDescent="0.25">
      <c r="A114" s="295" t="s">
        <v>2049</v>
      </c>
      <c r="B114" s="351" t="s">
        <v>1979</v>
      </c>
      <c r="C114" s="706"/>
      <c r="D114" s="480"/>
      <c r="E114" s="480" t="s">
        <v>1085</v>
      </c>
      <c r="F114" s="481"/>
      <c r="G114" s="483"/>
    </row>
    <row r="115" spans="1:7" x14ac:dyDescent="0.25">
      <c r="A115" s="295" t="s">
        <v>2049</v>
      </c>
      <c r="B115" s="351" t="s">
        <v>2050</v>
      </c>
      <c r="C115" s="706"/>
      <c r="D115" s="480"/>
      <c r="E115" s="480"/>
      <c r="F115" s="481" t="s">
        <v>1085</v>
      </c>
      <c r="G115" s="483"/>
    </row>
    <row r="116" spans="1:7" ht="216.75" x14ac:dyDescent="0.25">
      <c r="A116" s="295" t="s">
        <v>2051</v>
      </c>
      <c r="B116" s="351" t="s">
        <v>2052</v>
      </c>
      <c r="C116" s="706">
        <v>45688</v>
      </c>
      <c r="D116" s="480" t="s">
        <v>1085</v>
      </c>
      <c r="E116" s="480"/>
      <c r="F116" s="481"/>
      <c r="G116" s="484" t="s">
        <v>2053</v>
      </c>
    </row>
    <row r="117" spans="1:7" ht="51" x14ac:dyDescent="0.25">
      <c r="A117" s="295" t="s">
        <v>2046</v>
      </c>
      <c r="B117" s="351" t="s">
        <v>2047</v>
      </c>
      <c r="C117" s="706">
        <v>46203</v>
      </c>
      <c r="D117" s="480" t="s">
        <v>1085</v>
      </c>
      <c r="E117" s="480"/>
      <c r="F117" s="481"/>
      <c r="G117" s="484" t="s">
        <v>2048</v>
      </c>
    </row>
    <row r="118" spans="1:7" x14ac:dyDescent="0.25">
      <c r="A118" s="295" t="s">
        <v>2239</v>
      </c>
      <c r="B118" s="351" t="s">
        <v>2047</v>
      </c>
      <c r="C118" s="706"/>
      <c r="D118" s="480"/>
      <c r="E118" s="480"/>
      <c r="F118" s="481"/>
      <c r="G118" s="483"/>
    </row>
    <row r="119" spans="1:7" x14ac:dyDescent="0.25">
      <c r="A119" s="295" t="s">
        <v>2055</v>
      </c>
      <c r="B119" s="351" t="s">
        <v>2057</v>
      </c>
      <c r="C119" s="706">
        <v>46203</v>
      </c>
      <c r="D119" s="480" t="s">
        <v>1085</v>
      </c>
      <c r="E119" s="480"/>
      <c r="F119" s="481"/>
      <c r="G119" s="483"/>
    </row>
    <row r="120" spans="1:7" x14ac:dyDescent="0.25">
      <c r="A120" s="295" t="s">
        <v>2056</v>
      </c>
      <c r="B120" s="351" t="s">
        <v>2058</v>
      </c>
      <c r="C120" s="706">
        <v>46203</v>
      </c>
      <c r="D120" s="480" t="s">
        <v>1085</v>
      </c>
      <c r="E120" s="480"/>
      <c r="F120" s="481"/>
      <c r="G120" s="483"/>
    </row>
    <row r="121" spans="1:7" ht="25.5" x14ac:dyDescent="0.25">
      <c r="A121" s="295" t="s">
        <v>1906</v>
      </c>
      <c r="B121" s="351" t="s">
        <v>1107</v>
      </c>
      <c r="C121" s="703">
        <v>45473</v>
      </c>
      <c r="D121" s="480"/>
      <c r="E121" s="480" t="s">
        <v>1085</v>
      </c>
      <c r="F121" s="481"/>
      <c r="G121" s="484" t="s">
        <v>1202</v>
      </c>
    </row>
    <row r="122" spans="1:7" ht="25.5" x14ac:dyDescent="0.25">
      <c r="A122" s="295" t="s">
        <v>2242</v>
      </c>
      <c r="B122" s="351" t="s">
        <v>1080</v>
      </c>
      <c r="C122" s="703">
        <v>45473</v>
      </c>
      <c r="D122" s="480"/>
      <c r="E122" s="480" t="s">
        <v>1085</v>
      </c>
      <c r="F122" s="481"/>
      <c r="G122" s="484" t="s">
        <v>1202</v>
      </c>
    </row>
    <row r="123" spans="1:7" ht="38.25" x14ac:dyDescent="0.25">
      <c r="A123" s="295" t="s">
        <v>2069</v>
      </c>
      <c r="B123" s="351" t="s">
        <v>2071</v>
      </c>
      <c r="C123" s="706"/>
      <c r="D123" s="480" t="s">
        <v>1085</v>
      </c>
      <c r="E123" s="480"/>
      <c r="F123" s="481"/>
      <c r="G123" s="484" t="s">
        <v>2072</v>
      </c>
    </row>
    <row r="124" spans="1:7" ht="63.75" x14ac:dyDescent="0.25">
      <c r="A124" s="295" t="s">
        <v>2245</v>
      </c>
      <c r="B124" s="351" t="s">
        <v>1458</v>
      </c>
      <c r="C124" s="703"/>
      <c r="D124" s="480" t="s">
        <v>1085</v>
      </c>
      <c r="E124" s="480"/>
      <c r="F124" s="481"/>
      <c r="G124" s="484" t="s">
        <v>2054</v>
      </c>
    </row>
    <row r="125" spans="1:7" x14ac:dyDescent="0.25">
      <c r="A125" s="295" t="s">
        <v>2167</v>
      </c>
      <c r="B125" s="351" t="s">
        <v>2168</v>
      </c>
      <c r="C125" s="706"/>
      <c r="D125" s="480"/>
      <c r="E125" s="480"/>
      <c r="F125" s="481" t="s">
        <v>1085</v>
      </c>
      <c r="G125" s="483"/>
    </row>
    <row r="126" spans="1:7" x14ac:dyDescent="0.25">
      <c r="A126" s="295" t="s">
        <v>2077</v>
      </c>
      <c r="B126" s="351" t="s">
        <v>1108</v>
      </c>
      <c r="C126" s="703">
        <v>44834</v>
      </c>
      <c r="D126" s="480"/>
      <c r="E126" s="480" t="s">
        <v>1085</v>
      </c>
      <c r="F126" s="481"/>
      <c r="G126" s="483" t="s">
        <v>1505</v>
      </c>
    </row>
    <row r="127" spans="1:7" x14ac:dyDescent="0.25">
      <c r="A127" s="295" t="s">
        <v>2246</v>
      </c>
      <c r="B127" s="351" t="s">
        <v>1108</v>
      </c>
      <c r="C127" s="703">
        <v>45199</v>
      </c>
      <c r="D127" s="480"/>
      <c r="E127" s="480" t="s">
        <v>1085</v>
      </c>
      <c r="F127" s="481"/>
      <c r="G127" s="483" t="s">
        <v>1505</v>
      </c>
    </row>
    <row r="128" spans="1:7" x14ac:dyDescent="0.25">
      <c r="A128" s="295" t="s">
        <v>2078</v>
      </c>
      <c r="B128" s="351" t="s">
        <v>1108</v>
      </c>
      <c r="C128" s="703">
        <v>45199</v>
      </c>
      <c r="D128" s="480"/>
      <c r="E128" s="480" t="s">
        <v>1085</v>
      </c>
      <c r="F128" s="481"/>
      <c r="G128" s="483" t="s">
        <v>1781</v>
      </c>
    </row>
    <row r="129" spans="1:7" x14ac:dyDescent="0.25">
      <c r="A129" s="295" t="s">
        <v>2247</v>
      </c>
      <c r="B129" s="351" t="s">
        <v>1108</v>
      </c>
      <c r="C129" s="706"/>
      <c r="D129" s="480"/>
      <c r="E129" s="480"/>
      <c r="F129" s="481"/>
      <c r="G129" s="483"/>
    </row>
    <row r="130" spans="1:7" x14ac:dyDescent="0.25">
      <c r="A130" s="295" t="s">
        <v>2248</v>
      </c>
      <c r="B130" s="351" t="s">
        <v>1373</v>
      </c>
      <c r="C130" s="706"/>
      <c r="D130" s="480"/>
      <c r="E130" s="480"/>
      <c r="F130" s="481"/>
      <c r="G130" s="483"/>
    </row>
    <row r="131" spans="1:7" s="22" customFormat="1" ht="25.5" x14ac:dyDescent="0.25">
      <c r="A131" s="295" t="s">
        <v>2249</v>
      </c>
      <c r="B131" s="351" t="s">
        <v>2250</v>
      </c>
      <c r="C131" s="703">
        <v>45199</v>
      </c>
      <c r="D131" s="480"/>
      <c r="E131" s="480" t="s">
        <v>1085</v>
      </c>
      <c r="F131" s="481"/>
      <c r="G131" s="484" t="s">
        <v>1506</v>
      </c>
    </row>
    <row r="132" spans="1:7" s="22" customFormat="1" x14ac:dyDescent="0.25">
      <c r="A132" s="295" t="s">
        <v>2079</v>
      </c>
      <c r="B132" s="351" t="s">
        <v>1108</v>
      </c>
      <c r="C132" s="706"/>
      <c r="D132" s="480"/>
      <c r="E132" s="480"/>
      <c r="F132" s="481"/>
      <c r="G132" s="483"/>
    </row>
    <row r="133" spans="1:7" s="22" customFormat="1" x14ac:dyDescent="0.25">
      <c r="A133" s="295" t="s">
        <v>2251</v>
      </c>
      <c r="B133" s="351" t="s">
        <v>1108</v>
      </c>
      <c r="C133" s="706"/>
      <c r="D133" s="480"/>
      <c r="E133" s="480"/>
      <c r="F133" s="481"/>
      <c r="G133" s="483"/>
    </row>
    <row r="134" spans="1:7" s="22" customFormat="1" x14ac:dyDescent="0.25">
      <c r="A134" s="295" t="s">
        <v>2080</v>
      </c>
      <c r="B134" s="351" t="s">
        <v>1108</v>
      </c>
      <c r="C134" s="703">
        <v>45199</v>
      </c>
      <c r="D134" s="480"/>
      <c r="E134" s="480" t="s">
        <v>1085</v>
      </c>
      <c r="F134" s="481"/>
      <c r="G134" s="483" t="s">
        <v>1507</v>
      </c>
    </row>
    <row r="135" spans="1:7" s="22" customFormat="1" x14ac:dyDescent="0.25">
      <c r="A135" s="295" t="s">
        <v>2252</v>
      </c>
      <c r="B135" s="351" t="s">
        <v>1108</v>
      </c>
      <c r="C135" s="706"/>
      <c r="D135" s="480"/>
      <c r="E135" s="480"/>
      <c r="F135" s="481"/>
      <c r="G135" s="483"/>
    </row>
    <row r="136" spans="1:7" s="22" customFormat="1" ht="25.5" x14ac:dyDescent="0.25">
      <c r="A136" s="295" t="s">
        <v>2081</v>
      </c>
      <c r="B136" s="351" t="s">
        <v>1108</v>
      </c>
      <c r="C136" s="703">
        <v>45199</v>
      </c>
      <c r="D136" s="480"/>
      <c r="E136" s="480" t="s">
        <v>1085</v>
      </c>
      <c r="F136" s="481"/>
      <c r="G136" s="484" t="s">
        <v>1508</v>
      </c>
    </row>
    <row r="137" spans="1:7" s="22" customFormat="1" x14ac:dyDescent="0.25">
      <c r="A137" s="295" t="s">
        <v>2253</v>
      </c>
      <c r="B137" s="351" t="s">
        <v>1108</v>
      </c>
      <c r="C137" s="706"/>
      <c r="D137" s="480"/>
      <c r="E137" s="480"/>
      <c r="F137" s="481"/>
      <c r="G137" s="483"/>
    </row>
    <row r="138" spans="1:7" s="22" customFormat="1" ht="25.5" x14ac:dyDescent="0.25">
      <c r="A138" s="295" t="s">
        <v>1907</v>
      </c>
      <c r="B138" s="351" t="s">
        <v>2314</v>
      </c>
      <c r="C138" s="703">
        <v>45473</v>
      </c>
      <c r="D138" s="480"/>
      <c r="E138" s="480" t="s">
        <v>1085</v>
      </c>
      <c r="F138" s="481"/>
      <c r="G138" s="484" t="s">
        <v>1203</v>
      </c>
    </row>
    <row r="139" spans="1:7" s="22" customFormat="1" ht="25.5" x14ac:dyDescent="0.25">
      <c r="A139" s="295" t="s">
        <v>2255</v>
      </c>
      <c r="B139" s="351" t="s">
        <v>1109</v>
      </c>
      <c r="C139" s="703">
        <v>45473</v>
      </c>
      <c r="D139" s="480"/>
      <c r="E139" s="480" t="s">
        <v>1085</v>
      </c>
      <c r="F139" s="481"/>
      <c r="G139" s="484" t="s">
        <v>1203</v>
      </c>
    </row>
    <row r="140" spans="1:7" s="22" customFormat="1" ht="25.5" x14ac:dyDescent="0.25">
      <c r="A140" s="295" t="s">
        <v>2315</v>
      </c>
      <c r="B140" s="351" t="s">
        <v>1110</v>
      </c>
      <c r="C140" s="703">
        <v>45473</v>
      </c>
      <c r="D140" s="480"/>
      <c r="E140" s="480" t="s">
        <v>1085</v>
      </c>
      <c r="F140" s="481"/>
      <c r="G140" s="484" t="s">
        <v>1204</v>
      </c>
    </row>
    <row r="141" spans="1:7" s="22" customFormat="1" ht="25.5" x14ac:dyDescent="0.25">
      <c r="A141" s="295" t="s">
        <v>1527</v>
      </c>
      <c r="B141" s="351" t="s">
        <v>1528</v>
      </c>
      <c r="C141" s="703">
        <v>45473</v>
      </c>
      <c r="D141" s="480"/>
      <c r="E141" s="480"/>
      <c r="F141" s="481" t="s">
        <v>1085</v>
      </c>
      <c r="G141" s="484" t="s">
        <v>1529</v>
      </c>
    </row>
    <row r="142" spans="1:7" s="22" customFormat="1" x14ac:dyDescent="0.25">
      <c r="A142" s="295" t="s">
        <v>1489</v>
      </c>
      <c r="B142" s="351" t="s">
        <v>1490</v>
      </c>
      <c r="C142" s="703">
        <v>45473</v>
      </c>
      <c r="D142" s="480"/>
      <c r="E142" s="480"/>
      <c r="F142" s="481" t="s">
        <v>1085</v>
      </c>
      <c r="G142" s="483" t="s">
        <v>1491</v>
      </c>
    </row>
    <row r="143" spans="1:7" s="489" customFormat="1" ht="12.75" x14ac:dyDescent="0.2">
      <c r="A143" s="295" t="s">
        <v>1412</v>
      </c>
      <c r="B143" s="351" t="s">
        <v>1413</v>
      </c>
      <c r="C143" s="703">
        <v>45473</v>
      </c>
      <c r="D143" s="480"/>
      <c r="E143" s="480"/>
      <c r="F143" s="481" t="s">
        <v>1085</v>
      </c>
      <c r="G143" s="483" t="s">
        <v>1462</v>
      </c>
    </row>
    <row r="144" spans="1:7" s="22" customFormat="1" x14ac:dyDescent="0.25">
      <c r="A144" s="295" t="s">
        <v>1511</v>
      </c>
      <c r="B144" s="474" t="s">
        <v>1512</v>
      </c>
      <c r="C144" s="703">
        <v>45473</v>
      </c>
      <c r="D144" s="480"/>
      <c r="E144" s="480"/>
      <c r="F144" s="481" t="s">
        <v>1085</v>
      </c>
      <c r="G144" s="483" t="s">
        <v>1462</v>
      </c>
    </row>
    <row r="145" spans="1:7" s="22" customFormat="1" ht="25.5" x14ac:dyDescent="0.25">
      <c r="A145" s="295" t="s">
        <v>1773</v>
      </c>
      <c r="B145" s="351" t="s">
        <v>1512</v>
      </c>
      <c r="C145" s="703">
        <v>45473</v>
      </c>
      <c r="D145" s="480"/>
      <c r="E145" s="480"/>
      <c r="F145" s="481"/>
      <c r="G145" s="484" t="s">
        <v>1774</v>
      </c>
    </row>
    <row r="146" spans="1:7" s="22" customFormat="1" x14ac:dyDescent="0.25">
      <c r="A146" s="295" t="s">
        <v>2316</v>
      </c>
      <c r="B146" s="351" t="s">
        <v>1797</v>
      </c>
      <c r="C146" s="706"/>
      <c r="D146" s="480"/>
      <c r="E146" s="480"/>
      <c r="F146" s="481"/>
      <c r="G146" s="483"/>
    </row>
    <row r="147" spans="1:7" s="22" customFormat="1" x14ac:dyDescent="0.25">
      <c r="A147" s="295" t="s">
        <v>1524</v>
      </c>
      <c r="B147" s="351" t="s">
        <v>1525</v>
      </c>
      <c r="C147" s="703"/>
      <c r="D147" s="480"/>
      <c r="E147" s="480"/>
      <c r="F147" s="481" t="s">
        <v>1085</v>
      </c>
      <c r="G147" s="483"/>
    </row>
    <row r="148" spans="1:7" s="22" customFormat="1" ht="25.5" x14ac:dyDescent="0.25">
      <c r="A148" s="295" t="s">
        <v>2317</v>
      </c>
      <c r="B148" s="351" t="s">
        <v>1654</v>
      </c>
      <c r="C148" s="703">
        <v>45473</v>
      </c>
      <c r="D148" s="480"/>
      <c r="E148" s="480"/>
      <c r="F148" s="481" t="s">
        <v>1085</v>
      </c>
      <c r="G148" s="484" t="s">
        <v>1655</v>
      </c>
    </row>
    <row r="149" spans="1:7" s="22" customFormat="1" x14ac:dyDescent="0.25">
      <c r="A149" s="295" t="s">
        <v>1111</v>
      </c>
      <c r="B149" s="351" t="s">
        <v>1205</v>
      </c>
      <c r="C149" s="703">
        <v>45473</v>
      </c>
      <c r="D149" s="480"/>
      <c r="E149" s="480"/>
      <c r="F149" s="481" t="s">
        <v>1085</v>
      </c>
      <c r="G149" s="483" t="s">
        <v>1206</v>
      </c>
    </row>
    <row r="150" spans="1:7" s="22" customFormat="1" x14ac:dyDescent="0.25">
      <c r="A150" s="295" t="s">
        <v>2318</v>
      </c>
      <c r="B150" s="351" t="s">
        <v>2169</v>
      </c>
      <c r="C150" s="706"/>
      <c r="D150" s="480"/>
      <c r="E150" s="480"/>
      <c r="F150" s="481"/>
      <c r="G150" s="483"/>
    </row>
    <row r="151" spans="1:7" s="22" customFormat="1" x14ac:dyDescent="0.25">
      <c r="A151" s="295" t="s">
        <v>2319</v>
      </c>
      <c r="B151" s="351" t="s">
        <v>2169</v>
      </c>
      <c r="C151" s="706"/>
      <c r="D151" s="480"/>
      <c r="E151" s="480"/>
      <c r="F151" s="481"/>
      <c r="G151" s="483"/>
    </row>
    <row r="152" spans="1:7" s="22" customFormat="1" ht="51" x14ac:dyDescent="0.25">
      <c r="A152" s="295" t="s">
        <v>1908</v>
      </c>
      <c r="B152" s="351" t="s">
        <v>1719</v>
      </c>
      <c r="C152" s="703">
        <v>45473</v>
      </c>
      <c r="D152" s="480"/>
      <c r="E152" s="480" t="s">
        <v>1085</v>
      </c>
      <c r="F152" s="481"/>
      <c r="G152" s="484" t="s">
        <v>1207</v>
      </c>
    </row>
    <row r="153" spans="1:7" s="22" customFormat="1" ht="51" x14ac:dyDescent="0.25">
      <c r="A153" s="295" t="s">
        <v>2320</v>
      </c>
      <c r="B153" s="351" t="s">
        <v>1208</v>
      </c>
      <c r="C153" s="703">
        <v>45473</v>
      </c>
      <c r="D153" s="480"/>
      <c r="E153" s="480" t="s">
        <v>1085</v>
      </c>
      <c r="F153" s="481"/>
      <c r="G153" s="484" t="s">
        <v>1207</v>
      </c>
    </row>
    <row r="154" spans="1:7" s="22" customFormat="1" x14ac:dyDescent="0.25">
      <c r="A154" s="295" t="s">
        <v>1909</v>
      </c>
      <c r="B154" s="351" t="s">
        <v>2321</v>
      </c>
      <c r="C154" s="703">
        <v>45473</v>
      </c>
      <c r="D154" s="480"/>
      <c r="E154" s="480" t="s">
        <v>1085</v>
      </c>
      <c r="F154" s="481"/>
      <c r="G154" s="483" t="s">
        <v>1209</v>
      </c>
    </row>
    <row r="155" spans="1:7" s="22" customFormat="1" x14ac:dyDescent="0.25">
      <c r="A155" s="295" t="s">
        <v>2322</v>
      </c>
      <c r="B155" s="351" t="s">
        <v>2323</v>
      </c>
      <c r="C155" s="706"/>
      <c r="D155" s="480"/>
      <c r="E155" s="480"/>
      <c r="F155" s="481"/>
      <c r="G155" s="483"/>
    </row>
    <row r="156" spans="1:7" s="22" customFormat="1" x14ac:dyDescent="0.25">
      <c r="A156" s="295" t="s">
        <v>2324</v>
      </c>
      <c r="B156" s="351" t="s">
        <v>2170</v>
      </c>
      <c r="C156" s="706"/>
      <c r="D156" s="480"/>
      <c r="E156" s="480"/>
      <c r="F156" s="481"/>
      <c r="G156" s="483"/>
    </row>
    <row r="157" spans="1:7" s="22" customFormat="1" x14ac:dyDescent="0.25">
      <c r="A157" s="295" t="s">
        <v>1547</v>
      </c>
      <c r="B157" s="351" t="s">
        <v>1548</v>
      </c>
      <c r="C157" s="703" t="s">
        <v>1608</v>
      </c>
      <c r="D157" s="480"/>
      <c r="E157" s="480"/>
      <c r="F157" s="481" t="s">
        <v>1085</v>
      </c>
      <c r="G157" s="483" t="s">
        <v>1549</v>
      </c>
    </row>
    <row r="158" spans="1:7" s="22" customFormat="1" x14ac:dyDescent="0.25">
      <c r="A158" s="295" t="s">
        <v>1893</v>
      </c>
      <c r="B158" s="351" t="s">
        <v>1894</v>
      </c>
      <c r="C158" s="703"/>
      <c r="D158" s="480"/>
      <c r="E158" s="480"/>
      <c r="F158" s="481" t="s">
        <v>1085</v>
      </c>
      <c r="G158" s="483"/>
    </row>
    <row r="159" spans="1:7" s="22" customFormat="1" x14ac:dyDescent="0.25">
      <c r="A159" s="295" t="s">
        <v>1891</v>
      </c>
      <c r="B159" s="351" t="s">
        <v>1892</v>
      </c>
      <c r="C159" s="703"/>
      <c r="D159" s="480"/>
      <c r="E159" s="480"/>
      <c r="F159" s="481" t="s">
        <v>1085</v>
      </c>
      <c r="G159" s="483"/>
    </row>
    <row r="160" spans="1:7" s="22" customFormat="1" x14ac:dyDescent="0.25">
      <c r="A160" s="295" t="s">
        <v>1114</v>
      </c>
      <c r="B160" s="351" t="s">
        <v>1115</v>
      </c>
      <c r="C160" s="703">
        <v>45473</v>
      </c>
      <c r="D160" s="480"/>
      <c r="E160" s="480"/>
      <c r="F160" s="481" t="s">
        <v>1085</v>
      </c>
      <c r="G160" s="483" t="s">
        <v>1210</v>
      </c>
    </row>
    <row r="161" spans="1:7" s="22" customFormat="1" x14ac:dyDescent="0.25">
      <c r="A161" s="295" t="s">
        <v>1980</v>
      </c>
      <c r="B161" s="351" t="s">
        <v>1355</v>
      </c>
      <c r="C161" s="703">
        <v>45473</v>
      </c>
      <c r="D161" s="480"/>
      <c r="E161" s="480"/>
      <c r="F161" s="481" t="s">
        <v>1085</v>
      </c>
      <c r="G161" s="483" t="s">
        <v>2034</v>
      </c>
    </row>
    <row r="162" spans="1:7" s="22" customFormat="1" x14ac:dyDescent="0.25">
      <c r="A162" s="295" t="s">
        <v>1372</v>
      </c>
      <c r="B162" s="351" t="s">
        <v>1373</v>
      </c>
      <c r="C162" s="703">
        <v>45473</v>
      </c>
      <c r="D162" s="480"/>
      <c r="E162" s="480"/>
      <c r="F162" s="481" t="s">
        <v>1085</v>
      </c>
      <c r="G162" s="483" t="s">
        <v>1463</v>
      </c>
    </row>
    <row r="163" spans="1:7" s="22" customFormat="1" x14ac:dyDescent="0.25">
      <c r="A163" s="295" t="s">
        <v>1441</v>
      </c>
      <c r="B163" s="351" t="s">
        <v>1442</v>
      </c>
      <c r="C163" s="703">
        <v>45473</v>
      </c>
      <c r="D163" s="480"/>
      <c r="E163" s="480"/>
      <c r="F163" s="481" t="s">
        <v>1085</v>
      </c>
      <c r="G163" s="483" t="s">
        <v>1446</v>
      </c>
    </row>
    <row r="164" spans="1:7" s="22" customFormat="1" x14ac:dyDescent="0.25">
      <c r="A164" s="295" t="s">
        <v>1986</v>
      </c>
      <c r="B164" s="351" t="s">
        <v>1457</v>
      </c>
      <c r="C164" s="703">
        <v>45473</v>
      </c>
      <c r="D164" s="480"/>
      <c r="E164" s="480"/>
      <c r="F164" s="481" t="s">
        <v>1085</v>
      </c>
      <c r="G164" s="483" t="s">
        <v>2035</v>
      </c>
    </row>
    <row r="165" spans="1:7" s="22" customFormat="1" x14ac:dyDescent="0.25">
      <c r="A165" s="295" t="s">
        <v>1981</v>
      </c>
      <c r="B165" s="351" t="s">
        <v>1373</v>
      </c>
      <c r="C165" s="703"/>
      <c r="D165" s="480"/>
      <c r="E165" s="480"/>
      <c r="F165" s="481" t="s">
        <v>1085</v>
      </c>
      <c r="G165" s="483"/>
    </row>
    <row r="166" spans="1:7" s="22" customFormat="1" x14ac:dyDescent="0.25">
      <c r="A166" s="295" t="s">
        <v>1844</v>
      </c>
      <c r="B166" s="351" t="s">
        <v>1845</v>
      </c>
      <c r="C166" s="703">
        <v>45352</v>
      </c>
      <c r="D166" s="480"/>
      <c r="E166" s="480"/>
      <c r="F166" s="481" t="s">
        <v>1085</v>
      </c>
      <c r="G166" s="483" t="s">
        <v>1846</v>
      </c>
    </row>
    <row r="167" spans="1:7" s="22" customFormat="1" ht="25.5" x14ac:dyDescent="0.25">
      <c r="A167" s="295" t="s">
        <v>1116</v>
      </c>
      <c r="B167" s="351" t="s">
        <v>1117</v>
      </c>
      <c r="C167" s="703">
        <v>45473</v>
      </c>
      <c r="D167" s="480"/>
      <c r="E167" s="480"/>
      <c r="F167" s="481" t="s">
        <v>1085</v>
      </c>
      <c r="G167" s="484" t="s">
        <v>1212</v>
      </c>
    </row>
    <row r="168" spans="1:7" s="22" customFormat="1" x14ac:dyDescent="0.25">
      <c r="A168" s="295" t="s">
        <v>1443</v>
      </c>
      <c r="B168" s="351" t="s">
        <v>1444</v>
      </c>
      <c r="C168" s="703">
        <v>45473</v>
      </c>
      <c r="D168" s="480"/>
      <c r="E168" s="480"/>
      <c r="F168" s="481" t="s">
        <v>1085</v>
      </c>
      <c r="G168" s="483" t="s">
        <v>1445</v>
      </c>
    </row>
    <row r="169" spans="1:7" s="22" customFormat="1" x14ac:dyDescent="0.25">
      <c r="A169" s="295" t="s">
        <v>1532</v>
      </c>
      <c r="B169" s="351" t="s">
        <v>1444</v>
      </c>
      <c r="C169" s="703">
        <v>45473</v>
      </c>
      <c r="D169" s="480"/>
      <c r="E169" s="480"/>
      <c r="F169" s="481" t="s">
        <v>1085</v>
      </c>
      <c r="G169" s="483" t="s">
        <v>1445</v>
      </c>
    </row>
    <row r="170" spans="1:7" s="22" customFormat="1" ht="25.5" x14ac:dyDescent="0.25">
      <c r="A170" s="295" t="s">
        <v>1847</v>
      </c>
      <c r="B170" s="351" t="s">
        <v>1845</v>
      </c>
      <c r="C170" s="703">
        <v>45352</v>
      </c>
      <c r="D170" s="480"/>
      <c r="E170" s="480"/>
      <c r="F170" s="481" t="s">
        <v>1085</v>
      </c>
      <c r="G170" s="484" t="s">
        <v>1848</v>
      </c>
    </row>
    <row r="171" spans="1:7" s="22" customFormat="1" x14ac:dyDescent="0.25">
      <c r="A171" s="295" t="s">
        <v>2325</v>
      </c>
      <c r="B171" s="351" t="s">
        <v>2171</v>
      </c>
      <c r="C171" s="703">
        <v>45473</v>
      </c>
      <c r="D171" s="480" t="s">
        <v>1085</v>
      </c>
      <c r="E171" s="480"/>
      <c r="F171" s="481"/>
      <c r="G171" s="483" t="s">
        <v>1213</v>
      </c>
    </row>
    <row r="172" spans="1:7" s="22" customFormat="1" x14ac:dyDescent="0.25">
      <c r="A172" s="295" t="s">
        <v>1453</v>
      </c>
      <c r="B172" s="351" t="s">
        <v>1122</v>
      </c>
      <c r="C172" s="703">
        <v>45473</v>
      </c>
      <c r="D172" s="480"/>
      <c r="E172" s="480"/>
      <c r="F172" s="481" t="s">
        <v>1085</v>
      </c>
      <c r="G172" s="483" t="s">
        <v>1720</v>
      </c>
    </row>
    <row r="173" spans="1:7" s="22" customFormat="1" ht="25.5" x14ac:dyDescent="0.25">
      <c r="A173" s="295" t="s">
        <v>1849</v>
      </c>
      <c r="B173" s="351" t="s">
        <v>1850</v>
      </c>
      <c r="C173" s="703">
        <v>45352</v>
      </c>
      <c r="D173" s="480"/>
      <c r="E173" s="480"/>
      <c r="F173" s="481" t="s">
        <v>1085</v>
      </c>
      <c r="G173" s="484" t="s">
        <v>1851</v>
      </c>
    </row>
    <row r="174" spans="1:7" s="22" customFormat="1" x14ac:dyDescent="0.25">
      <c r="A174" s="295" t="s">
        <v>2063</v>
      </c>
      <c r="B174" s="351" t="s">
        <v>1850</v>
      </c>
      <c r="C174" s="706"/>
      <c r="D174" s="480"/>
      <c r="E174" s="480"/>
      <c r="F174" s="481" t="s">
        <v>1085</v>
      </c>
      <c r="G174" s="483" t="s">
        <v>2067</v>
      </c>
    </row>
    <row r="175" spans="1:7" s="22" customFormat="1" ht="25.5" x14ac:dyDescent="0.25">
      <c r="A175" s="295" t="s">
        <v>1852</v>
      </c>
      <c r="B175" s="351" t="s">
        <v>1457</v>
      </c>
      <c r="C175" s="703">
        <v>45352</v>
      </c>
      <c r="D175" s="480"/>
      <c r="E175" s="480"/>
      <c r="F175" s="481" t="s">
        <v>1085</v>
      </c>
      <c r="G175" s="484" t="s">
        <v>1854</v>
      </c>
    </row>
    <row r="176" spans="1:7" s="22" customFormat="1" x14ac:dyDescent="0.25">
      <c r="A176" s="295" t="s">
        <v>1853</v>
      </c>
      <c r="B176" s="351" t="s">
        <v>1856</v>
      </c>
      <c r="C176" s="703">
        <v>45352</v>
      </c>
      <c r="D176" s="480"/>
      <c r="E176" s="480"/>
      <c r="F176" s="481" t="s">
        <v>1085</v>
      </c>
      <c r="G176" s="483" t="s">
        <v>1855</v>
      </c>
    </row>
    <row r="177" spans="1:8" s="22" customFormat="1" ht="25.5" x14ac:dyDescent="0.25">
      <c r="A177" s="295" t="s">
        <v>1533</v>
      </c>
      <c r="B177" s="351" t="s">
        <v>1427</v>
      </c>
      <c r="C177" s="703">
        <v>44742</v>
      </c>
      <c r="D177" s="480"/>
      <c r="E177" s="480"/>
      <c r="F177" s="481" t="s">
        <v>1085</v>
      </c>
      <c r="G177" s="484" t="s">
        <v>1539</v>
      </c>
    </row>
    <row r="178" spans="1:8" s="22" customFormat="1" ht="25.5" x14ac:dyDescent="0.25">
      <c r="A178" s="295" t="s">
        <v>1857</v>
      </c>
      <c r="B178" s="351" t="s">
        <v>1858</v>
      </c>
      <c r="C178" s="703">
        <v>45352</v>
      </c>
      <c r="D178" s="480"/>
      <c r="E178" s="480"/>
      <c r="F178" s="481" t="s">
        <v>1085</v>
      </c>
      <c r="G178" s="484" t="s">
        <v>1859</v>
      </c>
    </row>
    <row r="179" spans="1:8" ht="25.5" x14ac:dyDescent="0.25">
      <c r="A179" s="295" t="s">
        <v>1428</v>
      </c>
      <c r="B179" s="351" t="s">
        <v>1144</v>
      </c>
      <c r="C179" s="703">
        <v>44089</v>
      </c>
      <c r="D179" s="480"/>
      <c r="E179" s="480"/>
      <c r="F179" s="481" t="s">
        <v>1085</v>
      </c>
      <c r="G179" s="484" t="s">
        <v>1429</v>
      </c>
      <c r="H179" s="22"/>
    </row>
    <row r="180" spans="1:8" ht="25.5" x14ac:dyDescent="0.25">
      <c r="A180" s="295" t="s">
        <v>1861</v>
      </c>
      <c r="B180" s="351" t="s">
        <v>1862</v>
      </c>
      <c r="C180" s="703">
        <v>45352</v>
      </c>
      <c r="D180" s="480"/>
      <c r="E180" s="480"/>
      <c r="F180" s="481" t="s">
        <v>1085</v>
      </c>
      <c r="G180" s="484" t="s">
        <v>1860</v>
      </c>
      <c r="H180" s="22"/>
    </row>
    <row r="181" spans="1:8" x14ac:dyDescent="0.25">
      <c r="A181" s="295" t="s">
        <v>2326</v>
      </c>
      <c r="B181" s="351" t="s">
        <v>2172</v>
      </c>
      <c r="C181" s="706"/>
      <c r="D181" s="480"/>
      <c r="E181" s="480"/>
      <c r="F181" s="481"/>
      <c r="G181" s="483"/>
      <c r="H181" s="22"/>
    </row>
    <row r="182" spans="1:8" x14ac:dyDescent="0.25">
      <c r="A182" s="295" t="s">
        <v>2327</v>
      </c>
      <c r="B182" s="351" t="s">
        <v>2173</v>
      </c>
      <c r="C182" s="706"/>
      <c r="D182" s="480"/>
      <c r="E182" s="480"/>
      <c r="F182" s="481"/>
      <c r="G182" s="483"/>
      <c r="H182" s="22"/>
    </row>
    <row r="183" spans="1:8" x14ac:dyDescent="0.25">
      <c r="A183" s="295" t="s">
        <v>1119</v>
      </c>
      <c r="B183" s="351" t="s">
        <v>1120</v>
      </c>
      <c r="C183" s="703">
        <v>43646</v>
      </c>
      <c r="D183" s="480"/>
      <c r="E183" s="480"/>
      <c r="F183" s="481" t="s">
        <v>1085</v>
      </c>
      <c r="G183" s="483" t="s">
        <v>1215</v>
      </c>
      <c r="H183" s="22"/>
    </row>
    <row r="184" spans="1:8" x14ac:dyDescent="0.25">
      <c r="A184" s="295" t="s">
        <v>1393</v>
      </c>
      <c r="B184" s="351" t="s">
        <v>1214</v>
      </c>
      <c r="C184" s="703">
        <v>44196</v>
      </c>
      <c r="D184" s="480"/>
      <c r="E184" s="480"/>
      <c r="F184" s="481" t="s">
        <v>1085</v>
      </c>
      <c r="G184" s="483" t="s">
        <v>1215</v>
      </c>
      <c r="H184" s="22"/>
    </row>
    <row r="185" spans="1:8" x14ac:dyDescent="0.25">
      <c r="A185" s="295" t="s">
        <v>1483</v>
      </c>
      <c r="B185" s="351" t="s">
        <v>1356</v>
      </c>
      <c r="C185" s="703"/>
      <c r="D185" s="480"/>
      <c r="E185" s="480"/>
      <c r="F185" s="481" t="s">
        <v>1085</v>
      </c>
      <c r="G185" s="483"/>
      <c r="H185" s="22"/>
    </row>
    <row r="186" spans="1:8" s="292" customFormat="1" ht="38.25" x14ac:dyDescent="0.2">
      <c r="A186" s="295" t="s">
        <v>1534</v>
      </c>
      <c r="B186" s="351" t="s">
        <v>1356</v>
      </c>
      <c r="C186" s="703">
        <v>44742</v>
      </c>
      <c r="D186" s="480"/>
      <c r="E186" s="480"/>
      <c r="F186" s="481" t="s">
        <v>1085</v>
      </c>
      <c r="G186" s="484" t="s">
        <v>1540</v>
      </c>
      <c r="H186" s="291"/>
    </row>
    <row r="187" spans="1:8" s="292" customFormat="1" ht="25.5" x14ac:dyDescent="0.2">
      <c r="A187" s="295" t="s">
        <v>1863</v>
      </c>
      <c r="B187" s="351" t="s">
        <v>1864</v>
      </c>
      <c r="C187" s="703">
        <v>45352</v>
      </c>
      <c r="D187" s="480"/>
      <c r="E187" s="480"/>
      <c r="F187" s="481" t="s">
        <v>1085</v>
      </c>
      <c r="G187" s="484" t="s">
        <v>1865</v>
      </c>
      <c r="H187" s="291"/>
    </row>
    <row r="188" spans="1:8" s="292" customFormat="1" ht="12.75" x14ac:dyDescent="0.2">
      <c r="A188" s="295" t="s">
        <v>1438</v>
      </c>
      <c r="B188" s="351" t="s">
        <v>1439</v>
      </c>
      <c r="C188" s="703">
        <v>44377</v>
      </c>
      <c r="D188" s="480"/>
      <c r="E188" s="480"/>
      <c r="F188" s="481" t="s">
        <v>1085</v>
      </c>
      <c r="G188" s="483" t="s">
        <v>1440</v>
      </c>
      <c r="H188" s="291"/>
    </row>
    <row r="189" spans="1:8" s="292" customFormat="1" ht="25.5" x14ac:dyDescent="0.2">
      <c r="A189" s="295" t="s">
        <v>1535</v>
      </c>
      <c r="B189" s="351" t="s">
        <v>1536</v>
      </c>
      <c r="C189" s="703">
        <v>44742</v>
      </c>
      <c r="D189" s="480"/>
      <c r="E189" s="480"/>
      <c r="F189" s="481" t="s">
        <v>1085</v>
      </c>
      <c r="G189" s="484" t="s">
        <v>1541</v>
      </c>
      <c r="H189" s="291"/>
    </row>
    <row r="190" spans="1:8" s="292" customFormat="1" ht="12.75" x14ac:dyDescent="0.2">
      <c r="A190" s="295" t="s">
        <v>2064</v>
      </c>
      <c r="B190" s="351" t="s">
        <v>2065</v>
      </c>
      <c r="C190" s="706"/>
      <c r="D190" s="480"/>
      <c r="E190" s="480"/>
      <c r="F190" s="481" t="s">
        <v>1085</v>
      </c>
      <c r="G190" s="483" t="s">
        <v>2068</v>
      </c>
      <c r="H190" s="291"/>
    </row>
    <row r="191" spans="1:8" s="292" customFormat="1" ht="63.75" x14ac:dyDescent="0.2">
      <c r="A191" s="295" t="s">
        <v>2328</v>
      </c>
      <c r="B191" s="351" t="s">
        <v>1081</v>
      </c>
      <c r="C191" s="706"/>
      <c r="D191" s="480"/>
      <c r="E191" s="480" t="s">
        <v>1085</v>
      </c>
      <c r="F191" s="481"/>
      <c r="G191" s="484" t="s">
        <v>1217</v>
      </c>
      <c r="H191" s="291"/>
    </row>
    <row r="192" spans="1:8" ht="63.75" x14ac:dyDescent="0.25">
      <c r="A192" s="295" t="s">
        <v>1656</v>
      </c>
      <c r="B192" s="351" t="s">
        <v>1216</v>
      </c>
      <c r="C192" s="703"/>
      <c r="D192" s="480"/>
      <c r="E192" s="480" t="s">
        <v>1085</v>
      </c>
      <c r="F192" s="481"/>
      <c r="G192" s="484" t="s">
        <v>1217</v>
      </c>
      <c r="H192" s="22"/>
    </row>
    <row r="193" spans="1:8" ht="63.75" x14ac:dyDescent="0.25">
      <c r="A193" s="295" t="s">
        <v>1843</v>
      </c>
      <c r="B193" s="351" t="s">
        <v>1081</v>
      </c>
      <c r="C193" s="703"/>
      <c r="D193" s="480"/>
      <c r="E193" s="480" t="s">
        <v>1085</v>
      </c>
      <c r="F193" s="481"/>
      <c r="G193" s="484" t="s">
        <v>1217</v>
      </c>
      <c r="H193" s="22"/>
    </row>
    <row r="194" spans="1:8" ht="63.75" x14ac:dyDescent="0.25">
      <c r="A194" s="295" t="s">
        <v>2329</v>
      </c>
      <c r="B194" s="351" t="s">
        <v>1081</v>
      </c>
      <c r="C194" s="706"/>
      <c r="D194" s="480"/>
      <c r="E194" s="480" t="s">
        <v>1085</v>
      </c>
      <c r="F194" s="481"/>
      <c r="G194" s="484" t="s">
        <v>1217</v>
      </c>
      <c r="H194" s="22"/>
    </row>
    <row r="195" spans="1:8" x14ac:dyDescent="0.25">
      <c r="A195" s="295" t="s">
        <v>1435</v>
      </c>
      <c r="B195" s="351" t="s">
        <v>1436</v>
      </c>
      <c r="C195" s="703">
        <v>44377</v>
      </c>
      <c r="D195" s="480"/>
      <c r="E195" s="480"/>
      <c r="F195" s="481" t="s">
        <v>1085</v>
      </c>
      <c r="G195" s="483" t="s">
        <v>1437</v>
      </c>
      <c r="H195" s="22"/>
    </row>
    <row r="196" spans="1:8" x14ac:dyDescent="0.25">
      <c r="A196" s="295" t="s">
        <v>1550</v>
      </c>
      <c r="B196" s="351" t="s">
        <v>1551</v>
      </c>
      <c r="C196" s="703">
        <v>44742</v>
      </c>
      <c r="D196" s="480"/>
      <c r="E196" s="480"/>
      <c r="F196" s="481" t="s">
        <v>1085</v>
      </c>
      <c r="G196" s="483" t="s">
        <v>1556</v>
      </c>
      <c r="H196" s="22"/>
    </row>
    <row r="197" spans="1:8" x14ac:dyDescent="0.25">
      <c r="A197" s="295" t="s">
        <v>1664</v>
      </c>
      <c r="B197" s="351" t="s">
        <v>1551</v>
      </c>
      <c r="C197" s="703">
        <v>44958</v>
      </c>
      <c r="D197" s="480"/>
      <c r="E197" s="480"/>
      <c r="F197" s="481" t="s">
        <v>1085</v>
      </c>
      <c r="G197" s="483" t="s">
        <v>1665</v>
      </c>
      <c r="H197" s="22"/>
    </row>
    <row r="198" spans="1:8" ht="25.5" x14ac:dyDescent="0.25">
      <c r="A198" s="295" t="s">
        <v>1702</v>
      </c>
      <c r="B198" s="351" t="s">
        <v>1457</v>
      </c>
      <c r="C198" s="703">
        <v>45473</v>
      </c>
      <c r="D198" s="480"/>
      <c r="E198" s="480"/>
      <c r="F198" s="481" t="s">
        <v>1085</v>
      </c>
      <c r="G198" s="484" t="s">
        <v>1721</v>
      </c>
      <c r="H198" s="22"/>
    </row>
    <row r="199" spans="1:8" x14ac:dyDescent="0.25">
      <c r="A199" s="295" t="s">
        <v>1121</v>
      </c>
      <c r="B199" s="351" t="s">
        <v>1122</v>
      </c>
      <c r="C199" s="703">
        <v>45473</v>
      </c>
      <c r="D199" s="480"/>
      <c r="E199" s="480"/>
      <c r="F199" s="481" t="s">
        <v>1085</v>
      </c>
      <c r="G199" s="483" t="s">
        <v>1720</v>
      </c>
      <c r="H199" s="22"/>
    </row>
    <row r="200" spans="1:8" x14ac:dyDescent="0.25">
      <c r="A200" s="295" t="s">
        <v>1552</v>
      </c>
      <c r="B200" s="351" t="s">
        <v>1553</v>
      </c>
      <c r="C200" s="703">
        <v>44958</v>
      </c>
      <c r="D200" s="480"/>
      <c r="E200" s="480"/>
      <c r="F200" s="481" t="s">
        <v>1085</v>
      </c>
      <c r="G200" s="483" t="s">
        <v>1665</v>
      </c>
      <c r="H200" s="22"/>
    </row>
    <row r="201" spans="1:8" ht="25.5" x14ac:dyDescent="0.25">
      <c r="A201" s="295" t="s">
        <v>1666</v>
      </c>
      <c r="B201" s="351" t="s">
        <v>1553</v>
      </c>
      <c r="C201" s="703">
        <v>45473</v>
      </c>
      <c r="D201" s="480"/>
      <c r="E201" s="480"/>
      <c r="F201" s="481" t="s">
        <v>1085</v>
      </c>
      <c r="G201" s="484" t="s">
        <v>1722</v>
      </c>
      <c r="H201" s="22"/>
    </row>
    <row r="202" spans="1:8" ht="25.5" x14ac:dyDescent="0.25">
      <c r="A202" s="295" t="s">
        <v>1723</v>
      </c>
      <c r="B202" s="351" t="s">
        <v>1709</v>
      </c>
      <c r="C202" s="703">
        <v>45473</v>
      </c>
      <c r="D202" s="480"/>
      <c r="E202" s="480"/>
      <c r="F202" s="481" t="s">
        <v>1085</v>
      </c>
      <c r="G202" s="484" t="s">
        <v>1722</v>
      </c>
      <c r="H202" s="22"/>
    </row>
    <row r="203" spans="1:8" x14ac:dyDescent="0.25">
      <c r="A203" s="295" t="s">
        <v>1554</v>
      </c>
      <c r="B203" s="351" t="s">
        <v>1555</v>
      </c>
      <c r="C203" s="703">
        <v>44742</v>
      </c>
      <c r="D203" s="480"/>
      <c r="E203" s="480"/>
      <c r="F203" s="481"/>
      <c r="G203" s="483" t="s">
        <v>1557</v>
      </c>
      <c r="H203" s="22"/>
    </row>
    <row r="204" spans="1:8" ht="25.5" x14ac:dyDescent="0.25">
      <c r="A204" s="295" t="s">
        <v>1738</v>
      </c>
      <c r="B204" s="351" t="s">
        <v>1555</v>
      </c>
      <c r="C204" s="703">
        <v>45473</v>
      </c>
      <c r="D204" s="480"/>
      <c r="E204" s="480"/>
      <c r="F204" s="481" t="s">
        <v>1085</v>
      </c>
      <c r="G204" s="484" t="s">
        <v>1739</v>
      </c>
      <c r="H204" s="22"/>
    </row>
    <row r="205" spans="1:8" x14ac:dyDescent="0.25">
      <c r="A205" s="295" t="s">
        <v>1123</v>
      </c>
      <c r="B205" s="351" t="s">
        <v>1124</v>
      </c>
      <c r="C205" s="703">
        <v>44377</v>
      </c>
      <c r="D205" s="480"/>
      <c r="E205" s="480"/>
      <c r="F205" s="481" t="s">
        <v>1085</v>
      </c>
      <c r="G205" s="483" t="s">
        <v>1218</v>
      </c>
      <c r="H205" s="22"/>
    </row>
    <row r="206" spans="1:8" ht="25.5" x14ac:dyDescent="0.25">
      <c r="A206" s="295" t="s">
        <v>1740</v>
      </c>
      <c r="B206" s="351" t="s">
        <v>1741</v>
      </c>
      <c r="C206" s="703">
        <v>45107</v>
      </c>
      <c r="D206" s="480"/>
      <c r="E206" s="480"/>
      <c r="F206" s="481" t="s">
        <v>1085</v>
      </c>
      <c r="G206" s="484" t="s">
        <v>2036</v>
      </c>
      <c r="H206" s="22"/>
    </row>
    <row r="207" spans="1:8" x14ac:dyDescent="0.25">
      <c r="A207" s="295" t="s">
        <v>1125</v>
      </c>
      <c r="B207" s="351" t="s">
        <v>1219</v>
      </c>
      <c r="C207" s="703">
        <v>44377</v>
      </c>
      <c r="D207" s="480"/>
      <c r="E207" s="480"/>
      <c r="F207" s="481" t="s">
        <v>1085</v>
      </c>
      <c r="G207" s="483" t="s">
        <v>1220</v>
      </c>
      <c r="H207" s="22"/>
    </row>
    <row r="208" spans="1:8" ht="25.5" x14ac:dyDescent="0.25">
      <c r="A208" s="295" t="s">
        <v>1667</v>
      </c>
      <c r="B208" s="351" t="s">
        <v>1355</v>
      </c>
      <c r="C208" s="703">
        <v>44958</v>
      </c>
      <c r="D208" s="480"/>
      <c r="E208" s="480"/>
      <c r="F208" s="481" t="s">
        <v>1085</v>
      </c>
      <c r="G208" s="484" t="s">
        <v>1668</v>
      </c>
      <c r="H208" s="22"/>
    </row>
    <row r="209" spans="1:8" ht="25.5" x14ac:dyDescent="0.25">
      <c r="A209" s="295" t="s">
        <v>1537</v>
      </c>
      <c r="B209" s="351" t="s">
        <v>1538</v>
      </c>
      <c r="C209" s="703">
        <v>45473</v>
      </c>
      <c r="D209" s="480"/>
      <c r="E209" s="480"/>
      <c r="F209" s="481" t="s">
        <v>1085</v>
      </c>
      <c r="G209" s="484" t="s">
        <v>1542</v>
      </c>
      <c r="H209" s="22"/>
    </row>
    <row r="210" spans="1:8" x14ac:dyDescent="0.25">
      <c r="A210" s="295" t="s">
        <v>1768</v>
      </c>
      <c r="B210" s="351" t="s">
        <v>1144</v>
      </c>
      <c r="C210" s="703">
        <v>45473</v>
      </c>
      <c r="D210" s="480"/>
      <c r="E210" s="480"/>
      <c r="F210" s="481"/>
      <c r="G210" s="483" t="s">
        <v>1778</v>
      </c>
      <c r="H210" s="22"/>
    </row>
    <row r="211" spans="1:8" x14ac:dyDescent="0.25">
      <c r="A211" s="295" t="s">
        <v>1450</v>
      </c>
      <c r="B211" s="351" t="s">
        <v>1451</v>
      </c>
      <c r="C211" s="703">
        <v>45473</v>
      </c>
      <c r="D211" s="480"/>
      <c r="E211" s="480"/>
      <c r="F211" s="481" t="s">
        <v>1085</v>
      </c>
      <c r="G211" s="483" t="s">
        <v>1452</v>
      </c>
      <c r="H211" s="22"/>
    </row>
    <row r="212" spans="1:8" x14ac:dyDescent="0.25">
      <c r="A212" s="295" t="s">
        <v>1703</v>
      </c>
      <c r="B212" s="351" t="s">
        <v>1704</v>
      </c>
      <c r="C212" s="703">
        <v>45473</v>
      </c>
      <c r="D212" s="480"/>
      <c r="E212" s="480"/>
      <c r="F212" s="481" t="s">
        <v>1085</v>
      </c>
      <c r="G212" s="483" t="s">
        <v>1724</v>
      </c>
    </row>
    <row r="213" spans="1:8" x14ac:dyDescent="0.25">
      <c r="A213" s="295" t="s">
        <v>1126</v>
      </c>
      <c r="B213" s="351" t="s">
        <v>1221</v>
      </c>
      <c r="C213" s="703">
        <v>44377</v>
      </c>
      <c r="D213" s="480"/>
      <c r="E213" s="480"/>
      <c r="F213" s="481" t="s">
        <v>1085</v>
      </c>
      <c r="G213" s="484" t="s">
        <v>1222</v>
      </c>
    </row>
    <row r="214" spans="1:8" x14ac:dyDescent="0.25">
      <c r="A214" s="295" t="s">
        <v>1127</v>
      </c>
      <c r="B214" s="351" t="s">
        <v>1223</v>
      </c>
      <c r="C214" s="703">
        <v>44377</v>
      </c>
      <c r="D214" s="480"/>
      <c r="E214" s="480"/>
      <c r="F214" s="481" t="s">
        <v>1085</v>
      </c>
      <c r="G214" s="484" t="s">
        <v>1224</v>
      </c>
    </row>
    <row r="215" spans="1:8" x14ac:dyDescent="0.25">
      <c r="A215" s="295" t="s">
        <v>1447</v>
      </c>
      <c r="B215" s="351" t="s">
        <v>1448</v>
      </c>
      <c r="C215" s="703">
        <v>45473</v>
      </c>
      <c r="D215" s="480"/>
      <c r="E215" s="480"/>
      <c r="F215" s="481" t="s">
        <v>1085</v>
      </c>
      <c r="G215" s="483" t="s">
        <v>1449</v>
      </c>
    </row>
    <row r="216" spans="1:8" ht="25.5" x14ac:dyDescent="0.25">
      <c r="A216" s="295" t="s">
        <v>1710</v>
      </c>
      <c r="B216" s="474" t="s">
        <v>1705</v>
      </c>
      <c r="C216" s="703">
        <v>45473</v>
      </c>
      <c r="D216" s="480"/>
      <c r="E216" s="480"/>
      <c r="F216" s="481" t="s">
        <v>1085</v>
      </c>
      <c r="G216" s="484" t="s">
        <v>1725</v>
      </c>
    </row>
    <row r="217" spans="1:8" x14ac:dyDescent="0.25">
      <c r="A217" s="295" t="s">
        <v>1509</v>
      </c>
      <c r="B217" s="474" t="s">
        <v>1782</v>
      </c>
      <c r="C217" s="703">
        <v>44515</v>
      </c>
      <c r="D217" s="480"/>
      <c r="E217" s="480"/>
      <c r="F217" s="481" t="s">
        <v>1085</v>
      </c>
      <c r="G217" s="483" t="s">
        <v>1510</v>
      </c>
    </row>
    <row r="218" spans="1:8" ht="25.5" x14ac:dyDescent="0.25">
      <c r="A218" s="486" t="s">
        <v>1809</v>
      </c>
      <c r="B218" s="474" t="s">
        <v>1810</v>
      </c>
      <c r="C218" s="703">
        <v>45200</v>
      </c>
      <c r="D218" s="480"/>
      <c r="E218" s="480"/>
      <c r="F218" s="481" t="s">
        <v>1085</v>
      </c>
      <c r="G218" s="484" t="s">
        <v>1817</v>
      </c>
    </row>
    <row r="219" spans="1:8" x14ac:dyDescent="0.25">
      <c r="A219" s="295" t="s">
        <v>1128</v>
      </c>
      <c r="B219" s="351" t="s">
        <v>1129</v>
      </c>
      <c r="C219" s="703">
        <v>44377</v>
      </c>
      <c r="D219" s="480"/>
      <c r="E219" s="480"/>
      <c r="F219" s="481" t="s">
        <v>1085</v>
      </c>
      <c r="G219" s="483" t="s">
        <v>1464</v>
      </c>
    </row>
    <row r="220" spans="1:8" ht="25.5" x14ac:dyDescent="0.25">
      <c r="A220" s="295" t="s">
        <v>1430</v>
      </c>
      <c r="B220" s="351" t="s">
        <v>1431</v>
      </c>
      <c r="C220" s="703">
        <v>44377</v>
      </c>
      <c r="D220" s="480"/>
      <c r="E220" s="480"/>
      <c r="F220" s="481" t="s">
        <v>1085</v>
      </c>
      <c r="G220" s="484" t="s">
        <v>1227</v>
      </c>
    </row>
    <row r="221" spans="1:8" s="133" customFormat="1" ht="38.25" x14ac:dyDescent="0.25">
      <c r="A221" s="295" t="s">
        <v>1669</v>
      </c>
      <c r="B221" s="351" t="s">
        <v>1670</v>
      </c>
      <c r="C221" s="703">
        <v>45023</v>
      </c>
      <c r="D221" s="480"/>
      <c r="E221" s="480"/>
      <c r="F221" s="481" t="s">
        <v>1085</v>
      </c>
      <c r="G221" s="484" t="s">
        <v>1671</v>
      </c>
    </row>
    <row r="222" spans="1:8" s="133" customFormat="1" ht="25.5" x14ac:dyDescent="0.25">
      <c r="A222" s="295" t="s">
        <v>1811</v>
      </c>
      <c r="B222" s="351" t="s">
        <v>1812</v>
      </c>
      <c r="C222" s="703">
        <v>45200</v>
      </c>
      <c r="D222" s="480"/>
      <c r="E222" s="480"/>
      <c r="F222" s="481" t="s">
        <v>1085</v>
      </c>
      <c r="G222" s="484" t="s">
        <v>1818</v>
      </c>
    </row>
    <row r="223" spans="1:8" s="133" customFormat="1" ht="25.5" x14ac:dyDescent="0.25">
      <c r="A223" s="486" t="s">
        <v>1130</v>
      </c>
      <c r="B223" s="474" t="s">
        <v>1225</v>
      </c>
      <c r="C223" s="703">
        <v>44377</v>
      </c>
      <c r="D223" s="488"/>
      <c r="E223" s="487"/>
      <c r="F223" s="488" t="s">
        <v>1085</v>
      </c>
      <c r="G223" s="484" t="s">
        <v>1226</v>
      </c>
    </row>
    <row r="224" spans="1:8" s="133" customFormat="1" x14ac:dyDescent="0.25">
      <c r="A224" s="295" t="s">
        <v>1397</v>
      </c>
      <c r="B224" s="351" t="s">
        <v>1459</v>
      </c>
      <c r="C224" s="703">
        <v>44377</v>
      </c>
      <c r="D224" s="480" t="s">
        <v>1085</v>
      </c>
      <c r="E224" s="480"/>
      <c r="F224" s="481"/>
      <c r="G224" s="483" t="s">
        <v>1398</v>
      </c>
    </row>
    <row r="225" spans="1:7" s="133" customFormat="1" x14ac:dyDescent="0.25">
      <c r="A225" s="295" t="s">
        <v>2330</v>
      </c>
      <c r="B225" s="351" t="s">
        <v>2259</v>
      </c>
      <c r="C225" s="706"/>
      <c r="D225" s="480"/>
      <c r="E225" s="480"/>
      <c r="F225" s="481"/>
      <c r="G225" s="483"/>
    </row>
    <row r="226" spans="1:7" ht="25.5" x14ac:dyDescent="0.25">
      <c r="A226" s="295" t="s">
        <v>1396</v>
      </c>
      <c r="B226" s="351" t="s">
        <v>1131</v>
      </c>
      <c r="C226" s="703">
        <v>45473</v>
      </c>
      <c r="D226" s="480"/>
      <c r="E226" s="480"/>
      <c r="F226" s="481" t="s">
        <v>1085</v>
      </c>
      <c r="G226" s="484" t="s">
        <v>1726</v>
      </c>
    </row>
    <row r="227" spans="1:7" ht="25.5" x14ac:dyDescent="0.25">
      <c r="A227" s="295" t="s">
        <v>1660</v>
      </c>
      <c r="B227" s="351" t="s">
        <v>1661</v>
      </c>
      <c r="C227" s="703">
        <v>45013</v>
      </c>
      <c r="D227" s="480"/>
      <c r="E227" s="480"/>
      <c r="F227" s="481" t="s">
        <v>1085</v>
      </c>
      <c r="G227" s="484" t="s">
        <v>1662</v>
      </c>
    </row>
    <row r="228" spans="1:7" ht="25.5" x14ac:dyDescent="0.25">
      <c r="A228" s="295" t="s">
        <v>1813</v>
      </c>
      <c r="B228" s="351" t="s">
        <v>1814</v>
      </c>
      <c r="C228" s="703">
        <v>45200</v>
      </c>
      <c r="D228" s="480"/>
      <c r="E228" s="480"/>
      <c r="F228" s="481"/>
      <c r="G228" s="484" t="s">
        <v>1819</v>
      </c>
    </row>
    <row r="229" spans="1:7" x14ac:dyDescent="0.25">
      <c r="A229" s="295" t="s">
        <v>1132</v>
      </c>
      <c r="B229" s="351" t="s">
        <v>1133</v>
      </c>
      <c r="C229" s="703">
        <v>44377</v>
      </c>
      <c r="D229" s="480"/>
      <c r="E229" s="480"/>
      <c r="F229" s="481" t="s">
        <v>1085</v>
      </c>
      <c r="G229" s="483" t="s">
        <v>1228</v>
      </c>
    </row>
    <row r="230" spans="1:7" x14ac:dyDescent="0.25">
      <c r="A230" s="295" t="s">
        <v>1134</v>
      </c>
      <c r="B230" s="474" t="s">
        <v>1229</v>
      </c>
      <c r="C230" s="703">
        <v>44377</v>
      </c>
      <c r="D230" s="480"/>
      <c r="E230" s="480"/>
      <c r="F230" s="481" t="s">
        <v>1085</v>
      </c>
      <c r="G230" s="483" t="s">
        <v>1230</v>
      </c>
    </row>
    <row r="231" spans="1:7" x14ac:dyDescent="0.25">
      <c r="A231" s="295" t="s">
        <v>1135</v>
      </c>
      <c r="B231" s="351" t="s">
        <v>1136</v>
      </c>
      <c r="C231" s="703">
        <v>44377</v>
      </c>
      <c r="D231" s="480"/>
      <c r="E231" s="480"/>
      <c r="F231" s="481" t="s">
        <v>1085</v>
      </c>
      <c r="G231" s="483" t="s">
        <v>1231</v>
      </c>
    </row>
    <row r="232" spans="1:7" ht="38.25" x14ac:dyDescent="0.25">
      <c r="A232" s="295" t="s">
        <v>1386</v>
      </c>
      <c r="B232" s="351" t="s">
        <v>1387</v>
      </c>
      <c r="C232" s="703">
        <v>45473</v>
      </c>
      <c r="D232" s="480"/>
      <c r="E232" s="480"/>
      <c r="F232" s="481" t="s">
        <v>1085</v>
      </c>
      <c r="G232" s="484" t="s">
        <v>1388</v>
      </c>
    </row>
    <row r="233" spans="1:7" x14ac:dyDescent="0.25">
      <c r="A233" s="295" t="s">
        <v>1137</v>
      </c>
      <c r="B233" s="351" t="s">
        <v>1211</v>
      </c>
      <c r="C233" s="703">
        <v>44377</v>
      </c>
      <c r="D233" s="480"/>
      <c r="E233" s="480"/>
      <c r="F233" s="481" t="s">
        <v>1085</v>
      </c>
      <c r="G233" s="484" t="s">
        <v>1232</v>
      </c>
    </row>
    <row r="234" spans="1:7" x14ac:dyDescent="0.25">
      <c r="A234" s="295" t="s">
        <v>1657</v>
      </c>
      <c r="B234" s="351" t="s">
        <v>1658</v>
      </c>
      <c r="C234" s="703">
        <v>44926</v>
      </c>
      <c r="D234" s="480"/>
      <c r="E234" s="480"/>
      <c r="F234" s="481" t="s">
        <v>1085</v>
      </c>
      <c r="G234" s="483" t="s">
        <v>1659</v>
      </c>
    </row>
    <row r="235" spans="1:7" x14ac:dyDescent="0.25">
      <c r="A235" s="295" t="s">
        <v>1394</v>
      </c>
      <c r="B235" s="351" t="s">
        <v>1395</v>
      </c>
      <c r="C235" s="703">
        <v>45473</v>
      </c>
      <c r="D235" s="480"/>
      <c r="E235" s="480" t="s">
        <v>1085</v>
      </c>
      <c r="F235" s="481"/>
      <c r="G235" s="483" t="s">
        <v>1465</v>
      </c>
    </row>
    <row r="236" spans="1:7" x14ac:dyDescent="0.25">
      <c r="A236" s="295" t="s">
        <v>1495</v>
      </c>
      <c r="B236" s="351" t="s">
        <v>1496</v>
      </c>
      <c r="C236" s="703">
        <v>45473</v>
      </c>
      <c r="D236" s="480"/>
      <c r="E236" s="480"/>
      <c r="F236" s="481" t="s">
        <v>1085</v>
      </c>
      <c r="G236" s="483" t="s">
        <v>1727</v>
      </c>
    </row>
    <row r="237" spans="1:7" ht="38.25" x14ac:dyDescent="0.25">
      <c r="A237" s="295" t="s">
        <v>1815</v>
      </c>
      <c r="B237" s="351" t="s">
        <v>1816</v>
      </c>
      <c r="C237" s="703">
        <v>45200</v>
      </c>
      <c r="D237" s="480"/>
      <c r="E237" s="480"/>
      <c r="F237" s="481"/>
      <c r="G237" s="484" t="s">
        <v>1820</v>
      </c>
    </row>
    <row r="238" spans="1:7" x14ac:dyDescent="0.25">
      <c r="A238" s="295" t="s">
        <v>1138</v>
      </c>
      <c r="B238" s="474" t="s">
        <v>1233</v>
      </c>
      <c r="C238" s="703">
        <v>44377</v>
      </c>
      <c r="D238" s="480"/>
      <c r="E238" s="480"/>
      <c r="F238" s="481" t="s">
        <v>1085</v>
      </c>
      <c r="G238" s="484" t="s">
        <v>1234</v>
      </c>
    </row>
    <row r="239" spans="1:7" x14ac:dyDescent="0.25">
      <c r="A239" s="295" t="s">
        <v>1140</v>
      </c>
      <c r="B239" s="351" t="s">
        <v>1141</v>
      </c>
      <c r="C239" s="703">
        <v>44377</v>
      </c>
      <c r="D239" s="480"/>
      <c r="E239" s="480"/>
      <c r="F239" s="481" t="s">
        <v>1085</v>
      </c>
      <c r="G239" s="483" t="s">
        <v>1235</v>
      </c>
    </row>
    <row r="240" spans="1:7" x14ac:dyDescent="0.25">
      <c r="A240" s="295" t="s">
        <v>1391</v>
      </c>
      <c r="B240" s="351" t="s">
        <v>1392</v>
      </c>
      <c r="C240" s="703">
        <v>44377</v>
      </c>
      <c r="D240" s="480"/>
      <c r="E240" s="480"/>
      <c r="F240" s="481" t="s">
        <v>1085</v>
      </c>
      <c r="G240" s="483" t="s">
        <v>1466</v>
      </c>
    </row>
    <row r="241" spans="1:7" x14ac:dyDescent="0.25">
      <c r="A241" s="295" t="s">
        <v>1639</v>
      </c>
      <c r="B241" s="351" t="s">
        <v>1434</v>
      </c>
      <c r="C241" s="703">
        <v>44905</v>
      </c>
      <c r="D241" s="480"/>
      <c r="E241" s="480"/>
      <c r="F241" s="481" t="s">
        <v>1085</v>
      </c>
      <c r="G241" s="483" t="s">
        <v>1642</v>
      </c>
    </row>
    <row r="242" spans="1:7" x14ac:dyDescent="0.25">
      <c r="A242" s="295" t="s">
        <v>2331</v>
      </c>
      <c r="B242" s="351" t="s">
        <v>2260</v>
      </c>
      <c r="C242" s="706"/>
      <c r="D242" s="480"/>
      <c r="E242" s="480"/>
      <c r="F242" s="481"/>
      <c r="G242" s="483"/>
    </row>
    <row r="243" spans="1:7" x14ac:dyDescent="0.25">
      <c r="A243" s="295" t="s">
        <v>1390</v>
      </c>
      <c r="B243" s="351" t="s">
        <v>1433</v>
      </c>
      <c r="C243" s="703">
        <v>44012</v>
      </c>
      <c r="D243" s="480"/>
      <c r="E243" s="480"/>
      <c r="F243" s="481" t="s">
        <v>1085</v>
      </c>
      <c r="G243" s="483" t="s">
        <v>1432</v>
      </c>
    </row>
    <row r="244" spans="1:7" x14ac:dyDescent="0.25">
      <c r="A244" s="295" t="s">
        <v>1142</v>
      </c>
      <c r="B244" s="351" t="s">
        <v>1143</v>
      </c>
      <c r="C244" s="703">
        <v>44377</v>
      </c>
      <c r="D244" s="480"/>
      <c r="E244" s="480"/>
      <c r="F244" s="481" t="s">
        <v>1085</v>
      </c>
      <c r="G244" s="483" t="s">
        <v>1236</v>
      </c>
    </row>
    <row r="245" spans="1:7" x14ac:dyDescent="0.25">
      <c r="A245" s="295" t="s">
        <v>1390</v>
      </c>
      <c r="B245" s="351" t="s">
        <v>1433</v>
      </c>
      <c r="C245" s="703"/>
      <c r="D245" s="480"/>
      <c r="E245" s="480"/>
      <c r="F245" s="481" t="s">
        <v>1085</v>
      </c>
      <c r="G245" s="483" t="s">
        <v>1641</v>
      </c>
    </row>
    <row r="246" spans="1:7" x14ac:dyDescent="0.25">
      <c r="A246" s="295" t="s">
        <v>1492</v>
      </c>
      <c r="B246" s="351" t="s">
        <v>1493</v>
      </c>
      <c r="C246" s="703">
        <v>44377</v>
      </c>
      <c r="D246" s="480"/>
      <c r="E246" s="480"/>
      <c r="F246" s="481" t="s">
        <v>1085</v>
      </c>
      <c r="G246" s="483" t="s">
        <v>1494</v>
      </c>
    </row>
    <row r="247" spans="1:7" x14ac:dyDescent="0.25">
      <c r="A247" s="295" t="s">
        <v>1640</v>
      </c>
      <c r="B247" s="351" t="s">
        <v>1433</v>
      </c>
      <c r="C247" s="703">
        <v>44905</v>
      </c>
      <c r="D247" s="480"/>
      <c r="E247" s="480"/>
      <c r="F247" s="481" t="s">
        <v>1085</v>
      </c>
      <c r="G247" s="483" t="s">
        <v>1641</v>
      </c>
    </row>
    <row r="248" spans="1:7" x14ac:dyDescent="0.25">
      <c r="A248" s="295" t="s">
        <v>1828</v>
      </c>
      <c r="B248" s="351" t="s">
        <v>1433</v>
      </c>
      <c r="C248" s="703"/>
      <c r="D248" s="480"/>
      <c r="E248" s="480"/>
      <c r="F248" s="481" t="s">
        <v>1085</v>
      </c>
      <c r="G248" s="483" t="s">
        <v>1641</v>
      </c>
    </row>
    <row r="249" spans="1:7" x14ac:dyDescent="0.25">
      <c r="A249" s="295" t="s">
        <v>1982</v>
      </c>
      <c r="B249" s="351" t="s">
        <v>1983</v>
      </c>
      <c r="C249" s="703"/>
      <c r="D249" s="480"/>
      <c r="E249" s="480"/>
      <c r="F249" s="481" t="s">
        <v>1085</v>
      </c>
      <c r="G249" s="483"/>
    </row>
    <row r="250" spans="1:7" ht="25.5" x14ac:dyDescent="0.25">
      <c r="A250" s="295" t="s">
        <v>1145</v>
      </c>
      <c r="B250" s="351" t="s">
        <v>1146</v>
      </c>
      <c r="C250" s="703">
        <v>44377</v>
      </c>
      <c r="D250" s="480"/>
      <c r="E250" s="480"/>
      <c r="F250" s="481" t="s">
        <v>1085</v>
      </c>
      <c r="G250" s="484" t="s">
        <v>1237</v>
      </c>
    </row>
    <row r="251" spans="1:7" ht="25.5" x14ac:dyDescent="0.25">
      <c r="A251" s="295" t="s">
        <v>1477</v>
      </c>
      <c r="B251" s="351" t="s">
        <v>1478</v>
      </c>
      <c r="C251" s="703">
        <v>44382</v>
      </c>
      <c r="D251" s="480"/>
      <c r="E251" s="480"/>
      <c r="F251" s="481" t="s">
        <v>1085</v>
      </c>
      <c r="G251" s="484" t="s">
        <v>1479</v>
      </c>
    </row>
    <row r="252" spans="1:7" ht="25.5" x14ac:dyDescent="0.25">
      <c r="A252" s="295" t="s">
        <v>1984</v>
      </c>
      <c r="B252" s="351" t="s">
        <v>1985</v>
      </c>
      <c r="C252" s="703"/>
      <c r="D252" s="480"/>
      <c r="E252" s="480"/>
      <c r="F252" s="481" t="s">
        <v>1085</v>
      </c>
      <c r="G252" s="484" t="s">
        <v>2040</v>
      </c>
    </row>
    <row r="253" spans="1:7" x14ac:dyDescent="0.25">
      <c r="A253" s="295" t="s">
        <v>1147</v>
      </c>
      <c r="B253" s="351" t="s">
        <v>1148</v>
      </c>
      <c r="C253" s="703">
        <v>44377</v>
      </c>
      <c r="D253" s="480"/>
      <c r="E253" s="480"/>
      <c r="F253" s="481" t="s">
        <v>1085</v>
      </c>
      <c r="G253" s="483" t="s">
        <v>1238</v>
      </c>
    </row>
    <row r="254" spans="1:7" x14ac:dyDescent="0.25">
      <c r="A254" s="295" t="s">
        <v>2332</v>
      </c>
      <c r="B254" s="351" t="s">
        <v>1355</v>
      </c>
      <c r="C254" s="706"/>
      <c r="D254" s="480"/>
      <c r="E254" s="480"/>
      <c r="F254" s="481"/>
      <c r="G254" s="483"/>
    </row>
    <row r="255" spans="1:7" x14ac:dyDescent="0.25">
      <c r="A255" s="295" t="s">
        <v>1149</v>
      </c>
      <c r="B255" s="351" t="s">
        <v>1150</v>
      </c>
      <c r="C255" s="703">
        <v>44377</v>
      </c>
      <c r="D255" s="480"/>
      <c r="E255" s="480"/>
      <c r="F255" s="481" t="s">
        <v>1085</v>
      </c>
      <c r="G255" s="483" t="s">
        <v>1239</v>
      </c>
    </row>
    <row r="256" spans="1:7" x14ac:dyDescent="0.25">
      <c r="A256" s="295" t="s">
        <v>1151</v>
      </c>
      <c r="B256" s="351" t="s">
        <v>1240</v>
      </c>
      <c r="C256" s="703">
        <v>44742</v>
      </c>
      <c r="D256" s="480"/>
      <c r="E256" s="480"/>
      <c r="F256" s="481" t="s">
        <v>1085</v>
      </c>
      <c r="G256" s="483" t="s">
        <v>1241</v>
      </c>
    </row>
    <row r="257" spans="1:7" x14ac:dyDescent="0.25">
      <c r="A257" s="295" t="s">
        <v>1728</v>
      </c>
      <c r="B257" s="351" t="s">
        <v>1622</v>
      </c>
      <c r="C257" s="703">
        <v>45473</v>
      </c>
      <c r="D257" s="480"/>
      <c r="E257" s="480"/>
      <c r="F257" s="481" t="s">
        <v>1085</v>
      </c>
      <c r="G257" s="483" t="s">
        <v>1623</v>
      </c>
    </row>
    <row r="258" spans="1:7" ht="25.5" x14ac:dyDescent="0.25">
      <c r="A258" s="295" t="s">
        <v>1543</v>
      </c>
      <c r="B258" s="351" t="s">
        <v>1544</v>
      </c>
      <c r="C258" s="703">
        <v>44377</v>
      </c>
      <c r="D258" s="480"/>
      <c r="E258" s="480"/>
      <c r="F258" s="481" t="s">
        <v>1085</v>
      </c>
      <c r="G258" s="484" t="s">
        <v>1545</v>
      </c>
    </row>
    <row r="259" spans="1:7" x14ac:dyDescent="0.25">
      <c r="A259" s="295" t="s">
        <v>1676</v>
      </c>
      <c r="B259" s="351" t="s">
        <v>1467</v>
      </c>
      <c r="C259" s="703">
        <v>45473</v>
      </c>
      <c r="D259" s="480"/>
      <c r="E259" s="480"/>
      <c r="F259" s="481" t="s">
        <v>1118</v>
      </c>
      <c r="G259" s="483" t="s">
        <v>1678</v>
      </c>
    </row>
    <row r="260" spans="1:7" x14ac:dyDescent="0.25">
      <c r="A260" s="295" t="s">
        <v>1879</v>
      </c>
      <c r="B260" s="351" t="s">
        <v>1467</v>
      </c>
      <c r="C260" s="703"/>
      <c r="D260" s="480"/>
      <c r="E260" s="480"/>
      <c r="F260" s="481" t="s">
        <v>1085</v>
      </c>
      <c r="G260" s="483" t="s">
        <v>1678</v>
      </c>
    </row>
    <row r="261" spans="1:7" x14ac:dyDescent="0.25">
      <c r="A261" s="295" t="s">
        <v>2073</v>
      </c>
      <c r="B261" s="351" t="s">
        <v>2333</v>
      </c>
      <c r="C261" s="706"/>
      <c r="D261" s="480"/>
      <c r="E261" s="480"/>
      <c r="F261" s="481"/>
      <c r="G261" s="483"/>
    </row>
    <row r="262" spans="1:7" x14ac:dyDescent="0.25">
      <c r="A262" s="295" t="s">
        <v>2261</v>
      </c>
      <c r="B262" s="351" t="s">
        <v>2333</v>
      </c>
      <c r="C262" s="706"/>
      <c r="D262" s="480"/>
      <c r="E262" s="480"/>
      <c r="F262" s="481"/>
      <c r="G262" s="483"/>
    </row>
    <row r="263" spans="1:7" x14ac:dyDescent="0.25">
      <c r="A263" s="295" t="s">
        <v>1153</v>
      </c>
      <c r="B263" s="474" t="s">
        <v>1154</v>
      </c>
      <c r="C263" s="703">
        <v>44377</v>
      </c>
      <c r="D263" s="480"/>
      <c r="E263" s="480"/>
      <c r="F263" s="481" t="s">
        <v>1118</v>
      </c>
      <c r="G263" s="483" t="s">
        <v>1242</v>
      </c>
    </row>
    <row r="264" spans="1:7" x14ac:dyDescent="0.25">
      <c r="A264" s="295" t="s">
        <v>1357</v>
      </c>
      <c r="B264" s="351" t="s">
        <v>1359</v>
      </c>
      <c r="C264" s="703">
        <v>44377</v>
      </c>
      <c r="D264" s="480"/>
      <c r="E264" s="480"/>
      <c r="F264" s="481" t="s">
        <v>1118</v>
      </c>
      <c r="G264" s="483" t="s">
        <v>1360</v>
      </c>
    </row>
    <row r="265" spans="1:7" x14ac:dyDescent="0.25">
      <c r="A265" s="295" t="s">
        <v>1880</v>
      </c>
      <c r="B265" s="351" t="s">
        <v>1881</v>
      </c>
      <c r="C265" s="703"/>
      <c r="D265" s="480"/>
      <c r="E265" s="480"/>
      <c r="F265" s="481" t="s">
        <v>1085</v>
      </c>
      <c r="G265" s="483"/>
    </row>
    <row r="266" spans="1:7" x14ac:dyDescent="0.25">
      <c r="A266" s="295" t="s">
        <v>2074</v>
      </c>
      <c r="B266" s="351" t="s">
        <v>2334</v>
      </c>
      <c r="C266" s="706"/>
      <c r="D266" s="480"/>
      <c r="E266" s="480"/>
      <c r="F266" s="481"/>
      <c r="G266" s="483"/>
    </row>
    <row r="267" spans="1:7" x14ac:dyDescent="0.25">
      <c r="A267" s="295" t="s">
        <v>2262</v>
      </c>
      <c r="B267" s="351" t="s">
        <v>2334</v>
      </c>
      <c r="C267" s="706"/>
      <c r="D267" s="480"/>
      <c r="E267" s="480"/>
      <c r="F267" s="481"/>
      <c r="G267" s="483"/>
    </row>
    <row r="268" spans="1:7" ht="18.75" customHeight="1" x14ac:dyDescent="0.25">
      <c r="A268" s="295" t="s">
        <v>1155</v>
      </c>
      <c r="B268" s="474" t="s">
        <v>1156</v>
      </c>
      <c r="C268" s="703">
        <v>44377</v>
      </c>
      <c r="D268" s="480"/>
      <c r="E268" s="480"/>
      <c r="F268" s="481" t="s">
        <v>1118</v>
      </c>
      <c r="G268" s="483" t="s">
        <v>1243</v>
      </c>
    </row>
    <row r="269" spans="1:7" ht="25.5" x14ac:dyDescent="0.25">
      <c r="A269" s="295" t="s">
        <v>1677</v>
      </c>
      <c r="B269" s="473" t="s">
        <v>1546</v>
      </c>
      <c r="C269" s="703">
        <v>45473</v>
      </c>
      <c r="D269" s="480"/>
      <c r="E269" s="480"/>
      <c r="F269" s="481" t="s">
        <v>1118</v>
      </c>
      <c r="G269" s="484" t="s">
        <v>1468</v>
      </c>
    </row>
    <row r="270" spans="1:7" x14ac:dyDescent="0.25">
      <c r="A270" s="295" t="s">
        <v>1882</v>
      </c>
      <c r="B270" s="351" t="s">
        <v>1546</v>
      </c>
      <c r="C270" s="703"/>
      <c r="D270" s="480"/>
      <c r="E270" s="480"/>
      <c r="F270" s="481" t="s">
        <v>1085</v>
      </c>
      <c r="G270" s="483" t="s">
        <v>1468</v>
      </c>
    </row>
    <row r="271" spans="1:7" x14ac:dyDescent="0.25">
      <c r="A271" s="295" t="s">
        <v>2075</v>
      </c>
      <c r="B271" s="351" t="s">
        <v>2335</v>
      </c>
      <c r="C271" s="706"/>
      <c r="D271" s="480"/>
      <c r="E271" s="480"/>
      <c r="F271" s="481"/>
      <c r="G271" s="483"/>
    </row>
    <row r="272" spans="1:7" ht="17.25" customHeight="1" x14ac:dyDescent="0.25">
      <c r="A272" s="295" t="s">
        <v>1883</v>
      </c>
      <c r="B272" s="351" t="s">
        <v>2024</v>
      </c>
      <c r="C272" s="703"/>
      <c r="D272" s="480"/>
      <c r="E272" s="480"/>
      <c r="F272" s="481" t="s">
        <v>1085</v>
      </c>
      <c r="G272" s="483"/>
    </row>
    <row r="273" spans="1:7" ht="17.25" customHeight="1" x14ac:dyDescent="0.25">
      <c r="A273" s="295" t="s">
        <v>2076</v>
      </c>
      <c r="B273" s="351" t="s">
        <v>2024</v>
      </c>
      <c r="C273" s="706"/>
      <c r="D273" s="480"/>
      <c r="E273" s="480"/>
      <c r="F273" s="481"/>
      <c r="G273" s="483"/>
    </row>
    <row r="274" spans="1:7" ht="17.25" customHeight="1" x14ac:dyDescent="0.25">
      <c r="A274" s="295" t="s">
        <v>2263</v>
      </c>
      <c r="B274" s="351" t="s">
        <v>2024</v>
      </c>
      <c r="C274" s="706"/>
      <c r="D274" s="480"/>
      <c r="E274" s="480"/>
      <c r="F274" s="481"/>
      <c r="G274" s="483"/>
    </row>
    <row r="275" spans="1:7" x14ac:dyDescent="0.25">
      <c r="A275" s="295" t="s">
        <v>1157</v>
      </c>
      <c r="B275" s="474" t="s">
        <v>1158</v>
      </c>
      <c r="C275" s="703">
        <v>44377</v>
      </c>
      <c r="D275" s="480"/>
      <c r="E275" s="480"/>
      <c r="F275" s="481" t="s">
        <v>1118</v>
      </c>
      <c r="G275" s="483" t="s">
        <v>1244</v>
      </c>
    </row>
    <row r="276" spans="1:7" x14ac:dyDescent="0.25">
      <c r="A276" s="295" t="s">
        <v>1746</v>
      </c>
      <c r="B276" s="351" t="s">
        <v>1776</v>
      </c>
      <c r="C276" s="703">
        <v>45473</v>
      </c>
      <c r="D276" s="480"/>
      <c r="E276" s="480"/>
      <c r="F276" s="481" t="s">
        <v>1085</v>
      </c>
      <c r="G276" s="484" t="s">
        <v>1777</v>
      </c>
    </row>
    <row r="277" spans="1:7" x14ac:dyDescent="0.25">
      <c r="A277" s="295" t="s">
        <v>1159</v>
      </c>
      <c r="B277" s="474" t="s">
        <v>1160</v>
      </c>
      <c r="C277" s="703">
        <v>44377</v>
      </c>
      <c r="D277" s="480"/>
      <c r="E277" s="480"/>
      <c r="F277" s="481" t="s">
        <v>1118</v>
      </c>
      <c r="G277" s="483" t="s">
        <v>1245</v>
      </c>
    </row>
    <row r="278" spans="1:7" x14ac:dyDescent="0.25">
      <c r="A278" s="295" t="s">
        <v>1636</v>
      </c>
      <c r="B278" s="351" t="s">
        <v>1637</v>
      </c>
      <c r="C278" s="703">
        <v>45473</v>
      </c>
      <c r="D278" s="480"/>
      <c r="E278" s="480"/>
      <c r="F278" s="481" t="s">
        <v>1085</v>
      </c>
      <c r="G278" s="484" t="s">
        <v>1729</v>
      </c>
    </row>
    <row r="279" spans="1:7" x14ac:dyDescent="0.25">
      <c r="A279" s="295" t="s">
        <v>1775</v>
      </c>
      <c r="B279" s="351" t="s">
        <v>1637</v>
      </c>
      <c r="C279" s="703">
        <v>45473</v>
      </c>
      <c r="D279" s="480"/>
      <c r="E279" s="480"/>
      <c r="F279" s="481" t="s">
        <v>1085</v>
      </c>
      <c r="G279" s="484" t="s">
        <v>1729</v>
      </c>
    </row>
    <row r="280" spans="1:7" x14ac:dyDescent="0.25">
      <c r="A280" s="295" t="s">
        <v>2082</v>
      </c>
      <c r="B280" s="351" t="s">
        <v>2336</v>
      </c>
      <c r="C280" s="706"/>
      <c r="D280" s="480"/>
      <c r="E280" s="480"/>
      <c r="F280" s="481"/>
      <c r="G280" s="483"/>
    </row>
    <row r="281" spans="1:7" ht="38.25" x14ac:dyDescent="0.25">
      <c r="A281" s="295" t="s">
        <v>1833</v>
      </c>
      <c r="B281" s="351" t="s">
        <v>1835</v>
      </c>
      <c r="C281" s="703">
        <v>45290</v>
      </c>
      <c r="D281" s="480"/>
      <c r="E281" s="480"/>
      <c r="F281" s="481" t="s">
        <v>1085</v>
      </c>
      <c r="G281" s="484" t="s">
        <v>1836</v>
      </c>
    </row>
    <row r="282" spans="1:7" ht="25.5" x14ac:dyDescent="0.25">
      <c r="A282" s="295" t="s">
        <v>1831</v>
      </c>
      <c r="B282" s="351" t="s">
        <v>1832</v>
      </c>
      <c r="C282" s="703">
        <v>45240</v>
      </c>
      <c r="D282" s="480"/>
      <c r="E282" s="480"/>
      <c r="F282" s="481" t="s">
        <v>1085</v>
      </c>
      <c r="G282" s="484" t="s">
        <v>1839</v>
      </c>
    </row>
    <row r="283" spans="1:7" x14ac:dyDescent="0.25">
      <c r="A283" s="295" t="s">
        <v>1829</v>
      </c>
      <c r="B283" s="351" t="s">
        <v>1830</v>
      </c>
      <c r="C283" s="703">
        <v>45244</v>
      </c>
      <c r="D283" s="480"/>
      <c r="E283" s="480"/>
      <c r="F283" s="481" t="s">
        <v>1085</v>
      </c>
      <c r="G283" s="483" t="s">
        <v>1838</v>
      </c>
    </row>
    <row r="284" spans="1:7" x14ac:dyDescent="0.25">
      <c r="A284" s="295" t="s">
        <v>2175</v>
      </c>
      <c r="B284" s="351" t="s">
        <v>1830</v>
      </c>
      <c r="C284" s="706"/>
      <c r="D284" s="480"/>
      <c r="E284" s="480"/>
      <c r="F284" s="481"/>
      <c r="G284" s="483" t="s">
        <v>1838</v>
      </c>
    </row>
    <row r="285" spans="1:7" x14ac:dyDescent="0.25">
      <c r="A285" s="295" t="s">
        <v>1161</v>
      </c>
      <c r="B285" s="351" t="s">
        <v>1246</v>
      </c>
      <c r="C285" s="703">
        <v>44377</v>
      </c>
      <c r="D285" s="480"/>
      <c r="E285" s="480"/>
      <c r="F285" s="481" t="s">
        <v>1085</v>
      </c>
      <c r="G285" s="483" t="s">
        <v>1247</v>
      </c>
    </row>
    <row r="286" spans="1:7" x14ac:dyDescent="0.25">
      <c r="A286" s="295" t="s">
        <v>1162</v>
      </c>
      <c r="B286" s="351" t="s">
        <v>1163</v>
      </c>
      <c r="C286" s="703">
        <v>44377</v>
      </c>
      <c r="D286" s="480"/>
      <c r="E286" s="480"/>
      <c r="F286" s="481" t="s">
        <v>1085</v>
      </c>
      <c r="G286" s="483" t="s">
        <v>1248</v>
      </c>
    </row>
    <row r="287" spans="1:7" x14ac:dyDescent="0.25">
      <c r="A287" s="295" t="s">
        <v>1164</v>
      </c>
      <c r="B287" s="351" t="s">
        <v>1165</v>
      </c>
      <c r="C287" s="703">
        <v>44377</v>
      </c>
      <c r="D287" s="480"/>
      <c r="E287" s="480"/>
      <c r="F287" s="481" t="s">
        <v>1085</v>
      </c>
      <c r="G287" s="483" t="s">
        <v>1249</v>
      </c>
    </row>
    <row r="288" spans="1:7" x14ac:dyDescent="0.25">
      <c r="A288" s="295" t="s">
        <v>1166</v>
      </c>
      <c r="B288" s="351" t="s">
        <v>1167</v>
      </c>
      <c r="C288" s="703">
        <v>44377</v>
      </c>
      <c r="D288" s="480"/>
      <c r="E288" s="480"/>
      <c r="F288" s="481" t="s">
        <v>1085</v>
      </c>
      <c r="G288" s="483" t="s">
        <v>1250</v>
      </c>
    </row>
    <row r="289" spans="1:7" x14ac:dyDescent="0.25">
      <c r="A289" s="295" t="s">
        <v>1168</v>
      </c>
      <c r="B289" s="351" t="s">
        <v>1169</v>
      </c>
      <c r="C289" s="703">
        <v>44377</v>
      </c>
      <c r="D289" s="480"/>
      <c r="E289" s="480"/>
      <c r="F289" s="481" t="s">
        <v>1085</v>
      </c>
      <c r="G289" s="483" t="s">
        <v>1251</v>
      </c>
    </row>
    <row r="290" spans="1:7" ht="51" x14ac:dyDescent="0.25">
      <c r="A290" s="295" t="s">
        <v>2041</v>
      </c>
      <c r="B290" s="351" t="s">
        <v>2042</v>
      </c>
      <c r="C290" s="706"/>
      <c r="D290" s="480"/>
      <c r="E290" s="480"/>
      <c r="F290" s="481" t="s">
        <v>1085</v>
      </c>
      <c r="G290" s="484" t="s">
        <v>2043</v>
      </c>
    </row>
    <row r="291" spans="1:7" x14ac:dyDescent="0.25">
      <c r="A291" s="295" t="s">
        <v>1170</v>
      </c>
      <c r="B291" s="351" t="s">
        <v>1171</v>
      </c>
      <c r="C291" s="703"/>
      <c r="D291" s="481"/>
      <c r="E291" s="481"/>
      <c r="F291" s="618" t="s">
        <v>1085</v>
      </c>
      <c r="G291" s="619" t="s">
        <v>1252</v>
      </c>
    </row>
    <row r="292" spans="1:7" x14ac:dyDescent="0.25">
      <c r="A292" s="524" t="s">
        <v>54</v>
      </c>
      <c r="B292" s="525"/>
      <c r="C292" s="526">
        <f>SUBTOTAL(103,Table1878915136106101264[END DATE])</f>
        <v>212</v>
      </c>
      <c r="D292" s="527">
        <f>SUBTOTAL(103,Table1878915136106101264[STATE])</f>
        <v>53</v>
      </c>
      <c r="E292" s="527">
        <f>SUBTOTAL(103,Table1878915136106101264[FEDERAL])</f>
        <v>56</v>
      </c>
      <c r="F292" s="528">
        <f>SUBTOTAL(103,Table1878915136106101264[PRIVATE])</f>
        <v>138</v>
      </c>
      <c r="G292" s="529"/>
    </row>
    <row r="295" spans="1:7" x14ac:dyDescent="0.25">
      <c r="B295" s="1" t="s">
        <v>1681</v>
      </c>
    </row>
  </sheetData>
  <sheetProtection algorithmName="SHA-512" hashValue="119MJnItnyqn0agIQbDFF/jVdcQyZT17wE2z8Ir+l2/I7xMVzPAyi+bX16XmktcbvUncL59dHBC4+8g9ut+rcQ==" saltValue="HgEMsxl1UYapneRbtUkYZA==" spinCount="100000" sheet="1" objects="1" scenarios="1" selectLockedCells="1" sort="0" autoFilter="0" selectUnlockedCells="1"/>
  <mergeCells count="1">
    <mergeCell ref="D3:E3"/>
  </mergeCells>
  <pageMargins left="0.5" right="0.45" top="0.65" bottom="0.6" header="0.3" footer="0.3"/>
  <pageSetup scale="95" orientation="landscape" r:id="rId1"/>
  <headerFooter>
    <oddHeader>&amp;R&amp;P</oddHeader>
    <oddFooter>&amp;R&amp;D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EB09-FD29-4CB6-AA16-C95281DF43AF}">
  <sheetPr>
    <tabColor theme="7" tint="0.59999389629810485"/>
  </sheetPr>
  <dimension ref="A1:AE115"/>
  <sheetViews>
    <sheetView showGridLines="0" zoomScale="130" zoomScaleNormal="130" workbookViewId="0">
      <pane ySplit="6" topLeftCell="A90" activePane="bottomLeft" state="frozen"/>
      <selection activeCell="F251" sqref="F251"/>
      <selection pane="bottomLeft" activeCell="F251" sqref="F251"/>
    </sheetView>
  </sheetViews>
  <sheetFormatPr defaultColWidth="9" defaultRowHeight="15" x14ac:dyDescent="0.25"/>
  <cols>
    <col min="1" max="1" width="8.42578125" customWidth="1"/>
    <col min="2" max="2" width="31.140625" style="133" customWidth="1"/>
    <col min="3" max="4" width="12.28515625" hidden="1" customWidth="1"/>
    <col min="5" max="5" width="12.7109375" hidden="1" customWidth="1"/>
    <col min="6" max="6" width="12.140625" hidden="1" customWidth="1"/>
    <col min="7" max="7" width="1.140625" hidden="1" customWidth="1"/>
    <col min="8" max="11" width="12.5703125" customWidth="1"/>
    <col min="12" max="12" width="11.5703125" customWidth="1"/>
    <col min="13" max="13" width="11.7109375" customWidth="1"/>
    <col min="14" max="14" width="13.140625" customWidth="1"/>
    <col min="15" max="15" width="14.5703125" customWidth="1"/>
    <col min="16" max="16" width="13.7109375" customWidth="1"/>
    <col min="17" max="17" width="12.42578125" style="179" customWidth="1"/>
    <col min="18" max="18" width="13.28515625" style="179" customWidth="1"/>
    <col min="19" max="19" width="17.42578125" customWidth="1"/>
    <col min="20" max="20" width="1" customWidth="1"/>
    <col min="21" max="21" width="16.85546875" style="175" customWidth="1"/>
    <col min="22" max="22" width="13.85546875" style="175" customWidth="1"/>
    <col min="23" max="23" width="13" style="309" customWidth="1"/>
    <col min="24" max="24" width="10.5703125" customWidth="1"/>
    <col min="25" max="25" width="13.140625" style="22" customWidth="1"/>
    <col min="26" max="26" width="13.85546875" customWidth="1"/>
    <col min="27" max="27" width="12.42578125" customWidth="1"/>
    <col min="28" max="28" width="11.5703125" customWidth="1"/>
    <col min="29" max="29" width="12.5703125" customWidth="1"/>
    <col min="30" max="30" width="12.85546875" customWidth="1"/>
    <col min="31" max="31" width="12.140625" customWidth="1"/>
    <col min="33" max="33" width="11.140625" customWidth="1"/>
  </cols>
  <sheetData>
    <row r="1" spans="1:22" ht="18.75" x14ac:dyDescent="0.3">
      <c r="A1" s="893" t="s">
        <v>1301</v>
      </c>
      <c r="B1" s="893"/>
      <c r="C1" s="893"/>
      <c r="D1" s="893"/>
      <c r="E1" s="893"/>
      <c r="F1" s="893"/>
      <c r="G1" s="893"/>
      <c r="H1" s="893"/>
      <c r="I1" s="893"/>
      <c r="J1" s="893"/>
      <c r="K1" s="893"/>
      <c r="L1" s="893"/>
      <c r="M1" s="893"/>
      <c r="N1" s="893"/>
      <c r="O1" s="893"/>
      <c r="P1" s="893"/>
      <c r="Q1" s="893"/>
      <c r="R1" s="893"/>
      <c r="S1" s="893"/>
    </row>
    <row r="2" spans="1:22" ht="8.1" customHeight="1" x14ac:dyDescent="0.25">
      <c r="B2" s="145"/>
      <c r="C2" s="141"/>
      <c r="D2" s="141"/>
    </row>
    <row r="3" spans="1:22" ht="18.75" x14ac:dyDescent="0.3">
      <c r="A3" s="893" t="s">
        <v>1302</v>
      </c>
      <c r="B3" s="893"/>
      <c r="C3" s="893"/>
      <c r="D3" s="893"/>
      <c r="E3" s="893"/>
      <c r="F3" s="893"/>
      <c r="G3" s="893"/>
      <c r="H3" s="893"/>
      <c r="I3" s="893"/>
      <c r="J3" s="893"/>
      <c r="K3" s="893"/>
      <c r="L3" s="893"/>
      <c r="M3" s="893"/>
      <c r="N3" s="893"/>
      <c r="O3" s="893"/>
      <c r="P3" s="893"/>
      <c r="Q3" s="893"/>
      <c r="R3" s="893"/>
      <c r="S3" s="893"/>
    </row>
    <row r="4" spans="1:22" ht="15.75" thickBot="1" x14ac:dyDescent="0.3">
      <c r="A4" s="112"/>
      <c r="B4" s="146"/>
      <c r="C4" s="112"/>
      <c r="D4" s="112"/>
      <c r="U4" s="751"/>
    </row>
    <row r="5" spans="1:22" ht="23.25" customHeight="1" thickBot="1" x14ac:dyDescent="0.35">
      <c r="B5" s="147"/>
      <c r="C5" s="187" t="s">
        <v>1303</v>
      </c>
      <c r="D5" s="188" t="s">
        <v>1304</v>
      </c>
      <c r="E5" s="188" t="s">
        <v>1253</v>
      </c>
      <c r="F5" s="188" t="s">
        <v>1380</v>
      </c>
      <c r="G5" s="467" t="s">
        <v>1476</v>
      </c>
      <c r="H5" s="467" t="s">
        <v>1561</v>
      </c>
      <c r="I5" s="467" t="s">
        <v>1696</v>
      </c>
      <c r="J5" s="467" t="s">
        <v>1904</v>
      </c>
      <c r="K5" s="467" t="s">
        <v>2213</v>
      </c>
      <c r="O5" s="293">
        <v>45596</v>
      </c>
    </row>
    <row r="6" spans="1:22" ht="57.75" customHeight="1" x14ac:dyDescent="0.25">
      <c r="A6" s="148" t="s">
        <v>1305</v>
      </c>
      <c r="B6" s="149" t="s">
        <v>230</v>
      </c>
      <c r="C6" s="186" t="s">
        <v>1306</v>
      </c>
      <c r="D6" s="189" t="s">
        <v>1307</v>
      </c>
      <c r="E6" s="189" t="s">
        <v>1381</v>
      </c>
      <c r="F6" s="189" t="s">
        <v>1480</v>
      </c>
      <c r="G6" s="189" t="s">
        <v>1627</v>
      </c>
      <c r="H6" s="189" t="s">
        <v>1785</v>
      </c>
      <c r="I6" s="468" t="s">
        <v>1912</v>
      </c>
      <c r="J6" s="468" t="s">
        <v>2142</v>
      </c>
      <c r="K6" s="468" t="s">
        <v>1742</v>
      </c>
      <c r="L6" s="182" t="s">
        <v>1254</v>
      </c>
      <c r="M6" s="182" t="s">
        <v>231</v>
      </c>
      <c r="N6" s="182" t="s">
        <v>1382</v>
      </c>
      <c r="O6" s="181" t="s">
        <v>1902</v>
      </c>
      <c r="P6" s="198" t="s">
        <v>1329</v>
      </c>
      <c r="Q6" s="181" t="s">
        <v>100</v>
      </c>
      <c r="R6" s="695" t="s">
        <v>1903</v>
      </c>
      <c r="S6" s="198" t="s">
        <v>226</v>
      </c>
    </row>
    <row r="7" spans="1:22" ht="15.75" x14ac:dyDescent="0.25">
      <c r="A7" s="150" t="s">
        <v>1308</v>
      </c>
      <c r="B7" s="151"/>
      <c r="C7" s="152"/>
      <c r="D7" s="152"/>
      <c r="E7" s="152"/>
      <c r="F7" s="152"/>
      <c r="G7" s="152"/>
      <c r="H7" s="152"/>
      <c r="I7" s="152"/>
      <c r="J7" s="152"/>
      <c r="K7" s="152"/>
      <c r="L7" s="152"/>
      <c r="M7" s="152"/>
      <c r="N7" s="152"/>
      <c r="O7" s="191"/>
      <c r="P7" s="712"/>
      <c r="Q7" s="152"/>
      <c r="R7" s="152"/>
      <c r="S7" s="152"/>
      <c r="V7" s="639"/>
    </row>
    <row r="8" spans="1:22" ht="20.100000000000001" customHeight="1" x14ac:dyDescent="0.25">
      <c r="A8" s="153">
        <v>41620</v>
      </c>
      <c r="B8" s="154" t="s">
        <v>1309</v>
      </c>
      <c r="C8" s="155">
        <v>12235.9</v>
      </c>
      <c r="D8" s="156">
        <v>5267.13</v>
      </c>
      <c r="E8" s="530">
        <v>7957.11</v>
      </c>
      <c r="F8" s="277">
        <v>3371</v>
      </c>
      <c r="G8" s="155">
        <v>468.75</v>
      </c>
      <c r="H8" s="298">
        <v>7679.5</v>
      </c>
      <c r="I8" s="856">
        <v>10026.629999999999</v>
      </c>
      <c r="J8" s="857">
        <v>49853.65</v>
      </c>
      <c r="K8" s="857">
        <v>50000</v>
      </c>
      <c r="L8" s="167"/>
      <c r="M8" s="167"/>
      <c r="N8" s="167"/>
      <c r="O8" s="867">
        <v>2350</v>
      </c>
      <c r="P8" s="22"/>
      <c r="Q8" s="868">
        <v>50000</v>
      </c>
      <c r="R8"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-47650</v>
      </c>
      <c r="S8" s="167"/>
      <c r="U8" s="432" t="s">
        <v>1414</v>
      </c>
      <c r="V8" s="639"/>
    </row>
    <row r="9" spans="1:22" ht="20.100000000000001" customHeight="1" x14ac:dyDescent="0.25">
      <c r="A9" s="153">
        <v>41621</v>
      </c>
      <c r="B9" s="154" t="s">
        <v>1310</v>
      </c>
      <c r="C9" s="155">
        <v>243555.27</v>
      </c>
      <c r="D9" s="156">
        <v>206695.51</v>
      </c>
      <c r="E9" s="530">
        <v>236735.3</v>
      </c>
      <c r="F9" s="277">
        <v>198520.89</v>
      </c>
      <c r="G9" s="155">
        <v>0</v>
      </c>
      <c r="H9" s="298">
        <v>0</v>
      </c>
      <c r="I9" s="856">
        <v>92170.96</v>
      </c>
      <c r="J9" s="857">
        <v>41594.25</v>
      </c>
      <c r="K9" s="857">
        <v>42000</v>
      </c>
      <c r="L9" s="167"/>
      <c r="M9" s="167"/>
      <c r="N9" s="167"/>
      <c r="O9" s="867">
        <v>8211.9500000000007</v>
      </c>
      <c r="P9" s="22"/>
      <c r="Q9" s="868">
        <v>42000</v>
      </c>
      <c r="R9"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-33788.050000000003</v>
      </c>
      <c r="S9" s="167"/>
      <c r="U9" s="432" t="s">
        <v>1415</v>
      </c>
      <c r="V9" s="639"/>
    </row>
    <row r="10" spans="1:22" ht="20.100000000000001" customHeight="1" x14ac:dyDescent="0.25">
      <c r="A10" s="153">
        <v>41622</v>
      </c>
      <c r="B10" s="154" t="s">
        <v>1311</v>
      </c>
      <c r="C10" s="155">
        <v>23711.359999999986</v>
      </c>
      <c r="D10" s="196">
        <v>9306.51</v>
      </c>
      <c r="E10" s="530">
        <v>11324.15</v>
      </c>
      <c r="F10" s="277">
        <v>17049.14</v>
      </c>
      <c r="G10" s="155">
        <v>8885.2900000000009</v>
      </c>
      <c r="H10" s="298">
        <v>159243.5</v>
      </c>
      <c r="I10" s="856">
        <v>5657.35</v>
      </c>
      <c r="J10" s="857">
        <v>15621.98</v>
      </c>
      <c r="K10" s="857">
        <v>16000</v>
      </c>
      <c r="L10" s="167"/>
      <c r="M10" s="167"/>
      <c r="N10" s="167"/>
      <c r="O10" s="867">
        <v>10</v>
      </c>
      <c r="P10" s="22"/>
      <c r="Q10" s="868">
        <v>16000</v>
      </c>
      <c r="R10"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-15990</v>
      </c>
      <c r="S10" s="167"/>
      <c r="U10" s="432" t="s">
        <v>1416</v>
      </c>
      <c r="V10" s="639"/>
    </row>
    <row r="11" spans="1:22" ht="20.100000000000001" customHeight="1" x14ac:dyDescent="0.25">
      <c r="A11" s="153">
        <v>42040</v>
      </c>
      <c r="B11" s="154" t="s">
        <v>1312</v>
      </c>
      <c r="C11" s="155">
        <v>329087</v>
      </c>
      <c r="D11" s="155">
        <v>300334</v>
      </c>
      <c r="E11" s="530">
        <v>298629</v>
      </c>
      <c r="F11" s="277">
        <v>285468</v>
      </c>
      <c r="G11" s="155">
        <v>285379</v>
      </c>
      <c r="H11" s="298">
        <v>280116</v>
      </c>
      <c r="I11" s="856">
        <v>199401</v>
      </c>
      <c r="J11" s="857">
        <v>205589</v>
      </c>
      <c r="K11" s="857">
        <v>205589</v>
      </c>
      <c r="L11" s="637"/>
      <c r="M11" s="167"/>
      <c r="N11" s="167"/>
      <c r="O11" s="867"/>
      <c r="P11" s="22"/>
      <c r="Q11" s="868">
        <v>205589</v>
      </c>
      <c r="R11"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-205589</v>
      </c>
      <c r="S11" s="167"/>
      <c r="U11" s="432" t="s">
        <v>1417</v>
      </c>
      <c r="V11" s="639"/>
    </row>
    <row r="12" spans="1:22" ht="20.100000000000001" customHeight="1" x14ac:dyDescent="0.25">
      <c r="A12" s="175">
        <v>42041</v>
      </c>
      <c r="B12" s="199" t="s">
        <v>1313</v>
      </c>
      <c r="C12" s="197">
        <v>0</v>
      </c>
      <c r="D12" s="155">
        <v>0</v>
      </c>
      <c r="E12" s="530">
        <v>561489.14</v>
      </c>
      <c r="F12" s="277">
        <v>527883</v>
      </c>
      <c r="G12" s="155">
        <v>588111.06000000006</v>
      </c>
      <c r="H12" s="298">
        <v>795841.73</v>
      </c>
      <c r="I12" s="856">
        <v>757757.28</v>
      </c>
      <c r="J12" s="857">
        <v>813720.66159999999</v>
      </c>
      <c r="K12" s="857">
        <v>813721</v>
      </c>
      <c r="L12" s="167"/>
      <c r="M12" s="167"/>
      <c r="N12" s="167"/>
      <c r="O12" s="867"/>
      <c r="P12" s="22"/>
      <c r="Q12" s="868">
        <v>813721</v>
      </c>
      <c r="R12"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-813721</v>
      </c>
      <c r="S12" s="167"/>
      <c r="U12" s="432" t="s">
        <v>1418</v>
      </c>
      <c r="V12" s="639"/>
    </row>
    <row r="13" spans="1:22" ht="20.100000000000001" customHeight="1" x14ac:dyDescent="0.25">
      <c r="A13" s="175">
        <v>42042</v>
      </c>
      <c r="B13" s="199" t="s">
        <v>1314</v>
      </c>
      <c r="C13" s="197">
        <v>0</v>
      </c>
      <c r="D13" s="155">
        <v>0</v>
      </c>
      <c r="E13" s="530">
        <v>48501.24</v>
      </c>
      <c r="F13" s="277">
        <v>50883</v>
      </c>
      <c r="G13" s="155">
        <v>61595.73</v>
      </c>
      <c r="H13" s="298">
        <v>81273.33</v>
      </c>
      <c r="I13" s="856">
        <v>73029.039999999994</v>
      </c>
      <c r="J13" s="857">
        <v>70758.318400000004</v>
      </c>
      <c r="K13" s="857">
        <v>70758</v>
      </c>
      <c r="L13" s="167"/>
      <c r="M13" s="167"/>
      <c r="N13" s="167"/>
      <c r="O13" s="867"/>
      <c r="P13" s="22"/>
      <c r="Q13" s="868">
        <v>70758</v>
      </c>
      <c r="R13"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-70758</v>
      </c>
      <c r="S13" s="167"/>
      <c r="U13" s="432" t="s">
        <v>1419</v>
      </c>
      <c r="V13" s="639"/>
    </row>
    <row r="14" spans="1:22" ht="23.1" customHeight="1" x14ac:dyDescent="0.25">
      <c r="A14" s="175">
        <v>42043</v>
      </c>
      <c r="B14" s="199" t="s">
        <v>1315</v>
      </c>
      <c r="C14" s="155">
        <v>0</v>
      </c>
      <c r="D14" s="155">
        <v>0</v>
      </c>
      <c r="E14" s="530">
        <v>460645.82</v>
      </c>
      <c r="F14" s="277">
        <v>2186414</v>
      </c>
      <c r="G14" s="155">
        <v>9532205.3900000006</v>
      </c>
      <c r="H14" s="298">
        <v>507090.74</v>
      </c>
      <c r="I14" s="856">
        <v>515668.28</v>
      </c>
      <c r="J14" s="857">
        <v>627528.92719999992</v>
      </c>
      <c r="K14" s="857">
        <v>573701</v>
      </c>
      <c r="L14" s="167"/>
      <c r="M14" s="167"/>
      <c r="N14" s="167"/>
      <c r="O14" s="867">
        <v>573700.51</v>
      </c>
      <c r="P14" s="22"/>
      <c r="Q14" s="868">
        <v>573701</v>
      </c>
      <c r="R14"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-0.48999999999068677</v>
      </c>
      <c r="S14" s="167"/>
      <c r="U14" s="432" t="s">
        <v>1420</v>
      </c>
      <c r="V14" s="639"/>
    </row>
    <row r="15" spans="1:22" ht="20.100000000000001" customHeight="1" x14ac:dyDescent="0.25">
      <c r="A15" s="175">
        <v>42044</v>
      </c>
      <c r="B15" s="199" t="s">
        <v>1316</v>
      </c>
      <c r="C15" s="155">
        <v>0</v>
      </c>
      <c r="D15" s="155">
        <v>0</v>
      </c>
      <c r="E15" s="530">
        <v>47557.81</v>
      </c>
      <c r="F15" s="277">
        <v>224525</v>
      </c>
      <c r="G15" s="155">
        <v>978064.8</v>
      </c>
      <c r="H15" s="298">
        <v>52017.270000000004</v>
      </c>
      <c r="I15" s="856">
        <v>53026.46</v>
      </c>
      <c r="J15" s="857">
        <v>54567.732799999998</v>
      </c>
      <c r="K15" s="857">
        <v>58702</v>
      </c>
      <c r="L15" s="167"/>
      <c r="M15" s="167"/>
      <c r="N15" s="167"/>
      <c r="O15" s="867">
        <v>58702.15</v>
      </c>
      <c r="P15" s="22"/>
      <c r="Q15" s="868">
        <v>58702</v>
      </c>
      <c r="R15"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0.15000000000145519</v>
      </c>
      <c r="S15" s="167"/>
      <c r="U15" s="432" t="s">
        <v>1421</v>
      </c>
      <c r="V15" s="639"/>
    </row>
    <row r="16" spans="1:22" ht="20.100000000000001" customHeight="1" x14ac:dyDescent="0.25">
      <c r="A16" s="175">
        <v>42045</v>
      </c>
      <c r="B16" s="199" t="s">
        <v>1317</v>
      </c>
      <c r="C16" s="155">
        <v>0</v>
      </c>
      <c r="D16" s="155">
        <v>0</v>
      </c>
      <c r="E16" s="530">
        <v>857519.25</v>
      </c>
      <c r="F16" s="277">
        <v>1542268</v>
      </c>
      <c r="G16" s="155">
        <v>273429</v>
      </c>
      <c r="H16" s="298">
        <v>950787.48</v>
      </c>
      <c r="I16" s="856">
        <v>967038.8</v>
      </c>
      <c r="J16" s="857">
        <v>980797.57440000016</v>
      </c>
      <c r="K16" s="857">
        <v>980798</v>
      </c>
      <c r="L16" s="167"/>
      <c r="M16" s="167"/>
      <c r="N16" s="167"/>
      <c r="O16" s="867"/>
      <c r="P16" s="22"/>
      <c r="Q16" s="868">
        <v>980798</v>
      </c>
      <c r="R16"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-980798</v>
      </c>
      <c r="S16" s="167"/>
      <c r="U16" s="432" t="s">
        <v>1422</v>
      </c>
      <c r="V16" s="639"/>
    </row>
    <row r="17" spans="1:26" ht="20.100000000000001" customHeight="1" x14ac:dyDescent="0.25">
      <c r="A17" s="175">
        <v>42046</v>
      </c>
      <c r="B17" s="199" t="s">
        <v>1318</v>
      </c>
      <c r="C17" s="155">
        <v>0</v>
      </c>
      <c r="D17" s="155">
        <v>0</v>
      </c>
      <c r="E17" s="530">
        <v>60881.53</v>
      </c>
      <c r="F17" s="277">
        <v>107415</v>
      </c>
      <c r="G17" s="155">
        <v>19085.53</v>
      </c>
      <c r="H17" s="298">
        <v>67542.28</v>
      </c>
      <c r="I17" s="856">
        <v>71988</v>
      </c>
      <c r="J17" s="857">
        <v>85286.745600000009</v>
      </c>
      <c r="K17" s="857">
        <v>85287</v>
      </c>
      <c r="L17" s="167"/>
      <c r="M17" s="167"/>
      <c r="N17" s="167"/>
      <c r="O17" s="867"/>
      <c r="P17" s="22"/>
      <c r="Q17" s="868">
        <v>85287</v>
      </c>
      <c r="R17"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-85287</v>
      </c>
      <c r="S17" s="167"/>
      <c r="U17" s="432" t="s">
        <v>1423</v>
      </c>
      <c r="V17" s="639"/>
    </row>
    <row r="18" spans="1:26" ht="20.100000000000001" customHeight="1" x14ac:dyDescent="0.25">
      <c r="A18" s="175">
        <v>42047</v>
      </c>
      <c r="B18" s="200" t="s">
        <v>1319</v>
      </c>
      <c r="C18" s="155">
        <v>0</v>
      </c>
      <c r="D18" s="155">
        <v>0</v>
      </c>
      <c r="E18" s="530">
        <v>0</v>
      </c>
      <c r="F18" s="532">
        <v>0</v>
      </c>
      <c r="G18" s="155">
        <v>0</v>
      </c>
      <c r="H18" s="298">
        <v>0</v>
      </c>
      <c r="I18" s="856">
        <v>0</v>
      </c>
      <c r="J18" s="857">
        <v>0</v>
      </c>
      <c r="K18" s="857">
        <v>0</v>
      </c>
      <c r="L18" s="167"/>
      <c r="M18" s="167"/>
      <c r="N18" s="167"/>
      <c r="O18" s="867"/>
      <c r="P18" s="22"/>
      <c r="Q18" s="868">
        <v>0</v>
      </c>
      <c r="R18"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0</v>
      </c>
      <c r="S18" s="255"/>
      <c r="U18" s="433"/>
      <c r="V18" s="639"/>
    </row>
    <row r="19" spans="1:26" ht="20.100000000000001" customHeight="1" x14ac:dyDescent="0.25">
      <c r="A19" s="153">
        <v>42121</v>
      </c>
      <c r="B19" s="154" t="s">
        <v>1320</v>
      </c>
      <c r="C19" s="155">
        <v>9914446.0199999996</v>
      </c>
      <c r="D19" s="196">
        <v>10310763.890000001</v>
      </c>
      <c r="E19" s="620">
        <v>10117016.59</v>
      </c>
      <c r="F19" s="621">
        <v>6631736</v>
      </c>
      <c r="G19" s="621">
        <v>0</v>
      </c>
      <c r="H19" s="298">
        <v>11227558.17</v>
      </c>
      <c r="I19" s="856">
        <v>11250738.1</v>
      </c>
      <c r="J19" s="857">
        <v>11552191.93</v>
      </c>
      <c r="K19" s="857">
        <v>11744920</v>
      </c>
      <c r="L19" s="167"/>
      <c r="M19" s="167"/>
      <c r="N19" s="167"/>
      <c r="O19" s="867"/>
      <c r="P19" s="22"/>
      <c r="Q19" s="868">
        <f>Table1573939143467598111210144527691011813151217181916456739108121315181954781091112131416151817212223242567891011121314151617181921222325578910111213141516171819202122113[[#This Row],[Projected]]</f>
        <v>11744920</v>
      </c>
      <c r="R19"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-11744920</v>
      </c>
      <c r="S19" s="167"/>
      <c r="U19" s="432" t="s">
        <v>1424</v>
      </c>
      <c r="V19" s="639"/>
    </row>
    <row r="20" spans="1:26" ht="20.100000000000001" customHeight="1" x14ac:dyDescent="0.25">
      <c r="A20" s="153">
        <v>42122</v>
      </c>
      <c r="B20" s="154" t="s">
        <v>1628</v>
      </c>
      <c r="C20" s="140"/>
      <c r="D20" s="533"/>
      <c r="E20" s="622"/>
      <c r="F20" s="622"/>
      <c r="G20" s="622"/>
      <c r="H20" s="858">
        <v>1560737.7</v>
      </c>
      <c r="I20" s="859"/>
      <c r="J20" s="859"/>
      <c r="K20" s="859"/>
      <c r="L20" s="167"/>
      <c r="M20" s="167"/>
      <c r="N20" s="167"/>
      <c r="O20" s="870"/>
      <c r="P20" s="174"/>
      <c r="Q20" s="870"/>
      <c r="R20"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0</v>
      </c>
      <c r="S20" s="167"/>
      <c r="U20" s="432" t="s">
        <v>1629</v>
      </c>
      <c r="V20" s="639"/>
    </row>
    <row r="21" spans="1:26" ht="23.45" customHeight="1" x14ac:dyDescent="0.25">
      <c r="A21" s="153">
        <v>42123</v>
      </c>
      <c r="B21" s="154" t="s">
        <v>1630</v>
      </c>
      <c r="C21" s="140"/>
      <c r="D21" s="533"/>
      <c r="E21" s="622"/>
      <c r="F21" s="622"/>
      <c r="G21" s="622"/>
      <c r="H21" s="858">
        <v>38033</v>
      </c>
      <c r="I21" s="860">
        <v>38911</v>
      </c>
      <c r="J21" s="860">
        <v>40441</v>
      </c>
      <c r="K21" s="860">
        <v>0</v>
      </c>
      <c r="L21" s="167"/>
      <c r="M21" s="167"/>
      <c r="N21" s="167"/>
      <c r="O21" s="867"/>
      <c r="P21" s="174"/>
      <c r="Q21" s="868">
        <v>0</v>
      </c>
      <c r="R21"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0</v>
      </c>
      <c r="S21" s="167"/>
      <c r="U21" s="432" t="s">
        <v>1631</v>
      </c>
      <c r="V21" s="639"/>
    </row>
    <row r="22" spans="1:26" ht="19.5" customHeight="1" x14ac:dyDescent="0.25">
      <c r="A22" s="153">
        <v>42124</v>
      </c>
      <c r="B22" s="538" t="s">
        <v>1679</v>
      </c>
      <c r="C22" s="140"/>
      <c r="D22" s="533"/>
      <c r="E22" s="622"/>
      <c r="F22" s="622"/>
      <c r="G22" s="622"/>
      <c r="H22" s="858">
        <v>371213.48</v>
      </c>
      <c r="I22" s="860">
        <v>506291.22</v>
      </c>
      <c r="J22" s="860">
        <v>478455.46</v>
      </c>
      <c r="K22" s="860">
        <v>0</v>
      </c>
      <c r="L22" s="167"/>
      <c r="M22" s="167"/>
      <c r="N22" s="167"/>
      <c r="O22" s="867"/>
      <c r="P22" s="174"/>
      <c r="Q22" s="868">
        <v>0</v>
      </c>
      <c r="R22"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0</v>
      </c>
      <c r="S22" s="167"/>
      <c r="U22" s="432" t="s">
        <v>1801</v>
      </c>
      <c r="V22" s="639"/>
    </row>
    <row r="23" spans="1:26" ht="20.100000000000001" customHeight="1" x14ac:dyDescent="0.25">
      <c r="A23" s="153">
        <v>42617</v>
      </c>
      <c r="B23" s="154" t="s">
        <v>1321</v>
      </c>
      <c r="C23" s="155">
        <v>4733062.0000000009</v>
      </c>
      <c r="D23" s="196">
        <v>4494100.13</v>
      </c>
      <c r="E23" s="530">
        <v>4877603.5599999996</v>
      </c>
      <c r="F23" s="277">
        <v>3213940.4</v>
      </c>
      <c r="G23" s="155">
        <v>0</v>
      </c>
      <c r="H23" s="298">
        <v>4946989.0599999996</v>
      </c>
      <c r="I23" s="861">
        <v>5033563.01</v>
      </c>
      <c r="J23" s="857">
        <v>5393860.29</v>
      </c>
      <c r="K23" s="857">
        <v>5475000</v>
      </c>
      <c r="L23" s="167"/>
      <c r="M23" s="167"/>
      <c r="N23" s="167"/>
      <c r="O23" s="867"/>
      <c r="P23" s="22"/>
      <c r="Q23" s="868">
        <f>Table1573939143467598111210144527691011813151217181916456739108121315181954781091112131416151817212223242567891011121314151617181921222325578910111213141516171819202122113[[#This Row],[Projected]]</f>
        <v>5475000</v>
      </c>
      <c r="R23"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-5475000</v>
      </c>
      <c r="S23" s="167"/>
      <c r="U23" s="432" t="s">
        <v>1425</v>
      </c>
      <c r="V23" s="639"/>
    </row>
    <row r="24" spans="1:26" ht="20.100000000000001" customHeight="1" x14ac:dyDescent="0.25">
      <c r="A24" s="153">
        <v>44619</v>
      </c>
      <c r="B24" s="154" t="s">
        <v>2139</v>
      </c>
      <c r="C24" s="155">
        <v>97735</v>
      </c>
      <c r="D24" s="196">
        <v>98395</v>
      </c>
      <c r="E24" s="530">
        <v>101425</v>
      </c>
      <c r="F24" s="277">
        <v>100347</v>
      </c>
      <c r="G24" s="155">
        <v>95046</v>
      </c>
      <c r="H24" s="298">
        <v>95362</v>
      </c>
      <c r="I24" s="861">
        <v>95833</v>
      </c>
      <c r="J24" s="857">
        <v>95480</v>
      </c>
      <c r="K24" s="857">
        <v>95480</v>
      </c>
      <c r="L24" s="167"/>
      <c r="M24" s="167"/>
      <c r="N24" s="167"/>
      <c r="O24" s="867"/>
      <c r="P24" s="22"/>
      <c r="Q24" s="868">
        <v>95480</v>
      </c>
      <c r="R24"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-95480</v>
      </c>
      <c r="S24" s="167"/>
      <c r="U24" s="432">
        <v>44619</v>
      </c>
      <c r="V24" s="639"/>
    </row>
    <row r="25" spans="1:26" ht="20.100000000000001" customHeight="1" thickBot="1" x14ac:dyDescent="0.3">
      <c r="A25" s="153">
        <v>44620</v>
      </c>
      <c r="B25" s="154" t="s">
        <v>2140</v>
      </c>
      <c r="C25" s="155">
        <v>162337</v>
      </c>
      <c r="D25" s="196">
        <v>157907</v>
      </c>
      <c r="E25" s="530">
        <v>156734</v>
      </c>
      <c r="F25" s="277">
        <v>149849</v>
      </c>
      <c r="G25" s="155">
        <v>140180</v>
      </c>
      <c r="H25" s="298">
        <v>126706</v>
      </c>
      <c r="I25" s="861">
        <v>109696</v>
      </c>
      <c r="J25" s="857">
        <v>113657</v>
      </c>
      <c r="K25" s="857">
        <v>113657</v>
      </c>
      <c r="L25" s="167"/>
      <c r="M25" s="167"/>
      <c r="N25" s="167"/>
      <c r="O25" s="867"/>
      <c r="P25" s="22"/>
      <c r="Q25" s="868">
        <v>113657</v>
      </c>
      <c r="R25" s="869">
        <f>Table1573939143467598111210144527691011813151217181916456739108121315181954781091112131416151817212223242567891011121314151617181921222325578910111213141516171819202122113[[#This Row],[MUNIS: REVENUE Year to Date]]-Table1573939143467598111210144527691011813151217181916456739108121315181954781091112131416151817212223242567891011121314151617181921222325578910111213141516171819202122113[[#This Row],[FORECAST]]</f>
        <v>-113657</v>
      </c>
      <c r="S25" s="167"/>
      <c r="U25" s="432">
        <v>44620</v>
      </c>
      <c r="V25" s="639"/>
      <c r="Z25" s="22"/>
    </row>
    <row r="26" spans="1:26" ht="32.1" customHeight="1" thickBot="1" x14ac:dyDescent="0.3">
      <c r="A26" s="168"/>
      <c r="B26" s="169" t="s">
        <v>1322</v>
      </c>
      <c r="C26" s="177"/>
      <c r="D26" s="177"/>
      <c r="E26" s="170">
        <v>1097736</v>
      </c>
      <c r="F26" s="469">
        <v>1811427.55</v>
      </c>
      <c r="G26" s="170">
        <v>7669222.4500000002</v>
      </c>
      <c r="H26" s="862">
        <v>0</v>
      </c>
      <c r="I26" s="863">
        <v>2219886.87</v>
      </c>
      <c r="J26" s="862">
        <v>4381149</v>
      </c>
      <c r="K26" s="862">
        <v>4675000</v>
      </c>
      <c r="L26" s="167"/>
      <c r="M26" s="167"/>
      <c r="N26" s="167"/>
      <c r="O26" s="862">
        <f>Table1573939143467598111210144527691011813151217181916456739108121315181954781091112131416151817212223242567891011121314151617181921222325578910111213141516171819202122113[[#This Row],[Projected]]</f>
        <v>4675000</v>
      </c>
      <c r="P26" s="22"/>
      <c r="Q26" s="862">
        <f>Table1573939143467598111210144527691011813151217181916456739108121315181954781091112131416151817212223242567891011121314151617181921222325578910111213141516171819202122113[[#This Row],[Projected]]</f>
        <v>4675000</v>
      </c>
      <c r="R26" s="862">
        <v>0</v>
      </c>
      <c r="S26" s="167"/>
      <c r="U26" s="639">
        <f>V28-Q28</f>
        <v>2941</v>
      </c>
      <c r="V26" s="639"/>
      <c r="W26" s="786">
        <v>25000613</v>
      </c>
      <c r="Y26" s="725">
        <f>W26-Q28</f>
        <v>0</v>
      </c>
    </row>
    <row r="27" spans="1:26" ht="23.1" customHeight="1" thickBot="1" x14ac:dyDescent="0.3">
      <c r="A27" s="112"/>
      <c r="B27" s="112"/>
      <c r="C27" s="112"/>
      <c r="D27" s="112"/>
      <c r="E27" s="174"/>
      <c r="F27" s="174"/>
      <c r="G27" s="174"/>
      <c r="H27" s="174"/>
      <c r="I27" s="174"/>
      <c r="J27" s="174"/>
      <c r="K27" s="174"/>
      <c r="L27" s="167"/>
      <c r="M27" s="167"/>
      <c r="N27" s="167"/>
      <c r="O27" s="167"/>
      <c r="Q27" s="299"/>
      <c r="R27" s="300"/>
      <c r="S27" s="167"/>
      <c r="U27" s="639"/>
      <c r="V27" s="639"/>
    </row>
    <row r="28" spans="1:26" ht="24" customHeight="1" thickBot="1" x14ac:dyDescent="0.3">
      <c r="A28" s="157" t="s">
        <v>1323</v>
      </c>
      <c r="B28" s="470" t="s">
        <v>1481</v>
      </c>
      <c r="C28" s="159">
        <f>SUM(C8:C27)</f>
        <v>15516169.550000001</v>
      </c>
      <c r="D28" s="159">
        <f>SUM(D8:D27)</f>
        <v>15582769.170000002</v>
      </c>
      <c r="E28" s="159">
        <f>SUM(E8:E27)</f>
        <v>18941755.5</v>
      </c>
      <c r="F28" s="159">
        <f>SUM(F8:F27)</f>
        <v>17051096.98</v>
      </c>
      <c r="G28" s="159">
        <f>SUM(G8:G27)</f>
        <v>19651673</v>
      </c>
      <c r="H28" s="864">
        <v>20431353</v>
      </c>
      <c r="I28" s="864">
        <f>SUM(I8:I27)</f>
        <v>22000683</v>
      </c>
      <c r="J28" s="864">
        <f>SUM(J8:J27)</f>
        <v>25000553.52</v>
      </c>
      <c r="K28" s="864">
        <f>SUM(K8:K27)</f>
        <v>25000613</v>
      </c>
      <c r="L28" s="167"/>
      <c r="M28" s="167"/>
      <c r="N28" s="167"/>
      <c r="O28" s="434">
        <f>SUM(O8:O27)</f>
        <v>5317974.6100000003</v>
      </c>
      <c r="P28" s="309"/>
      <c r="Q28" s="434">
        <f>SUM(Q8:Q27)</f>
        <v>25000613</v>
      </c>
      <c r="R28" s="300"/>
      <c r="S28" s="646"/>
      <c r="V28" s="561">
        <v>25003554</v>
      </c>
      <c r="W28" s="733">
        <f>Table1573939143467598111210144527691011813151217181916456739108121315181954781091112131416151817212223242567891011121314151617181921222325578910111213141516171819202122113[[#This Row],[FORECAST]]-Q30</f>
        <v>4675000</v>
      </c>
    </row>
    <row r="29" spans="1:26" ht="28.5" customHeight="1" thickBot="1" x14ac:dyDescent="0.3">
      <c r="A29" s="167"/>
      <c r="B29" s="167"/>
      <c r="C29" s="167"/>
      <c r="D29" s="167"/>
      <c r="E29" s="435">
        <f>E28-E26</f>
        <v>17844019.5</v>
      </c>
      <c r="F29" s="435">
        <f>F28-F26</f>
        <v>15239669.43</v>
      </c>
      <c r="G29" s="435">
        <f>G28-G26</f>
        <v>11982450.550000001</v>
      </c>
      <c r="H29" s="865">
        <v>21268190.939999998</v>
      </c>
      <c r="I29" s="866">
        <v>19780796.129999999</v>
      </c>
      <c r="J29" s="866">
        <v>20619405</v>
      </c>
      <c r="K29" s="866"/>
      <c r="L29" s="167"/>
      <c r="M29" s="167"/>
      <c r="N29" s="167"/>
      <c r="O29" s="436"/>
      <c r="P29" s="436"/>
      <c r="Q29" s="434">
        <f>W26-Q26</f>
        <v>20325613</v>
      </c>
      <c r="R29" s="534" t="s">
        <v>1680</v>
      </c>
      <c r="S29" s="535"/>
      <c r="V29" s="734" t="s">
        <v>2061</v>
      </c>
      <c r="W29" s="735" t="s">
        <v>1786</v>
      </c>
    </row>
    <row r="30" spans="1:26" ht="30.6" customHeight="1" thickBot="1" x14ac:dyDescent="0.3">
      <c r="A30" s="142"/>
      <c r="B30" s="145"/>
      <c r="C30" s="140"/>
      <c r="D30" s="140"/>
      <c r="E30" s="462" t="s">
        <v>1426</v>
      </c>
      <c r="F30" s="462" t="s">
        <v>1482</v>
      </c>
      <c r="G30" s="462" t="s">
        <v>1632</v>
      </c>
      <c r="H30" s="462" t="s">
        <v>1787</v>
      </c>
      <c r="I30" s="462" t="s">
        <v>1913</v>
      </c>
      <c r="J30" s="462" t="s">
        <v>2059</v>
      </c>
      <c r="K30" s="462"/>
      <c r="L30" s="178"/>
      <c r="M30" s="167"/>
      <c r="N30" s="167"/>
      <c r="O30" s="155"/>
      <c r="P30" s="140"/>
      <c r="Q30" s="696">
        <v>20325613</v>
      </c>
      <c r="R30" s="697" t="s">
        <v>2214</v>
      </c>
      <c r="S30" s="698"/>
      <c r="U30" s="541"/>
      <c r="V30" s="542"/>
      <c r="W30" s="543"/>
      <c r="X30" s="544"/>
      <c r="Y30" s="544"/>
    </row>
    <row r="31" spans="1:26" ht="22.5" customHeight="1" x14ac:dyDescent="0.25">
      <c r="A31" s="167"/>
      <c r="B31" s="167"/>
      <c r="C31" s="167"/>
      <c r="D31" s="167"/>
      <c r="E31" s="167"/>
      <c r="F31" s="167"/>
      <c r="G31" s="167"/>
      <c r="H31" s="167"/>
      <c r="I31" s="178"/>
      <c r="J31" s="167"/>
      <c r="K31" s="167"/>
      <c r="L31" s="167"/>
      <c r="M31" s="167"/>
      <c r="N31" s="167"/>
      <c r="O31" s="167"/>
      <c r="P31" s="167"/>
      <c r="Q31" s="299"/>
      <c r="R31" s="300"/>
      <c r="S31" s="167"/>
      <c r="U31" s="787"/>
      <c r="W31" s="175"/>
      <c r="X31" s="175"/>
      <c r="Y31" s="175"/>
    </row>
    <row r="32" spans="1:26" ht="19.5" customHeight="1" x14ac:dyDescent="0.25">
      <c r="B32"/>
      <c r="F32" s="167"/>
      <c r="G32" s="167"/>
      <c r="H32" s="167"/>
      <c r="I32" s="167"/>
      <c r="J32" s="167"/>
      <c r="K32" s="167"/>
      <c r="L32" s="180" t="s">
        <v>1324</v>
      </c>
      <c r="M32" s="180" t="s">
        <v>1324</v>
      </c>
      <c r="N32" s="180" t="s">
        <v>1324</v>
      </c>
      <c r="O32" s="180" t="s">
        <v>1324</v>
      </c>
      <c r="P32" s="180" t="s">
        <v>1324</v>
      </c>
      <c r="Q32" s="471"/>
      <c r="R32" s="301"/>
      <c r="S32" s="167"/>
      <c r="V32" s="801">
        <f>K26-Q26</f>
        <v>0</v>
      </c>
      <c r="W32" s="175"/>
      <c r="X32" s="175"/>
      <c r="Y32" s="175"/>
    </row>
    <row r="33" spans="1:25" ht="15.75" x14ac:dyDescent="0.25">
      <c r="A33" s="183" t="s">
        <v>1325</v>
      </c>
      <c r="B33" s="184"/>
      <c r="C33" s="185"/>
      <c r="D33" s="185"/>
      <c r="E33" s="185"/>
      <c r="F33" s="160"/>
      <c r="G33" s="160"/>
      <c r="H33" s="160"/>
      <c r="I33" s="160"/>
      <c r="J33" s="160"/>
      <c r="K33" s="160"/>
      <c r="L33" s="180" t="s">
        <v>1326</v>
      </c>
      <c r="M33" s="180" t="s">
        <v>1327</v>
      </c>
      <c r="N33" s="180" t="s">
        <v>211</v>
      </c>
      <c r="O33" s="180" t="s">
        <v>1328</v>
      </c>
      <c r="P33" s="190" t="s">
        <v>1329</v>
      </c>
      <c r="Q33" s="444" t="s">
        <v>100</v>
      </c>
      <c r="R33" s="437" t="s">
        <v>101</v>
      </c>
      <c r="S33" s="167"/>
      <c r="W33" s="175"/>
      <c r="X33" s="175"/>
      <c r="Y33" s="175"/>
    </row>
    <row r="34" spans="1:25" ht="29.45" customHeight="1" x14ac:dyDescent="0.25">
      <c r="A34" s="153" t="s">
        <v>249</v>
      </c>
      <c r="B34" s="154" t="s">
        <v>248</v>
      </c>
      <c r="C34" s="155">
        <v>4708140.5900000008</v>
      </c>
      <c r="D34" s="438">
        <v>4124419.9499999997</v>
      </c>
      <c r="E34" s="155">
        <v>4470140.0599999996</v>
      </c>
      <c r="F34" s="155">
        <v>4345046.6100000003</v>
      </c>
      <c r="G34" s="536">
        <v>3692062.83</v>
      </c>
      <c r="H34" s="623">
        <v>4396154.37</v>
      </c>
      <c r="I34" s="699">
        <v>4440878.4400000004</v>
      </c>
      <c r="J34" s="699">
        <v>4669200.82</v>
      </c>
      <c r="K34" s="699">
        <v>5077099.97</v>
      </c>
      <c r="L34" s="789">
        <v>0</v>
      </c>
      <c r="M34" s="789">
        <v>0</v>
      </c>
      <c r="N34" s="788">
        <v>1182102.2</v>
      </c>
      <c r="O34" s="715">
        <f t="shared" ref="O34:O42" si="0">SUM(L34:N34)</f>
        <v>1182102.2</v>
      </c>
      <c r="P34"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3894997.7699999996</v>
      </c>
      <c r="Q34" s="624">
        <f>Table1573939143467598111210144527691011813151217181916456739108121315181954781091112131416151817212223242567891011121314151617181921222325578910111213141516171819202122113[[#This Row],[MUNIS: REVENUE Year to Date]]+(18*165000)+150000+500000</f>
        <v>4802102.2</v>
      </c>
      <c r="R34"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-274997.76999999955</v>
      </c>
      <c r="S34" s="727"/>
      <c r="U34" s="153" t="str">
        <f>Table1573939143467598111210144527691011813151217181916456739108121315181954781091112131416151817212223242567891011121314151617181921222325578910111213141516171819202122113[[#This Row],[Code]]</f>
        <v>51000</v>
      </c>
      <c r="W34" s="175"/>
      <c r="X34" s="175"/>
      <c r="Y34" s="175"/>
    </row>
    <row r="35" spans="1:25" ht="20.100000000000001" customHeight="1" x14ac:dyDescent="0.25">
      <c r="A35" s="153" t="s">
        <v>251</v>
      </c>
      <c r="B35" s="154" t="s">
        <v>250</v>
      </c>
      <c r="C35" s="155">
        <v>711796.16</v>
      </c>
      <c r="D35" s="161">
        <v>946607.28</v>
      </c>
      <c r="E35" s="155">
        <v>715841.79</v>
      </c>
      <c r="F35" s="155">
        <v>607254.63</v>
      </c>
      <c r="G35" s="536">
        <v>655696.78</v>
      </c>
      <c r="H35" s="623">
        <v>789784.65</v>
      </c>
      <c r="I35" s="699">
        <v>871318.62</v>
      </c>
      <c r="J35" s="699">
        <v>852596.14</v>
      </c>
      <c r="K35" s="699">
        <v>1054074.9099999999</v>
      </c>
      <c r="L35" s="789">
        <v>0</v>
      </c>
      <c r="M35" s="789">
        <v>0</v>
      </c>
      <c r="N35" s="788">
        <v>171399.83</v>
      </c>
      <c r="O35" s="715">
        <f t="shared" si="0"/>
        <v>171399.83</v>
      </c>
      <c r="P35"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882675.08</v>
      </c>
      <c r="Q35" s="624">
        <f>Table1573939143467598111210144527691011813151217181916456739108121315181954781091112131416151817212223242567891011121314151617181921222325578910111213141516171819202122113[[#This Row],[MUNIS: REVENUE Year to Date]]+(16*50000)+60000</f>
        <v>1031399.83</v>
      </c>
      <c r="R35"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-22675.079999999958</v>
      </c>
      <c r="S35" s="727"/>
      <c r="U35" s="153" t="str">
        <f>Table1573939143467598111210144527691011813151217181916456739108121315181954781091112131416151817212223242567891011121314151617181921222325578910111213141516171819202122113[[#This Row],[Code]]</f>
        <v>51100</v>
      </c>
      <c r="W35" s="175"/>
      <c r="X35" s="175"/>
      <c r="Y35" s="175"/>
    </row>
    <row r="36" spans="1:25" ht="20.100000000000001" customHeight="1" x14ac:dyDescent="0.25">
      <c r="A36" s="153" t="s">
        <v>341</v>
      </c>
      <c r="B36" s="154" t="s">
        <v>340</v>
      </c>
      <c r="C36" s="155">
        <v>192669.68000000002</v>
      </c>
      <c r="D36" s="161">
        <v>186651.45</v>
      </c>
      <c r="E36" s="155">
        <v>205278.65</v>
      </c>
      <c r="F36" s="155">
        <v>164270.48000000001</v>
      </c>
      <c r="G36" s="536">
        <v>121976.85</v>
      </c>
      <c r="H36" s="623">
        <v>179400.81</v>
      </c>
      <c r="I36" s="699">
        <v>184587.28</v>
      </c>
      <c r="J36" s="699">
        <v>191731.48</v>
      </c>
      <c r="K36" s="699">
        <v>200000</v>
      </c>
      <c r="L36" s="789">
        <v>0</v>
      </c>
      <c r="M36" s="789">
        <v>0</v>
      </c>
      <c r="N36" s="788">
        <v>37520.33</v>
      </c>
      <c r="O36" s="715">
        <f t="shared" si="0"/>
        <v>37520.33</v>
      </c>
      <c r="P36"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162479.66999999998</v>
      </c>
      <c r="Q36" s="624">
        <v>200000</v>
      </c>
      <c r="R36"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36" s="727"/>
      <c r="U36" s="153" t="str">
        <f>Table1573939143467598111210144527691011813151217181916456739108121315181954781091112131416151817212223242567891011121314151617181921222325578910111213141516171819202122113[[#This Row],[Code]]</f>
        <v>51106</v>
      </c>
      <c r="W36" s="175"/>
      <c r="X36" s="175"/>
      <c r="Y36" s="175"/>
    </row>
    <row r="37" spans="1:25" ht="20.100000000000001" customHeight="1" x14ac:dyDescent="0.25">
      <c r="A37" s="153" t="s">
        <v>379</v>
      </c>
      <c r="B37" s="154" t="s">
        <v>378</v>
      </c>
      <c r="C37" s="155">
        <v>6989.2900000000009</v>
      </c>
      <c r="D37" s="156">
        <v>17742.830000000002</v>
      </c>
      <c r="E37" s="155">
        <v>21687.27</v>
      </c>
      <c r="F37" s="155">
        <v>15823.3</v>
      </c>
      <c r="G37" s="536">
        <v>7072.2</v>
      </c>
      <c r="H37" s="623">
        <v>24644.63</v>
      </c>
      <c r="I37" s="699">
        <v>18820.310000000001</v>
      </c>
      <c r="J37" s="699">
        <v>17891.04</v>
      </c>
      <c r="K37" s="699">
        <v>31346</v>
      </c>
      <c r="L37" s="789">
        <v>0</v>
      </c>
      <c r="M37" s="789">
        <v>0</v>
      </c>
      <c r="N37" s="788">
        <v>5792.44</v>
      </c>
      <c r="O37" s="715">
        <f t="shared" si="0"/>
        <v>5792.44</v>
      </c>
      <c r="P37"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25553.56</v>
      </c>
      <c r="Q37" s="624">
        <v>31346</v>
      </c>
      <c r="R37"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37" s="727"/>
      <c r="U37" s="153" t="str">
        <f>Table1573939143467598111210144527691011813151217181916456739108121315181954781091112131416151817212223242567891011121314151617181921222325578910111213141516171819202122113[[#This Row],[Code]]</f>
        <v>51108</v>
      </c>
      <c r="W37" s="175"/>
      <c r="X37" s="175"/>
      <c r="Y37" s="175"/>
    </row>
    <row r="38" spans="1:25" ht="20.100000000000001" customHeight="1" x14ac:dyDescent="0.25">
      <c r="A38" s="153" t="s">
        <v>916</v>
      </c>
      <c r="B38" s="154" t="s">
        <v>915</v>
      </c>
      <c r="C38" s="155">
        <v>0</v>
      </c>
      <c r="D38" s="156">
        <v>0</v>
      </c>
      <c r="E38" s="155">
        <v>0</v>
      </c>
      <c r="F38" s="472">
        <v>0.01</v>
      </c>
      <c r="G38" s="155">
        <v>0</v>
      </c>
      <c r="H38" s="623">
        <v>1375.19</v>
      </c>
      <c r="I38" s="699">
        <v>2828.23</v>
      </c>
      <c r="J38" s="699">
        <v>43.9</v>
      </c>
      <c r="K38" s="699">
        <v>1000</v>
      </c>
      <c r="L38" s="789">
        <v>0</v>
      </c>
      <c r="M38" s="789">
        <v>0</v>
      </c>
      <c r="N38" s="788">
        <v>108.54</v>
      </c>
      <c r="O38" s="715">
        <f t="shared" si="0"/>
        <v>108.54</v>
      </c>
      <c r="P38"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891.46</v>
      </c>
      <c r="Q38" s="624">
        <v>1000</v>
      </c>
      <c r="R38"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38" s="727"/>
      <c r="U38" s="153" t="str">
        <f>Table1573939143467598111210144527691011813151217181916456739108121315181954781091112131416151817212223242567891011121314151617181921222325578910111213141516171819202122113[[#This Row],[Code]]</f>
        <v>51116</v>
      </c>
      <c r="W38" s="175"/>
      <c r="X38" s="175"/>
      <c r="Y38" s="175"/>
    </row>
    <row r="39" spans="1:25" ht="20.100000000000001" customHeight="1" x14ac:dyDescent="0.25">
      <c r="A39" s="153">
        <v>51122</v>
      </c>
      <c r="B39" s="538" t="s">
        <v>380</v>
      </c>
      <c r="C39" s="140"/>
      <c r="D39" s="164"/>
      <c r="E39" s="155">
        <v>0</v>
      </c>
      <c r="F39" s="472">
        <v>0.01</v>
      </c>
      <c r="G39" s="155">
        <v>0</v>
      </c>
      <c r="H39" s="623">
        <v>46.05</v>
      </c>
      <c r="I39" s="699">
        <v>1282.24</v>
      </c>
      <c r="J39" s="699">
        <v>0</v>
      </c>
      <c r="K39" s="699">
        <v>1282</v>
      </c>
      <c r="L39" s="789">
        <v>0</v>
      </c>
      <c r="M39" s="789">
        <v>0</v>
      </c>
      <c r="N39" s="788">
        <v>486.9</v>
      </c>
      <c r="O39" s="715">
        <f t="shared" si="0"/>
        <v>486.9</v>
      </c>
      <c r="P39"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795.1</v>
      </c>
      <c r="Q39" s="624">
        <v>1282</v>
      </c>
      <c r="R39"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39" s="727"/>
      <c r="U39" s="153">
        <f>Table1573939143467598111210144527691011813151217181916456739108121315181954781091112131416151817212223242567891011121314151617181921222325578910111213141516171819202122113[[#This Row],[Code]]</f>
        <v>51122</v>
      </c>
      <c r="W39" s="175"/>
      <c r="X39" s="175"/>
      <c r="Y39" s="175"/>
    </row>
    <row r="40" spans="1:25" ht="20.100000000000001" customHeight="1" x14ac:dyDescent="0.25">
      <c r="A40" s="153" t="s">
        <v>946</v>
      </c>
      <c r="B40" s="154" t="s">
        <v>945</v>
      </c>
      <c r="C40" s="155">
        <v>0</v>
      </c>
      <c r="D40" s="156">
        <v>122.22</v>
      </c>
      <c r="E40" s="155">
        <v>0</v>
      </c>
      <c r="F40" s="472">
        <v>0.01</v>
      </c>
      <c r="G40" s="155">
        <v>0</v>
      </c>
      <c r="H40" s="623">
        <v>0</v>
      </c>
      <c r="I40" s="699">
        <v>0</v>
      </c>
      <c r="J40" s="699">
        <v>0</v>
      </c>
      <c r="K40" s="699">
        <v>1828</v>
      </c>
      <c r="L40" s="789">
        <v>0</v>
      </c>
      <c r="M40" s="789">
        <v>0</v>
      </c>
      <c r="N40" s="788">
        <v>0</v>
      </c>
      <c r="O40" s="715">
        <f t="shared" si="0"/>
        <v>0</v>
      </c>
      <c r="P40"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1828</v>
      </c>
      <c r="Q40" s="624">
        <v>1828</v>
      </c>
      <c r="R40"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0" s="727"/>
      <c r="U40" s="153" t="str">
        <f>Table1573939143467598111210144527691011813151217181916456739108121315181954781091112131416151817212223242567891011121314151617181921222325578910111213141516171819202122113[[#This Row],[Code]]</f>
        <v>51128</v>
      </c>
      <c r="W40" s="175"/>
      <c r="X40" s="175"/>
      <c r="Y40" s="175"/>
    </row>
    <row r="41" spans="1:25" ht="20.100000000000001" customHeight="1" x14ac:dyDescent="0.25">
      <c r="A41" s="153">
        <v>51138</v>
      </c>
      <c r="B41" s="538" t="s">
        <v>993</v>
      </c>
      <c r="C41" s="140"/>
      <c r="D41" s="164"/>
      <c r="E41" s="178"/>
      <c r="F41" s="637"/>
      <c r="G41" s="155"/>
      <c r="H41" s="623"/>
      <c r="I41" s="699"/>
      <c r="J41" s="699">
        <v>84.87</v>
      </c>
      <c r="K41" s="699">
        <v>1000</v>
      </c>
      <c r="L41" s="789">
        <v>0</v>
      </c>
      <c r="M41" s="789">
        <v>0</v>
      </c>
      <c r="N41" s="788">
        <v>25.91</v>
      </c>
      <c r="O41" s="715">
        <f t="shared" si="0"/>
        <v>25.91</v>
      </c>
      <c r="P41"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974.09</v>
      </c>
      <c r="Q41" s="624">
        <v>1000</v>
      </c>
      <c r="R41"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1" s="727"/>
      <c r="U41" s="153">
        <f>Table1573939143467598111210144527691011813151217181916456739108121315181954781091112131416151817212223242567891011121314151617181921222325578910111213141516171819202122113[[#This Row],[Code]]</f>
        <v>51138</v>
      </c>
      <c r="W41" s="175"/>
      <c r="X41" s="175"/>
      <c r="Y41" s="175"/>
    </row>
    <row r="42" spans="1:25" ht="20.100000000000001" customHeight="1" x14ac:dyDescent="0.25">
      <c r="A42" s="153" t="s">
        <v>258</v>
      </c>
      <c r="B42" s="154" t="s">
        <v>257</v>
      </c>
      <c r="C42" s="155">
        <v>112219.58</v>
      </c>
      <c r="D42" s="156">
        <v>111126.87</v>
      </c>
      <c r="E42" s="155">
        <v>88374</v>
      </c>
      <c r="F42" s="155">
        <v>82908.75</v>
      </c>
      <c r="G42" s="536">
        <v>78865</v>
      </c>
      <c r="H42" s="623">
        <v>75307.5</v>
      </c>
      <c r="I42" s="699">
        <v>65384.2</v>
      </c>
      <c r="J42" s="699">
        <v>72807.38</v>
      </c>
      <c r="K42" s="699">
        <v>82765</v>
      </c>
      <c r="L42" s="789">
        <v>0</v>
      </c>
      <c r="M42" s="789">
        <v>0</v>
      </c>
      <c r="N42" s="788">
        <v>61902.080000000002</v>
      </c>
      <c r="O42" s="715">
        <f t="shared" si="0"/>
        <v>61902.080000000002</v>
      </c>
      <c r="P42"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20862.919999999998</v>
      </c>
      <c r="Q42" s="624">
        <v>82765</v>
      </c>
      <c r="R42"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2" s="727"/>
      <c r="U42" s="153" t="str">
        <f>Table1573939143467598111210144527691011813151217181916456739108121315181954781091112131416151817212223242567891011121314151617181921222325578910111213141516171819202122113[[#This Row],[Code]]</f>
        <v>51140</v>
      </c>
      <c r="W42" s="175"/>
      <c r="X42" s="175"/>
      <c r="Y42" s="175"/>
    </row>
    <row r="43" spans="1:25" ht="53.25" customHeight="1" x14ac:dyDescent="0.25">
      <c r="A43" s="171">
        <v>51144</v>
      </c>
      <c r="B43" s="172" t="s">
        <v>1330</v>
      </c>
      <c r="C43" s="173">
        <v>0</v>
      </c>
      <c r="D43" s="173">
        <v>0</v>
      </c>
      <c r="E43" s="445">
        <f>E26</f>
        <v>1097736</v>
      </c>
      <c r="F43" s="445">
        <v>1811427.55</v>
      </c>
      <c r="G43" s="537">
        <v>7669221</v>
      </c>
      <c r="H43" s="626">
        <v>0</v>
      </c>
      <c r="I43" s="649">
        <v>2219886.92</v>
      </c>
      <c r="J43" s="649">
        <v>4381149</v>
      </c>
      <c r="K43" s="649">
        <v>4675000</v>
      </c>
      <c r="L43" s="791">
        <v>0</v>
      </c>
      <c r="M43" s="791">
        <v>0</v>
      </c>
      <c r="N43" s="790">
        <v>0</v>
      </c>
      <c r="O43" s="716">
        <v>0</v>
      </c>
      <c r="P43" s="717">
        <f>Table1573939143467598111210144527691011813151217181916456739108121315181954781091112131416151817212223242567891011121314151617181921222325578910111213141516171819202122113[[#This Row],[Projected]]</f>
        <v>4675000</v>
      </c>
      <c r="Q43" s="711">
        <f>Q26</f>
        <v>4675000</v>
      </c>
      <c r="R43"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3" s="727"/>
      <c r="U43" s="153">
        <f>Table1573939143467598111210144527691011813151217181916456739108121315181954781091112131416151817212223242567891011121314151617181921222325578910111213141516171819202122113[[#This Row],[Code]]</f>
        <v>51144</v>
      </c>
      <c r="W43" s="175"/>
      <c r="X43" s="175"/>
      <c r="Y43" s="175"/>
    </row>
    <row r="44" spans="1:25" ht="21.95" customHeight="1" x14ac:dyDescent="0.25">
      <c r="A44" s="153" t="s">
        <v>253</v>
      </c>
      <c r="B44" s="154" t="s">
        <v>252</v>
      </c>
      <c r="C44" s="155">
        <v>75802.430000000008</v>
      </c>
      <c r="D44" s="156">
        <v>108288.28</v>
      </c>
      <c r="E44" s="155">
        <v>179140.81</v>
      </c>
      <c r="F44" s="155">
        <v>42794.59</v>
      </c>
      <c r="G44" s="536">
        <v>65104.09</v>
      </c>
      <c r="H44" s="623">
        <v>68814.289999999994</v>
      </c>
      <c r="I44" s="648">
        <v>17795.400000000001</v>
      </c>
      <c r="J44" s="728">
        <v>25032.41</v>
      </c>
      <c r="K44" s="699">
        <v>175000</v>
      </c>
      <c r="L44" s="789">
        <v>0</v>
      </c>
      <c r="M44" s="789">
        <v>0</v>
      </c>
      <c r="N44" s="788">
        <v>21025.7</v>
      </c>
      <c r="O44" s="715">
        <f t="shared" ref="O44:O92" si="1">SUM(L44:N44)</f>
        <v>21025.7</v>
      </c>
      <c r="P44"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153974.29999999999</v>
      </c>
      <c r="Q44" s="624">
        <v>175000</v>
      </c>
      <c r="R44"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4" s="727"/>
      <c r="U44" s="153" t="str">
        <f>Table1573939143467598111210144527691011813151217181916456739108121315181954781091112131416151817212223242567891011121314151617181921222325578910111213141516171819202122113[[#This Row],[Code]]</f>
        <v>51154</v>
      </c>
      <c r="W44" s="175"/>
      <c r="X44" s="175"/>
      <c r="Y44" s="175"/>
    </row>
    <row r="45" spans="1:25" ht="20.100000000000001" customHeight="1" x14ac:dyDescent="0.25">
      <c r="A45" s="153" t="s">
        <v>798</v>
      </c>
      <c r="B45" s="154" t="s">
        <v>797</v>
      </c>
      <c r="C45" s="155">
        <v>17013</v>
      </c>
      <c r="D45" s="156">
        <v>19876.73</v>
      </c>
      <c r="E45" s="155">
        <v>17996.78</v>
      </c>
      <c r="F45" s="155">
        <v>12451.69</v>
      </c>
      <c r="G45" s="536">
        <v>13590.79</v>
      </c>
      <c r="H45" s="623">
        <v>25335.05</v>
      </c>
      <c r="I45" s="648">
        <v>2676.55</v>
      </c>
      <c r="J45" s="728">
        <v>11916.09</v>
      </c>
      <c r="K45" s="699">
        <v>30000</v>
      </c>
      <c r="L45" s="789">
        <v>0</v>
      </c>
      <c r="M45" s="789">
        <v>0</v>
      </c>
      <c r="N45" s="788">
        <v>0</v>
      </c>
      <c r="O45" s="715">
        <f t="shared" si="1"/>
        <v>0</v>
      </c>
      <c r="P45"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30000</v>
      </c>
      <c r="Q45" s="624">
        <v>30000</v>
      </c>
      <c r="R45"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5" s="727"/>
      <c r="U45" s="153" t="str">
        <f>Table1573939143467598111210144527691011813151217181916456739108121315181954781091112131416151817212223242567891011121314151617181921222325578910111213141516171819202122113[[#This Row],[Code]]</f>
        <v>51156</v>
      </c>
      <c r="W45" s="175"/>
      <c r="X45" s="175"/>
      <c r="Y45" s="175"/>
    </row>
    <row r="46" spans="1:25" ht="27" customHeight="1" x14ac:dyDescent="0.25">
      <c r="A46" s="153" t="s">
        <v>327</v>
      </c>
      <c r="B46" s="154" t="s">
        <v>326</v>
      </c>
      <c r="C46" s="155">
        <v>21790.07</v>
      </c>
      <c r="D46" s="156">
        <v>36440.269999999997</v>
      </c>
      <c r="E46" s="155">
        <v>36609.65</v>
      </c>
      <c r="F46" s="155">
        <v>10634.96</v>
      </c>
      <c r="G46" s="536">
        <v>24454.83</v>
      </c>
      <c r="H46" s="623">
        <v>10016.86</v>
      </c>
      <c r="I46" s="648">
        <v>6364.36</v>
      </c>
      <c r="J46" s="728">
        <v>20804.84</v>
      </c>
      <c r="K46" s="699">
        <v>35000</v>
      </c>
      <c r="L46" s="789">
        <v>0</v>
      </c>
      <c r="M46" s="789">
        <v>0</v>
      </c>
      <c r="N46" s="788">
        <v>13306.75</v>
      </c>
      <c r="O46" s="715">
        <f t="shared" si="1"/>
        <v>13306.75</v>
      </c>
      <c r="P46"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21693.25</v>
      </c>
      <c r="Q46" s="624">
        <v>35000</v>
      </c>
      <c r="R46"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6" s="727"/>
      <c r="U46" s="153" t="str">
        <f>Table1573939143467598111210144527691011813151217181916456739108121315181954781091112131416151817212223242567891011121314151617181921222325578910111213141516171819202122113[[#This Row],[Code]]</f>
        <v>51314</v>
      </c>
      <c r="W46" s="175"/>
      <c r="X46" s="175"/>
      <c r="Y46" s="175"/>
    </row>
    <row r="47" spans="1:25" ht="24.75" customHeight="1" x14ac:dyDescent="0.25">
      <c r="A47" s="153" t="s">
        <v>329</v>
      </c>
      <c r="B47" s="154" t="s">
        <v>328</v>
      </c>
      <c r="C47" s="155">
        <v>556.33000000000004</v>
      </c>
      <c r="D47" s="156">
        <v>582.24</v>
      </c>
      <c r="E47" s="155">
        <v>2994.46</v>
      </c>
      <c r="F47" s="155">
        <v>1628.86</v>
      </c>
      <c r="G47" s="536">
        <v>3541.76</v>
      </c>
      <c r="H47" s="623">
        <v>2563.3000000000002</v>
      </c>
      <c r="I47" s="648">
        <v>581.58000000000004</v>
      </c>
      <c r="J47" s="728">
        <v>1414.17</v>
      </c>
      <c r="K47" s="699">
        <v>3000</v>
      </c>
      <c r="L47" s="789">
        <v>0</v>
      </c>
      <c r="M47" s="789">
        <v>0</v>
      </c>
      <c r="N47" s="788">
        <v>1690.17</v>
      </c>
      <c r="O47" s="715">
        <f t="shared" si="1"/>
        <v>1690.17</v>
      </c>
      <c r="P47"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1309.83</v>
      </c>
      <c r="Q47" s="624">
        <v>3000</v>
      </c>
      <c r="R47"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7" s="727"/>
      <c r="U47" s="153" t="str">
        <f>Table1573939143467598111210144527691011813151217181916456739108121315181954781091112131416151817212223242567891011121314151617181921222325578910111213141516171819202122113[[#This Row],[Code]]</f>
        <v>51318</v>
      </c>
      <c r="W47" s="175"/>
      <c r="X47" s="175"/>
      <c r="Y47" s="175"/>
    </row>
    <row r="48" spans="1:25" ht="24" customHeight="1" x14ac:dyDescent="0.25">
      <c r="A48" s="296">
        <v>51324</v>
      </c>
      <c r="B48" s="297" t="s">
        <v>1374</v>
      </c>
      <c r="C48" s="156">
        <v>15282.47</v>
      </c>
      <c r="D48" s="156">
        <v>1140</v>
      </c>
      <c r="E48" s="155">
        <v>4050</v>
      </c>
      <c r="F48" s="155">
        <v>0</v>
      </c>
      <c r="G48" s="155">
        <v>0</v>
      </c>
      <c r="H48" s="294">
        <v>0</v>
      </c>
      <c r="I48" s="648">
        <v>0</v>
      </c>
      <c r="J48" s="728">
        <v>0</v>
      </c>
      <c r="K48" s="22"/>
      <c r="L48" s="139"/>
      <c r="M48" s="795"/>
      <c r="N48" s="139"/>
      <c r="O48" s="715">
        <f t="shared" si="1"/>
        <v>0</v>
      </c>
      <c r="P48"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48" s="624">
        <v>0</v>
      </c>
      <c r="R48"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8" s="727"/>
      <c r="U48" s="153">
        <f>Table1573939143467598111210144527691011813151217181916456739108121315181954781091112131416151817212223242567891011121314151617181921222325578910111213141516171819202122113[[#This Row],[Code]]</f>
        <v>51324</v>
      </c>
      <c r="W48" s="175"/>
      <c r="X48" s="175"/>
      <c r="Y48" s="175"/>
    </row>
    <row r="49" spans="1:25" ht="24" customHeight="1" x14ac:dyDescent="0.25">
      <c r="A49" s="296">
        <v>51400</v>
      </c>
      <c r="B49" s="297" t="s">
        <v>402</v>
      </c>
      <c r="C49" s="446"/>
      <c r="D49" s="446"/>
      <c r="E49" s="447"/>
      <c r="F49" s="155">
        <v>0</v>
      </c>
      <c r="G49" s="155">
        <v>0</v>
      </c>
      <c r="H49" s="294">
        <v>0</v>
      </c>
      <c r="I49" s="648">
        <v>0</v>
      </c>
      <c r="J49" s="728">
        <v>0</v>
      </c>
      <c r="K49" s="22"/>
      <c r="L49" s="788"/>
      <c r="M49" s="788"/>
      <c r="N49" s="788"/>
      <c r="O49" s="715">
        <f t="shared" si="1"/>
        <v>0</v>
      </c>
      <c r="P49"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49" s="624">
        <v>0</v>
      </c>
      <c r="R49"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49" s="727"/>
      <c r="U49" s="153">
        <f>Table1573939143467598111210144527691011813151217181916456739108121315181954781091112131416151817212223242567891011121314151617181921222325578910111213141516171819202122113[[#This Row],[Code]]</f>
        <v>51400</v>
      </c>
      <c r="W49" s="175"/>
      <c r="X49" s="175"/>
      <c r="Y49" s="175"/>
    </row>
    <row r="50" spans="1:25" ht="20.100000000000001" customHeight="1" x14ac:dyDescent="0.25">
      <c r="A50" s="153" t="s">
        <v>455</v>
      </c>
      <c r="B50" s="154" t="s">
        <v>454</v>
      </c>
      <c r="C50" s="155">
        <v>11040</v>
      </c>
      <c r="D50" s="156">
        <v>10080</v>
      </c>
      <c r="E50" s="155">
        <v>8460</v>
      </c>
      <c r="F50" s="155">
        <v>11202</v>
      </c>
      <c r="G50" s="536">
        <v>12768</v>
      </c>
      <c r="H50" s="623">
        <v>10536</v>
      </c>
      <c r="I50" s="648">
        <v>12584</v>
      </c>
      <c r="J50" s="728">
        <v>14971.32</v>
      </c>
      <c r="K50" s="699">
        <v>11584</v>
      </c>
      <c r="L50" s="789">
        <v>0</v>
      </c>
      <c r="M50" s="789">
        <v>0</v>
      </c>
      <c r="N50" s="788">
        <v>4250.2299999999996</v>
      </c>
      <c r="O50" s="715">
        <f t="shared" si="1"/>
        <v>4250.2299999999996</v>
      </c>
      <c r="P50"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7333.77</v>
      </c>
      <c r="Q50" s="624">
        <v>11584</v>
      </c>
      <c r="R50"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0" s="727"/>
      <c r="U50" s="153" t="str">
        <f>Table1573939143467598111210144527691011813151217181916456739108121315181954781091112131416151817212223242567891011121314151617181921222325578910111213141516171819202122113[[#This Row],[Code]]</f>
        <v>51404</v>
      </c>
      <c r="W50" s="175"/>
      <c r="X50" s="175"/>
      <c r="Y50" s="175"/>
    </row>
    <row r="51" spans="1:25" ht="20.100000000000001" customHeight="1" x14ac:dyDescent="0.25">
      <c r="A51" s="153" t="s">
        <v>1331</v>
      </c>
      <c r="B51" s="154" t="s">
        <v>1332</v>
      </c>
      <c r="C51" s="155">
        <v>9789.36</v>
      </c>
      <c r="D51" s="156">
        <v>9789.36</v>
      </c>
      <c r="E51" s="155">
        <v>9955.4699999999993</v>
      </c>
      <c r="F51" s="155">
        <v>11082</v>
      </c>
      <c r="G51" s="536">
        <v>11340</v>
      </c>
      <c r="H51" s="623">
        <v>11340</v>
      </c>
      <c r="I51" s="648">
        <v>9517.2199999999993</v>
      </c>
      <c r="J51" s="728">
        <v>9253.2000000000007</v>
      </c>
      <c r="K51" s="699">
        <v>11340</v>
      </c>
      <c r="L51" s="789">
        <v>0</v>
      </c>
      <c r="M51" s="789">
        <v>11340</v>
      </c>
      <c r="N51" s="788">
        <v>0</v>
      </c>
      <c r="O51" s="715">
        <f t="shared" si="1"/>
        <v>11340</v>
      </c>
      <c r="P51"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51" s="624">
        <v>11340</v>
      </c>
      <c r="R51"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1" s="727"/>
      <c r="U51" s="153" t="str">
        <f>Table1573939143467598111210144527691011813151217181916456739108121315181954781091112131416151817212223242567891011121314151617181921222325578910111213141516171819202122113[[#This Row],[Code]]</f>
        <v>52150</v>
      </c>
      <c r="W51" s="175"/>
      <c r="X51" s="175"/>
      <c r="Y51" s="175"/>
    </row>
    <row r="52" spans="1:25" ht="20.100000000000001" customHeight="1" x14ac:dyDescent="0.25">
      <c r="A52" s="175">
        <v>52258</v>
      </c>
      <c r="B52" s="139" t="s">
        <v>1333</v>
      </c>
      <c r="C52" s="448"/>
      <c r="D52" s="448"/>
      <c r="E52" s="155">
        <v>2000</v>
      </c>
      <c r="F52" s="155">
        <v>2000</v>
      </c>
      <c r="G52" s="536">
        <v>3000</v>
      </c>
      <c r="H52" s="623">
        <v>3500</v>
      </c>
      <c r="I52" s="648">
        <v>3500</v>
      </c>
      <c r="J52" s="728">
        <v>3500</v>
      </c>
      <c r="K52" s="699">
        <v>3500</v>
      </c>
      <c r="L52" s="789">
        <v>0</v>
      </c>
      <c r="M52" s="789">
        <v>0</v>
      </c>
      <c r="N52" s="788">
        <v>3500</v>
      </c>
      <c r="O52" s="715">
        <f t="shared" si="1"/>
        <v>3500</v>
      </c>
      <c r="P52"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52" s="624">
        <v>3500</v>
      </c>
      <c r="R52"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2" s="727"/>
      <c r="U52" s="153">
        <f>Table1573939143467598111210144527691011813151217181916456739108121315181954781091112131416151817212223242567891011121314151617181921222325578910111213141516171819202122113[[#This Row],[Code]]</f>
        <v>52258</v>
      </c>
      <c r="W52" s="175"/>
      <c r="X52" s="175"/>
      <c r="Y52" s="175"/>
    </row>
    <row r="53" spans="1:25" ht="20.100000000000001" customHeight="1" x14ac:dyDescent="0.25">
      <c r="A53" s="175">
        <v>52260</v>
      </c>
      <c r="B53" s="139" t="s">
        <v>1334</v>
      </c>
      <c r="C53" s="449"/>
      <c r="D53" s="449"/>
      <c r="E53" s="155">
        <v>3000</v>
      </c>
      <c r="F53" s="155">
        <v>3000</v>
      </c>
      <c r="G53" s="536">
        <v>3000</v>
      </c>
      <c r="H53" s="623">
        <v>3500</v>
      </c>
      <c r="I53" s="648">
        <v>3500</v>
      </c>
      <c r="J53" s="728">
        <v>3500</v>
      </c>
      <c r="K53" s="699">
        <v>3500</v>
      </c>
      <c r="L53" s="789">
        <v>0</v>
      </c>
      <c r="M53" s="789">
        <v>0</v>
      </c>
      <c r="N53" s="788">
        <v>3500</v>
      </c>
      <c r="O53" s="715">
        <f t="shared" si="1"/>
        <v>3500</v>
      </c>
      <c r="P53"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53" s="624">
        <v>3500</v>
      </c>
      <c r="R53"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3" s="727"/>
      <c r="U53" s="153">
        <f>Table1573939143467598111210144527691011813151217181916456739108121315181954781091112131416151817212223242567891011121314151617181921222325578910111213141516171819202122113[[#This Row],[Code]]</f>
        <v>52260</v>
      </c>
      <c r="W53" s="175"/>
      <c r="X53" s="175"/>
      <c r="Y53" s="175"/>
    </row>
    <row r="54" spans="1:25" ht="20.100000000000001" customHeight="1" x14ac:dyDescent="0.25">
      <c r="A54" s="175">
        <v>52262</v>
      </c>
      <c r="B54" s="139" t="s">
        <v>1335</v>
      </c>
      <c r="C54" s="449"/>
      <c r="D54" s="449"/>
      <c r="E54" s="155">
        <v>8500</v>
      </c>
      <c r="F54" s="155">
        <v>8500</v>
      </c>
      <c r="G54" s="536">
        <v>8500</v>
      </c>
      <c r="H54" s="623">
        <v>11000</v>
      </c>
      <c r="I54" s="648">
        <v>11275</v>
      </c>
      <c r="J54" s="728">
        <v>11275</v>
      </c>
      <c r="K54" s="699">
        <v>11275</v>
      </c>
      <c r="L54" s="789">
        <v>0</v>
      </c>
      <c r="M54" s="789">
        <v>0</v>
      </c>
      <c r="N54" s="788">
        <v>11275</v>
      </c>
      <c r="O54" s="715">
        <f t="shared" si="1"/>
        <v>11275</v>
      </c>
      <c r="P54"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54" s="624">
        <v>11275</v>
      </c>
      <c r="R54"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4" s="727"/>
      <c r="U54" s="153">
        <f>Table1573939143467598111210144527691011813151217181916456739108121315181954781091112131416151817212223242567891011121314151617181921222325578910111213141516171819202122113[[#This Row],[Code]]</f>
        <v>52262</v>
      </c>
      <c r="W54" s="175"/>
      <c r="X54" s="175"/>
      <c r="Y54" s="175"/>
    </row>
    <row r="55" spans="1:25" ht="21" customHeight="1" x14ac:dyDescent="0.25">
      <c r="A55" s="153" t="s">
        <v>1336</v>
      </c>
      <c r="B55" s="154" t="s">
        <v>1337</v>
      </c>
      <c r="C55" s="155">
        <v>354097.41</v>
      </c>
      <c r="D55" s="156">
        <v>250000</v>
      </c>
      <c r="E55" s="155">
        <v>250000</v>
      </c>
      <c r="F55" s="155">
        <v>250000</v>
      </c>
      <c r="G55" s="536">
        <v>236082.67</v>
      </c>
      <c r="H55" s="623">
        <v>250000</v>
      </c>
      <c r="I55" s="648">
        <v>250000</v>
      </c>
      <c r="J55" s="728">
        <v>250000</v>
      </c>
      <c r="K55" s="699">
        <v>250000</v>
      </c>
      <c r="L55" s="789">
        <v>0</v>
      </c>
      <c r="M55" s="789">
        <v>0</v>
      </c>
      <c r="N55" s="788">
        <v>250000</v>
      </c>
      <c r="O55" s="715">
        <f t="shared" si="1"/>
        <v>250000</v>
      </c>
      <c r="P55"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55" s="624">
        <v>250000</v>
      </c>
      <c r="R55"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5" s="727"/>
      <c r="U55" s="153" t="str">
        <f>Table1573939143467598111210144527691011813151217181916456739108121315181954781091112131416151817212223242567891011121314151617181921222325578910111213141516171819202122113[[#This Row],[Code]]</f>
        <v>52312</v>
      </c>
      <c r="W55" s="175"/>
      <c r="X55" s="175"/>
      <c r="Y55" s="175"/>
    </row>
    <row r="56" spans="1:25" ht="22.5" customHeight="1" x14ac:dyDescent="0.25">
      <c r="A56" s="153" t="s">
        <v>1338</v>
      </c>
      <c r="B56" s="154" t="s">
        <v>1339</v>
      </c>
      <c r="C56" s="155">
        <v>354097.41</v>
      </c>
      <c r="D56" s="156">
        <v>250000</v>
      </c>
      <c r="E56" s="155">
        <v>250000</v>
      </c>
      <c r="F56" s="155">
        <v>250000</v>
      </c>
      <c r="G56" s="536">
        <v>250000</v>
      </c>
      <c r="H56" s="623">
        <v>250000</v>
      </c>
      <c r="I56" s="648">
        <v>250000</v>
      </c>
      <c r="J56" s="728">
        <v>250000</v>
      </c>
      <c r="K56" s="699">
        <v>250000</v>
      </c>
      <c r="L56" s="789">
        <v>0</v>
      </c>
      <c r="M56" s="789">
        <v>0</v>
      </c>
      <c r="N56" s="788">
        <v>250000</v>
      </c>
      <c r="O56" s="715">
        <f t="shared" si="1"/>
        <v>250000</v>
      </c>
      <c r="P56"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56" s="624">
        <v>250000</v>
      </c>
      <c r="R56"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6" s="727"/>
      <c r="U56" s="153" t="str">
        <f>Table1573939143467598111210144527691011813151217181916456739108121315181954781091112131416151817212223242567891011121314151617181921222325578910111213141516171819202122113[[#This Row],[Code]]</f>
        <v>52314</v>
      </c>
      <c r="W56" s="175"/>
      <c r="X56" s="175"/>
      <c r="Y56" s="175"/>
    </row>
    <row r="57" spans="1:25" ht="21.6" customHeight="1" x14ac:dyDescent="0.25">
      <c r="A57" s="153" t="s">
        <v>255</v>
      </c>
      <c r="B57" s="154" t="s">
        <v>254</v>
      </c>
      <c r="C57" s="155">
        <v>69009.460000000006</v>
      </c>
      <c r="D57" s="156">
        <v>64398.67</v>
      </c>
      <c r="E57" s="155">
        <v>64336.18</v>
      </c>
      <c r="F57" s="155">
        <v>60467.34</v>
      </c>
      <c r="G57" s="536">
        <v>67742.42</v>
      </c>
      <c r="H57" s="623">
        <v>66730.899999999994</v>
      </c>
      <c r="I57" s="648">
        <v>70477.679999999993</v>
      </c>
      <c r="J57" s="728">
        <v>74373.14</v>
      </c>
      <c r="K57" s="699">
        <v>100000</v>
      </c>
      <c r="L57" s="789">
        <v>0</v>
      </c>
      <c r="M57" s="789">
        <v>0</v>
      </c>
      <c r="N57" s="788">
        <v>21416.76</v>
      </c>
      <c r="O57" s="715">
        <f t="shared" si="1"/>
        <v>21416.76</v>
      </c>
      <c r="P57"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78583.240000000005</v>
      </c>
      <c r="Q57" s="624">
        <v>100000</v>
      </c>
      <c r="R57"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7" s="727"/>
      <c r="U57" s="153" t="str">
        <f>Table1573939143467598111210144527691011813151217181916456739108121315181954781091112131416151817212223242567891011121314151617181921222325578910111213141516171819202122113[[#This Row],[Code]]</f>
        <v>52360</v>
      </c>
      <c r="W57" s="175"/>
      <c r="X57" s="175"/>
      <c r="Y57" s="175"/>
    </row>
    <row r="58" spans="1:25" ht="20.100000000000001" customHeight="1" x14ac:dyDescent="0.25">
      <c r="A58" s="153" t="s">
        <v>293</v>
      </c>
      <c r="B58" s="154" t="s">
        <v>292</v>
      </c>
      <c r="C58" s="155">
        <v>51854.029999999992</v>
      </c>
      <c r="D58" s="156">
        <v>47695.15</v>
      </c>
      <c r="E58" s="155">
        <v>53673</v>
      </c>
      <c r="F58" s="155">
        <v>43055.14</v>
      </c>
      <c r="G58" s="536">
        <v>46013.49</v>
      </c>
      <c r="H58" s="623">
        <v>68285.52</v>
      </c>
      <c r="I58" s="648">
        <v>71233.52</v>
      </c>
      <c r="J58" s="728">
        <v>67188.13</v>
      </c>
      <c r="K58" s="699">
        <v>80000</v>
      </c>
      <c r="L58" s="789">
        <v>0</v>
      </c>
      <c r="M58" s="789">
        <v>0</v>
      </c>
      <c r="N58" s="788">
        <v>16133.55</v>
      </c>
      <c r="O58" s="715">
        <f t="shared" si="1"/>
        <v>16133.55</v>
      </c>
      <c r="P58"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63866.45</v>
      </c>
      <c r="Q58" s="624">
        <v>80000</v>
      </c>
      <c r="R58"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8" s="727"/>
      <c r="U58" s="153" t="str">
        <f>Table1573939143467598111210144527691011813151217181916456739108121315181954781091112131416151817212223242567891011121314151617181921222325578910111213141516171819202122113[[#This Row],[Code]]</f>
        <v>52385</v>
      </c>
      <c r="W58" s="175"/>
      <c r="X58" s="175"/>
      <c r="Y58" s="175"/>
    </row>
    <row r="59" spans="1:25" ht="20.100000000000001" customHeight="1" x14ac:dyDescent="0.25">
      <c r="A59" s="153" t="s">
        <v>807</v>
      </c>
      <c r="B59" s="154" t="s">
        <v>806</v>
      </c>
      <c r="C59" s="155">
        <v>8890</v>
      </c>
      <c r="D59" s="156">
        <v>13531</v>
      </c>
      <c r="E59" s="155">
        <v>15141</v>
      </c>
      <c r="F59" s="155">
        <v>59789.279999999999</v>
      </c>
      <c r="G59" s="155">
        <v>0</v>
      </c>
      <c r="H59" s="623">
        <v>38327</v>
      </c>
      <c r="I59" s="648">
        <v>4796</v>
      </c>
      <c r="J59" s="728">
        <v>9765</v>
      </c>
      <c r="K59" s="699">
        <v>40000</v>
      </c>
      <c r="L59" s="789">
        <v>0</v>
      </c>
      <c r="M59" s="789">
        <v>0</v>
      </c>
      <c r="N59" s="788">
        <v>0</v>
      </c>
      <c r="O59" s="715">
        <f t="shared" si="1"/>
        <v>0</v>
      </c>
      <c r="P59"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40000</v>
      </c>
      <c r="Q59" s="624">
        <v>40000</v>
      </c>
      <c r="R59"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59" s="727"/>
      <c r="U59" s="153" t="str">
        <f>Table1573939143467598111210144527691011813151217181916456739108121315181954781091112131416151817212223242567891011121314151617181921222325578910111213141516171819202122113[[#This Row],[Code]]</f>
        <v>52397</v>
      </c>
      <c r="W59" s="175"/>
      <c r="X59" s="175"/>
      <c r="Y59" s="175"/>
    </row>
    <row r="60" spans="1:25" ht="20.100000000000001" customHeight="1" x14ac:dyDescent="0.25">
      <c r="A60" s="153" t="s">
        <v>948</v>
      </c>
      <c r="B60" s="154" t="s">
        <v>947</v>
      </c>
      <c r="C60" s="155">
        <v>34375</v>
      </c>
      <c r="D60" s="156">
        <v>29975</v>
      </c>
      <c r="E60" s="155">
        <v>28600</v>
      </c>
      <c r="F60" s="155">
        <v>29325</v>
      </c>
      <c r="G60" s="536">
        <v>27775</v>
      </c>
      <c r="H60" s="623">
        <v>27225</v>
      </c>
      <c r="I60" s="648">
        <v>26675</v>
      </c>
      <c r="J60" s="728">
        <v>34875</v>
      </c>
      <c r="K60" s="699">
        <v>36000</v>
      </c>
      <c r="L60" s="789">
        <v>0</v>
      </c>
      <c r="M60" s="789">
        <v>0</v>
      </c>
      <c r="N60" s="788">
        <v>30375</v>
      </c>
      <c r="O60" s="715">
        <f t="shared" si="1"/>
        <v>30375</v>
      </c>
      <c r="P60"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5625</v>
      </c>
      <c r="Q60" s="624">
        <v>36000</v>
      </c>
      <c r="R60"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0" s="727"/>
      <c r="U60" s="153" t="str">
        <f>Table1573939143467598111210144527691011813151217181916456739108121315181954781091112131416151817212223242567891011121314151617181921222325578910111213141516171819202122113[[#This Row],[Code]]</f>
        <v>52399</v>
      </c>
      <c r="W60" s="175"/>
      <c r="X60" s="175"/>
      <c r="Y60" s="175"/>
    </row>
    <row r="61" spans="1:25" ht="20.100000000000001" customHeight="1" x14ac:dyDescent="0.25">
      <c r="A61" s="153" t="s">
        <v>332</v>
      </c>
      <c r="B61" s="154" t="s">
        <v>331</v>
      </c>
      <c r="C61" s="155">
        <v>458665.47</v>
      </c>
      <c r="D61" s="156">
        <v>474639.58</v>
      </c>
      <c r="E61" s="155">
        <v>474339.67</v>
      </c>
      <c r="F61" s="155">
        <v>546566.68000000005</v>
      </c>
      <c r="G61" s="536">
        <v>713909.58</v>
      </c>
      <c r="H61" s="623">
        <v>722596.05</v>
      </c>
      <c r="I61" s="648">
        <v>813890.38</v>
      </c>
      <c r="J61" s="728">
        <v>835877.81</v>
      </c>
      <c r="K61" s="699">
        <v>950000</v>
      </c>
      <c r="L61" s="789">
        <v>0</v>
      </c>
      <c r="M61" s="789">
        <v>0</v>
      </c>
      <c r="N61" s="788">
        <v>244341.28</v>
      </c>
      <c r="O61" s="715">
        <f t="shared" si="1"/>
        <v>244341.28</v>
      </c>
      <c r="P61"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705658.72</v>
      </c>
      <c r="Q61" s="624">
        <v>950000</v>
      </c>
      <c r="R61"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1" s="647" t="s">
        <v>2215</v>
      </c>
      <c r="U61" s="153" t="str">
        <f>Table1573939143467598111210144527691011813151217181916456739108121315181954781091112131416151817212223242567891011121314151617181921222325578910111213141516171819202122113[[#This Row],[Code]]</f>
        <v>52504</v>
      </c>
      <c r="W61" s="175"/>
      <c r="X61" s="175"/>
      <c r="Y61" s="175"/>
    </row>
    <row r="62" spans="1:25" ht="48.95" customHeight="1" x14ac:dyDescent="0.25">
      <c r="A62" s="153" t="s">
        <v>260</v>
      </c>
      <c r="B62" s="154" t="s">
        <v>259</v>
      </c>
      <c r="C62" s="155">
        <v>1474526.9300000002</v>
      </c>
      <c r="D62" s="156">
        <v>1654427.32</v>
      </c>
      <c r="E62" s="155">
        <v>3125646</v>
      </c>
      <c r="F62" s="155">
        <v>2505842.65</v>
      </c>
      <c r="G62" s="536">
        <v>1987730.37</v>
      </c>
      <c r="H62" s="700">
        <v>7377593.6399999997</v>
      </c>
      <c r="I62" s="701">
        <v>2846624.02</v>
      </c>
      <c r="J62" s="792">
        <v>3542897.83</v>
      </c>
      <c r="K62" s="699">
        <v>1862978.76</v>
      </c>
      <c r="L62" s="789">
        <v>0</v>
      </c>
      <c r="M62" s="789">
        <v>0</v>
      </c>
      <c r="N62" s="788">
        <v>197609.74</v>
      </c>
      <c r="O62" s="715">
        <f t="shared" si="1"/>
        <v>197609.74</v>
      </c>
      <c r="P62"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1665369.02</v>
      </c>
      <c r="Q62" s="718">
        <v>2160652</v>
      </c>
      <c r="R62"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297673.24</v>
      </c>
      <c r="S62" s="730"/>
      <c r="U62" s="153" t="str">
        <f>Table1573939143467598111210144527691011813151217181916456739108121315181954781091112131416151817212223242567891011121314151617181921222325578910111213141516171819202122113[[#This Row],[Code]]</f>
        <v>52917</v>
      </c>
      <c r="W62" s="175"/>
      <c r="X62" s="175"/>
      <c r="Y62" s="175"/>
    </row>
    <row r="63" spans="1:25" ht="20.100000000000001" customHeight="1" x14ac:dyDescent="0.25">
      <c r="A63" s="153" t="s">
        <v>334</v>
      </c>
      <c r="B63" s="154" t="s">
        <v>333</v>
      </c>
      <c r="C63" s="155">
        <v>98875.01999999999</v>
      </c>
      <c r="D63" s="156">
        <v>86166.68</v>
      </c>
      <c r="E63" s="155">
        <v>72416.67</v>
      </c>
      <c r="F63" s="155">
        <v>95750.04</v>
      </c>
      <c r="G63" s="536">
        <v>114166.67</v>
      </c>
      <c r="H63" s="623">
        <v>124583.45</v>
      </c>
      <c r="I63" s="699">
        <v>127166.72</v>
      </c>
      <c r="J63" s="728">
        <v>127666.75</v>
      </c>
      <c r="K63" s="699">
        <v>124583</v>
      </c>
      <c r="L63" s="789">
        <v>0</v>
      </c>
      <c r="M63" s="789">
        <v>0</v>
      </c>
      <c r="N63" s="788">
        <v>666.68</v>
      </c>
      <c r="O63" s="715">
        <f t="shared" si="1"/>
        <v>666.68</v>
      </c>
      <c r="P63"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123916.32</v>
      </c>
      <c r="Q63" s="624">
        <v>124583</v>
      </c>
      <c r="R63"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3" s="727"/>
      <c r="U63" s="153" t="str">
        <f>Table1573939143467598111210144527691011813151217181916456739108121315181954781091112131416151817212223242567891011121314151617181921222325578910111213141516171819202122113[[#This Row],[Code]]</f>
        <v>52920</v>
      </c>
      <c r="W63" s="175"/>
      <c r="X63" s="175"/>
      <c r="Y63" s="175"/>
    </row>
    <row r="64" spans="1:25" ht="20.100000000000001" customHeight="1" x14ac:dyDescent="0.25">
      <c r="A64" s="153" t="s">
        <v>1043</v>
      </c>
      <c r="B64" s="154" t="s">
        <v>1042</v>
      </c>
      <c r="C64" s="155">
        <v>9484.2900000000009</v>
      </c>
      <c r="D64" s="156">
        <v>9006.93</v>
      </c>
      <c r="E64" s="155">
        <v>8455.5300000000007</v>
      </c>
      <c r="F64" s="155">
        <v>7892.82</v>
      </c>
      <c r="G64" s="536">
        <v>9387.7199999999993</v>
      </c>
      <c r="H64" s="623">
        <v>10548.67</v>
      </c>
      <c r="I64" s="699">
        <v>14012.33</v>
      </c>
      <c r="J64" s="728">
        <v>11486.1</v>
      </c>
      <c r="K64" s="699">
        <v>16686</v>
      </c>
      <c r="L64" s="789">
        <v>0</v>
      </c>
      <c r="M64" s="789">
        <v>11085.18</v>
      </c>
      <c r="N64" s="788">
        <v>4736.7</v>
      </c>
      <c r="O64" s="715">
        <f t="shared" si="1"/>
        <v>15821.880000000001</v>
      </c>
      <c r="P64"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864.11999999999898</v>
      </c>
      <c r="Q64" s="624">
        <v>16686</v>
      </c>
      <c r="R64"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4" s="727"/>
      <c r="U64" s="153" t="str">
        <f>Table1573939143467598111210144527691011813151217181916456739108121315181954781091112131416151817212223242567891011121314151617181921222325578910111213141516171819202122113[[#This Row],[Code]]</f>
        <v>53110</v>
      </c>
      <c r="W64" s="175"/>
      <c r="X64" s="175"/>
      <c r="Y64" s="175"/>
    </row>
    <row r="65" spans="1:25" ht="20.45" customHeight="1" x14ac:dyDescent="0.25">
      <c r="A65" s="153" t="s">
        <v>1045</v>
      </c>
      <c r="B65" s="154" t="s">
        <v>1044</v>
      </c>
      <c r="C65" s="155">
        <v>4970.1099999999997</v>
      </c>
      <c r="D65" s="156">
        <v>6545.45</v>
      </c>
      <c r="E65" s="155">
        <v>6836.75</v>
      </c>
      <c r="F65" s="155">
        <v>5469.42</v>
      </c>
      <c r="G65" s="536">
        <v>8416.41</v>
      </c>
      <c r="H65" s="623">
        <v>13262.87</v>
      </c>
      <c r="I65" s="699">
        <v>14287.97</v>
      </c>
      <c r="J65" s="728">
        <v>17232.599999999999</v>
      </c>
      <c r="K65" s="699">
        <v>15913.5</v>
      </c>
      <c r="L65" s="789">
        <v>0</v>
      </c>
      <c r="M65" s="789">
        <v>12080.92</v>
      </c>
      <c r="N65" s="788">
        <v>3832.58</v>
      </c>
      <c r="O65" s="715">
        <f t="shared" si="1"/>
        <v>15913.5</v>
      </c>
      <c r="P65"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65" s="624">
        <v>15913.5</v>
      </c>
      <c r="R65"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5" s="727"/>
      <c r="U65" s="153" t="str">
        <f>Table1573939143467598111210144527691011813151217181916456739108121315181954781091112131416151817212223242567891011121314151617181921222325578910111213141516171819202122113[[#This Row],[Code]]</f>
        <v>53120</v>
      </c>
      <c r="W65" s="175"/>
      <c r="X65" s="175"/>
      <c r="Y65" s="175"/>
    </row>
    <row r="66" spans="1:25" ht="20.100000000000001" customHeight="1" x14ac:dyDescent="0.25">
      <c r="A66" s="153" t="s">
        <v>1047</v>
      </c>
      <c r="B66" s="154" t="s">
        <v>1046</v>
      </c>
      <c r="C66" s="155">
        <v>183717.24000000002</v>
      </c>
      <c r="D66" s="156">
        <v>185046.39</v>
      </c>
      <c r="E66" s="155">
        <v>216048.27</v>
      </c>
      <c r="F66" s="155">
        <v>183097.38</v>
      </c>
      <c r="G66" s="536">
        <v>165176.56</v>
      </c>
      <c r="H66" s="623">
        <v>310374.32</v>
      </c>
      <c r="I66" s="699">
        <v>269629.78999999998</v>
      </c>
      <c r="J66" s="728">
        <v>303129.82</v>
      </c>
      <c r="K66" s="699">
        <v>377705.91</v>
      </c>
      <c r="L66" s="789">
        <v>0</v>
      </c>
      <c r="M66" s="789">
        <v>326701.78999999998</v>
      </c>
      <c r="N66" s="788">
        <v>51004.12</v>
      </c>
      <c r="O66" s="715">
        <f t="shared" si="1"/>
        <v>377705.91</v>
      </c>
      <c r="P66"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66" s="624">
        <v>377705.91</v>
      </c>
      <c r="R66"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6" s="727"/>
      <c r="U66" s="153" t="str">
        <f>Table1573939143467598111210144527691011813151217181916456739108121315181954781091112131416151817212223242567891011121314151617181921222325578910111213141516171819202122113[[#This Row],[Code]]</f>
        <v>53130</v>
      </c>
      <c r="W66" s="175"/>
      <c r="X66" s="175"/>
      <c r="Y66" s="175"/>
    </row>
    <row r="67" spans="1:25" ht="20.100000000000001" customHeight="1" x14ac:dyDescent="0.25">
      <c r="A67" s="153" t="s">
        <v>1049</v>
      </c>
      <c r="B67" s="154" t="s">
        <v>1048</v>
      </c>
      <c r="C67" s="155">
        <v>47376.7</v>
      </c>
      <c r="D67" s="156">
        <v>53496.84</v>
      </c>
      <c r="E67" s="155">
        <v>44679.56</v>
      </c>
      <c r="F67" s="155">
        <v>38499.4</v>
      </c>
      <c r="G67" s="536">
        <v>38437.96</v>
      </c>
      <c r="H67" s="623">
        <v>89595.25</v>
      </c>
      <c r="I67" s="699">
        <v>112508.82</v>
      </c>
      <c r="J67" s="728">
        <v>88894.37</v>
      </c>
      <c r="K67" s="699">
        <v>177984</v>
      </c>
      <c r="L67" s="789">
        <v>0</v>
      </c>
      <c r="M67" s="789">
        <v>174554.54</v>
      </c>
      <c r="N67" s="788">
        <v>3429.46</v>
      </c>
      <c r="O67" s="715">
        <f t="shared" si="1"/>
        <v>177984</v>
      </c>
      <c r="P67"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67" s="624">
        <v>177984</v>
      </c>
      <c r="R67"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7" s="727"/>
      <c r="U67" s="153" t="str">
        <f>Table1573939143467598111210144527691011813151217181916456739108121315181954781091112131416151817212223242567891011121314151617181921222325578910111213141516171819202122113[[#This Row],[Code]]</f>
        <v>53140</v>
      </c>
      <c r="W67" s="175"/>
      <c r="X67" s="175"/>
      <c r="Y67" s="175"/>
    </row>
    <row r="68" spans="1:25" ht="20.100000000000001" customHeight="1" x14ac:dyDescent="0.25">
      <c r="A68" s="153" t="s">
        <v>397</v>
      </c>
      <c r="B68" s="154" t="s">
        <v>396</v>
      </c>
      <c r="C68" s="155">
        <v>1841</v>
      </c>
      <c r="D68" s="156">
        <v>1741</v>
      </c>
      <c r="E68" s="155">
        <v>4750</v>
      </c>
      <c r="F68" s="155">
        <v>1897.53</v>
      </c>
      <c r="G68" s="536">
        <v>824.58</v>
      </c>
      <c r="H68" s="623">
        <v>371.55</v>
      </c>
      <c r="I68" s="699">
        <v>1328.5</v>
      </c>
      <c r="J68" s="728">
        <v>1444.76</v>
      </c>
      <c r="K68" s="699">
        <v>2000</v>
      </c>
      <c r="L68" s="789">
        <v>0</v>
      </c>
      <c r="M68" s="789">
        <v>0</v>
      </c>
      <c r="N68" s="788">
        <v>0</v>
      </c>
      <c r="O68" s="715">
        <f t="shared" si="1"/>
        <v>0</v>
      </c>
      <c r="P68"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2000</v>
      </c>
      <c r="Q68" s="624">
        <v>2000</v>
      </c>
      <c r="R68"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8" s="727"/>
      <c r="U68" s="153" t="str">
        <f>Table1573939143467598111210144527691011813151217181916456739108121315181954781091112131416151817212223242567891011121314151617181921222325578910111213141516171819202122113[[#This Row],[Code]]</f>
        <v>53605</v>
      </c>
      <c r="W68" s="175"/>
      <c r="X68" s="175"/>
      <c r="Y68" s="175"/>
    </row>
    <row r="69" spans="1:25" ht="20.100000000000001" customHeight="1" x14ac:dyDescent="0.25">
      <c r="A69" s="793">
        <v>53905</v>
      </c>
      <c r="B69" s="538" t="s">
        <v>864</v>
      </c>
      <c r="C69" s="140"/>
      <c r="D69" s="164"/>
      <c r="E69" s="178"/>
      <c r="F69" s="178"/>
      <c r="G69" s="536"/>
      <c r="H69" s="623"/>
      <c r="I69" s="699"/>
      <c r="J69" s="728"/>
      <c r="K69" s="699">
        <v>5850</v>
      </c>
      <c r="L69" s="789">
        <v>0</v>
      </c>
      <c r="M69" s="789">
        <v>0</v>
      </c>
      <c r="N69" s="788">
        <v>4694.7700000000004</v>
      </c>
      <c r="O69" s="715">
        <f t="shared" si="1"/>
        <v>4694.7700000000004</v>
      </c>
      <c r="P69"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1155.2299999999996</v>
      </c>
      <c r="Q69" s="624">
        <v>5850</v>
      </c>
      <c r="R69"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69" s="794"/>
      <c r="U69" s="153">
        <f>Table1573939143467598111210144527691011813151217181916456739108121315181954781091112131416151817212223242567891011121314151617181921222325578910111213141516171819202122113[[#This Row],[Code]]</f>
        <v>53905</v>
      </c>
      <c r="W69" s="175"/>
      <c r="X69" s="175"/>
      <c r="Y69" s="175"/>
    </row>
    <row r="70" spans="1:25" ht="19.5" customHeight="1" x14ac:dyDescent="0.25">
      <c r="A70" s="153" t="s">
        <v>1038</v>
      </c>
      <c r="B70" s="154" t="s">
        <v>1037</v>
      </c>
      <c r="C70" s="155">
        <v>10683.109999999999</v>
      </c>
      <c r="D70" s="156">
        <v>12275.06</v>
      </c>
      <c r="E70" s="155">
        <v>8662.2000000000007</v>
      </c>
      <c r="F70" s="155">
        <v>8860.57</v>
      </c>
      <c r="G70" s="536">
        <v>7556.7</v>
      </c>
      <c r="H70" s="623">
        <v>15750.74</v>
      </c>
      <c r="I70" s="699">
        <v>12484.36</v>
      </c>
      <c r="J70" s="728">
        <v>12445.06</v>
      </c>
      <c r="K70" s="699">
        <v>75000</v>
      </c>
      <c r="L70" s="789">
        <v>0</v>
      </c>
      <c r="M70" s="789">
        <v>0</v>
      </c>
      <c r="N70" s="788">
        <v>0</v>
      </c>
      <c r="O70" s="715">
        <f t="shared" si="1"/>
        <v>0</v>
      </c>
      <c r="P70"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75000</v>
      </c>
      <c r="Q70" s="624">
        <v>75000</v>
      </c>
      <c r="R70"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0" s="727"/>
      <c r="U70" s="153" t="str">
        <f>Table1573939143467598111210144527691011813151217181916456739108121315181954781091112131416151817212223242567891011121314151617181921222325578910111213141516171819202122113[[#This Row],[Code]]</f>
        <v>54545</v>
      </c>
      <c r="W70" s="175"/>
      <c r="X70" s="175"/>
      <c r="Y70" s="175"/>
    </row>
    <row r="71" spans="1:25" ht="20.100000000000001" customHeight="1" x14ac:dyDescent="0.25">
      <c r="A71" s="153" t="s">
        <v>759</v>
      </c>
      <c r="B71" s="154" t="s">
        <v>758</v>
      </c>
      <c r="C71" s="155">
        <v>652.99</v>
      </c>
      <c r="D71" s="156">
        <v>365</v>
      </c>
      <c r="E71" s="155">
        <v>0</v>
      </c>
      <c r="F71" s="155">
        <v>0</v>
      </c>
      <c r="G71" s="155">
        <v>0</v>
      </c>
      <c r="H71" s="294">
        <v>0</v>
      </c>
      <c r="I71" s="699">
        <v>0</v>
      </c>
      <c r="J71" s="728">
        <v>0</v>
      </c>
      <c r="K71" s="22"/>
      <c r="L71" s="788"/>
      <c r="M71" s="788"/>
      <c r="N71" s="788"/>
      <c r="O71" s="715">
        <f t="shared" si="1"/>
        <v>0</v>
      </c>
      <c r="P71"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71" s="624">
        <v>0</v>
      </c>
      <c r="R71"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1" s="727"/>
      <c r="U71" s="153" t="str">
        <f>Table1573939143467598111210144527691011813151217181916456739108121315181954781091112131416151817212223242567891011121314151617181921222325578910111213141516171819202122113[[#This Row],[Code]]</f>
        <v>54555</v>
      </c>
      <c r="W71" s="175"/>
      <c r="X71" s="175"/>
      <c r="Y71" s="175"/>
    </row>
    <row r="72" spans="1:25" ht="32.450000000000003" customHeight="1" x14ac:dyDescent="0.25">
      <c r="A72" s="153" t="s">
        <v>1340</v>
      </c>
      <c r="B72" s="154" t="s">
        <v>1341</v>
      </c>
      <c r="C72" s="155">
        <v>5626895.5700000012</v>
      </c>
      <c r="D72" s="156">
        <v>5809911.1799999997</v>
      </c>
      <c r="E72" s="155">
        <v>6258796</v>
      </c>
      <c r="F72" s="155">
        <v>4874818.16</v>
      </c>
      <c r="G72" s="536">
        <v>3162180.34</v>
      </c>
      <c r="H72" s="623">
        <v>5146099.0199999996</v>
      </c>
      <c r="I72" s="648">
        <v>6251393.4699999997</v>
      </c>
      <c r="J72" s="728">
        <v>7683524.6100000003</v>
      </c>
      <c r="K72" s="699">
        <v>6620363.7199999997</v>
      </c>
      <c r="L72" s="789">
        <v>0</v>
      </c>
      <c r="M72" s="789">
        <v>2501310.9</v>
      </c>
      <c r="N72" s="788">
        <v>1635404.05</v>
      </c>
      <c r="O72" s="715">
        <f t="shared" si="1"/>
        <v>4136714.95</v>
      </c>
      <c r="P72"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2483648.7699999996</v>
      </c>
      <c r="Q72" s="624">
        <f>Table1573939143467598111210144527691011813151217181916456739108121315181954781091112131416151817212223242567891011121314151617181921222325578910111213141516171819202122113[[#This Row],[Projected]]</f>
        <v>6620363.7199999997</v>
      </c>
      <c r="R72"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2" s="727"/>
      <c r="U72" s="153" t="str">
        <f>Table1573939143467598111210144527691011813151217181916456739108121315181954781091112131416151817212223242567891011121314151617181921222325578910111213141516171819202122113[[#This Row],[Code]]</f>
        <v>54595</v>
      </c>
      <c r="W72" s="175"/>
      <c r="X72" s="175"/>
      <c r="Y72" s="175"/>
    </row>
    <row r="73" spans="1:25" ht="20.100000000000001" customHeight="1" x14ac:dyDescent="0.25">
      <c r="A73" s="153" t="s">
        <v>1342</v>
      </c>
      <c r="B73" s="154" t="s">
        <v>1343</v>
      </c>
      <c r="C73" s="155">
        <v>499131.11</v>
      </c>
      <c r="D73" s="156">
        <v>600329.18999999994</v>
      </c>
      <c r="E73" s="155">
        <v>620962.63</v>
      </c>
      <c r="F73" s="155">
        <v>479815.66</v>
      </c>
      <c r="G73" s="536">
        <v>144791.23000000001</v>
      </c>
      <c r="H73" s="623">
        <v>538705.97</v>
      </c>
      <c r="I73" s="648">
        <v>627046.17000000004</v>
      </c>
      <c r="J73" s="728">
        <v>1130481.8700000001</v>
      </c>
      <c r="K73" s="699">
        <v>972038.86</v>
      </c>
      <c r="L73" s="789">
        <v>0</v>
      </c>
      <c r="M73" s="789">
        <v>448573.08</v>
      </c>
      <c r="N73" s="788">
        <v>175756.73</v>
      </c>
      <c r="O73" s="715">
        <f t="shared" si="1"/>
        <v>624329.81000000006</v>
      </c>
      <c r="P73"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347709.04999999993</v>
      </c>
      <c r="Q73" s="624">
        <v>972038.86</v>
      </c>
      <c r="R73"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3" s="727"/>
      <c r="U73" s="153" t="str">
        <f>Table1573939143467598111210144527691011813151217181916456739108121315181954781091112131416151817212223242567891011121314151617181921222325578910111213141516171819202122113[[#This Row],[Code]]</f>
        <v>54600</v>
      </c>
      <c r="W73" s="175"/>
      <c r="X73" s="175"/>
      <c r="Y73" s="175"/>
    </row>
    <row r="74" spans="1:25" ht="21" customHeight="1" x14ac:dyDescent="0.25">
      <c r="A74" s="153" t="s">
        <v>761</v>
      </c>
      <c r="B74" s="154" t="s">
        <v>760</v>
      </c>
      <c r="C74" s="155">
        <v>8140.02</v>
      </c>
      <c r="D74" s="156">
        <v>8949.3700000000008</v>
      </c>
      <c r="E74" s="155">
        <v>8400.32</v>
      </c>
      <c r="F74" s="155">
        <v>7450.43</v>
      </c>
      <c r="G74" s="536">
        <v>8147.86</v>
      </c>
      <c r="H74" s="623">
        <v>10145.93</v>
      </c>
      <c r="I74" s="699">
        <v>16142.59</v>
      </c>
      <c r="J74" s="728">
        <v>17199.55</v>
      </c>
      <c r="K74" s="699">
        <v>23475</v>
      </c>
      <c r="L74" s="789">
        <v>0</v>
      </c>
      <c r="M74" s="789">
        <v>0</v>
      </c>
      <c r="N74" s="788">
        <v>4504.03</v>
      </c>
      <c r="O74" s="715">
        <f t="shared" si="1"/>
        <v>4504.03</v>
      </c>
      <c r="P74"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18970.97</v>
      </c>
      <c r="Q74" s="624">
        <v>23475</v>
      </c>
      <c r="R74"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4" s="727"/>
      <c r="U74" s="153" t="str">
        <f>Table1573939143467598111210144527691011813151217181916456739108121315181954781091112131416151817212223242567891011121314151617181921222325578910111213141516171819202122113[[#This Row],[Code]]</f>
        <v>54615</v>
      </c>
      <c r="W74" s="175"/>
      <c r="X74" s="175"/>
      <c r="Y74" s="175"/>
    </row>
    <row r="75" spans="1:25" ht="21" customHeight="1" x14ac:dyDescent="0.25">
      <c r="A75" s="153">
        <v>54620</v>
      </c>
      <c r="B75" s="154" t="s">
        <v>1050</v>
      </c>
      <c r="C75" s="176"/>
      <c r="D75" s="298"/>
      <c r="E75" s="155">
        <v>599.86</v>
      </c>
      <c r="F75" s="155">
        <v>368.34</v>
      </c>
      <c r="G75" s="155">
        <v>0</v>
      </c>
      <c r="H75" s="623">
        <v>0</v>
      </c>
      <c r="I75" s="699">
        <v>0</v>
      </c>
      <c r="J75" s="728">
        <v>0</v>
      </c>
      <c r="K75" s="699">
        <v>600</v>
      </c>
      <c r="L75" s="789">
        <v>0</v>
      </c>
      <c r="M75" s="789">
        <v>0</v>
      </c>
      <c r="N75" s="788">
        <v>0</v>
      </c>
      <c r="O75" s="715">
        <f t="shared" si="1"/>
        <v>0</v>
      </c>
      <c r="P75"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600</v>
      </c>
      <c r="Q75" s="624">
        <v>600</v>
      </c>
      <c r="R75"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5" s="727"/>
      <c r="U75" s="153">
        <f>Table1573939143467598111210144527691011813151217181916456739108121315181954781091112131416151817212223242567891011121314151617181921222325578910111213141516171819202122113[[#This Row],[Code]]</f>
        <v>54620</v>
      </c>
      <c r="W75" s="175"/>
      <c r="X75" s="175"/>
      <c r="Y75" s="175"/>
    </row>
    <row r="76" spans="1:25" ht="20.100000000000001" customHeight="1" x14ac:dyDescent="0.25">
      <c r="A76" s="153" t="s">
        <v>674</v>
      </c>
      <c r="B76" s="154" t="s">
        <v>673</v>
      </c>
      <c r="C76" s="176">
        <v>12498.17</v>
      </c>
      <c r="D76" s="298">
        <v>15891.35</v>
      </c>
      <c r="E76" s="155">
        <v>5970.03</v>
      </c>
      <c r="F76" s="155">
        <v>2249.96</v>
      </c>
      <c r="G76" s="536">
        <v>743.07</v>
      </c>
      <c r="H76" s="623">
        <v>3546.27</v>
      </c>
      <c r="I76" s="699">
        <v>3526.57</v>
      </c>
      <c r="J76" s="726">
        <v>4471.03</v>
      </c>
      <c r="K76" s="699">
        <v>4500</v>
      </c>
      <c r="L76" s="789">
        <v>0</v>
      </c>
      <c r="M76" s="789">
        <v>1650.12</v>
      </c>
      <c r="N76" s="788">
        <v>204.14</v>
      </c>
      <c r="O76" s="715">
        <f t="shared" si="1"/>
        <v>1854.2599999999998</v>
      </c>
      <c r="P76"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2645.7400000000002</v>
      </c>
      <c r="Q76" s="624">
        <v>4500</v>
      </c>
      <c r="R76"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6" s="727"/>
      <c r="U76" s="153" t="str">
        <f>Table1573939143467598111210144527691011813151217181916456739108121315181954781091112131416151817212223242567891011121314151617181921222325578910111213141516171819202122113[[#This Row],[Code]]</f>
        <v>54640</v>
      </c>
      <c r="W76" s="175"/>
      <c r="X76" s="175"/>
      <c r="Y76" s="175"/>
    </row>
    <row r="77" spans="1:25" ht="20.100000000000001" customHeight="1" x14ac:dyDescent="0.25">
      <c r="A77" s="153" t="s">
        <v>763</v>
      </c>
      <c r="B77" s="154" t="s">
        <v>762</v>
      </c>
      <c r="C77" s="176">
        <v>2400</v>
      </c>
      <c r="D77" s="298">
        <v>2400</v>
      </c>
      <c r="E77" s="155">
        <v>2400</v>
      </c>
      <c r="F77" s="155">
        <v>2400</v>
      </c>
      <c r="G77" s="536">
        <v>2400</v>
      </c>
      <c r="H77" s="623">
        <v>2400</v>
      </c>
      <c r="I77" s="699">
        <v>2400</v>
      </c>
      <c r="J77" s="729">
        <v>2400</v>
      </c>
      <c r="K77" s="699">
        <v>2400</v>
      </c>
      <c r="L77" s="789">
        <v>0</v>
      </c>
      <c r="M77" s="789">
        <v>0</v>
      </c>
      <c r="N77" s="788">
        <v>800</v>
      </c>
      <c r="O77" s="715">
        <f t="shared" si="1"/>
        <v>800</v>
      </c>
      <c r="P77"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1600</v>
      </c>
      <c r="Q77" s="624">
        <v>2400</v>
      </c>
      <c r="R77"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7" s="727"/>
      <c r="U77" s="153" t="str">
        <f>Table1573939143467598111210144527691011813151217181916456739108121315181954781091112131416151817212223242567891011121314151617181921222325578910111213141516171819202122113[[#This Row],[Code]]</f>
        <v>54645</v>
      </c>
      <c r="W77" s="175"/>
      <c r="X77" s="175"/>
      <c r="Y77" s="175"/>
    </row>
    <row r="78" spans="1:25" ht="18.95" customHeight="1" x14ac:dyDescent="0.25">
      <c r="A78" s="153" t="s">
        <v>373</v>
      </c>
      <c r="B78" s="154" t="s">
        <v>372</v>
      </c>
      <c r="C78" s="176">
        <v>6911.91</v>
      </c>
      <c r="D78" s="298">
        <v>8051.24</v>
      </c>
      <c r="E78" s="155">
        <v>5784.54</v>
      </c>
      <c r="F78" s="155">
        <v>4153.26</v>
      </c>
      <c r="G78" s="536">
        <v>2709.85</v>
      </c>
      <c r="H78" s="623">
        <v>8273.33</v>
      </c>
      <c r="I78" s="699">
        <v>3147.75</v>
      </c>
      <c r="J78" s="726">
        <v>9064.9699999999993</v>
      </c>
      <c r="K78" s="699">
        <v>10450</v>
      </c>
      <c r="L78" s="789">
        <v>0</v>
      </c>
      <c r="M78" s="789">
        <v>1136.18</v>
      </c>
      <c r="N78" s="788">
        <v>8304.94</v>
      </c>
      <c r="O78" s="715">
        <f t="shared" si="1"/>
        <v>9441.1200000000008</v>
      </c>
      <c r="P78"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1008.8799999999992</v>
      </c>
      <c r="Q78" s="624">
        <v>10450</v>
      </c>
      <c r="R78"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8" s="727"/>
      <c r="U78" s="153" t="str">
        <f>Table1573939143467598111210144527691011813151217181916456739108121315181954781091112131416151817212223242567891011121314151617181921222325578910111213141516171819202122113[[#This Row],[Code]]</f>
        <v>54675</v>
      </c>
      <c r="W78" s="175"/>
      <c r="X78" s="175"/>
      <c r="Y78" s="175"/>
    </row>
    <row r="79" spans="1:25" ht="19.5" customHeight="1" x14ac:dyDescent="0.25">
      <c r="A79" s="153">
        <v>54680</v>
      </c>
      <c r="B79" s="154" t="s">
        <v>765</v>
      </c>
      <c r="C79" s="140"/>
      <c r="D79" s="164"/>
      <c r="E79" s="178">
        <v>0</v>
      </c>
      <c r="F79" s="178">
        <v>0</v>
      </c>
      <c r="G79" s="155">
        <v>0</v>
      </c>
      <c r="H79" s="294">
        <v>0</v>
      </c>
      <c r="I79" s="699">
        <v>0</v>
      </c>
      <c r="J79" s="179">
        <v>0</v>
      </c>
      <c r="K79" s="22"/>
      <c r="L79" s="788"/>
      <c r="M79" s="788"/>
      <c r="N79" s="788"/>
      <c r="O79" s="715">
        <f t="shared" si="1"/>
        <v>0</v>
      </c>
      <c r="P79"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79" s="624">
        <v>0</v>
      </c>
      <c r="R79"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79" s="727"/>
      <c r="U79" s="153">
        <f>Table1573939143467598111210144527691011813151217181916456739108121315181954781091112131416151817212223242567891011121314151617181921222325578910111213141516171819202122113[[#This Row],[Code]]</f>
        <v>54680</v>
      </c>
      <c r="W79" s="175"/>
      <c r="X79" s="175"/>
      <c r="Y79" s="175"/>
    </row>
    <row r="80" spans="1:25" ht="20.100000000000001" customHeight="1" x14ac:dyDescent="0.25">
      <c r="A80" s="153" t="s">
        <v>784</v>
      </c>
      <c r="B80" s="154" t="s">
        <v>783</v>
      </c>
      <c r="C80" s="155">
        <v>7959.3799999999992</v>
      </c>
      <c r="D80" s="156">
        <v>6336.12</v>
      </c>
      <c r="E80" s="155">
        <v>6936.29</v>
      </c>
      <c r="F80" s="155">
        <v>10338.200000000001</v>
      </c>
      <c r="G80" s="536">
        <v>8859.64</v>
      </c>
      <c r="H80" s="623">
        <v>10168.65</v>
      </c>
      <c r="I80" s="702">
        <v>9442.1200000000008</v>
      </c>
      <c r="J80" s="726">
        <v>61073.99</v>
      </c>
      <c r="K80" s="699">
        <v>55000</v>
      </c>
      <c r="L80" s="789">
        <v>0</v>
      </c>
      <c r="M80" s="789">
        <v>46893.91</v>
      </c>
      <c r="N80" s="788">
        <v>6649.65</v>
      </c>
      <c r="O80" s="715">
        <f t="shared" si="1"/>
        <v>53543.560000000005</v>
      </c>
      <c r="P80"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1456.4399999999951</v>
      </c>
      <c r="Q80" s="624">
        <v>55000</v>
      </c>
      <c r="R80"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0" s="727"/>
      <c r="U80" s="153" t="str">
        <f>Table1573939143467598111210144527691011813151217181916456739108121315181954781091112131416151817212223242567891011121314151617181921222325578910111213141516171819202122113[[#This Row],[Code]]</f>
        <v>54745</v>
      </c>
      <c r="W80" s="175"/>
      <c r="X80" s="175"/>
      <c r="Y80" s="175"/>
    </row>
    <row r="81" spans="1:25" ht="39.950000000000003" customHeight="1" x14ac:dyDescent="0.25">
      <c r="A81" s="502" t="s">
        <v>1344</v>
      </c>
      <c r="B81" s="503" t="s">
        <v>1345</v>
      </c>
      <c r="C81" s="156">
        <v>0</v>
      </c>
      <c r="D81" s="156">
        <v>106075</v>
      </c>
      <c r="E81" s="156">
        <v>0</v>
      </c>
      <c r="F81" s="156">
        <v>164339.69</v>
      </c>
      <c r="G81" s="155">
        <v>0</v>
      </c>
      <c r="H81" s="294">
        <v>0</v>
      </c>
      <c r="I81" s="699">
        <v>110000</v>
      </c>
      <c r="J81" s="728">
        <v>-14823.25</v>
      </c>
      <c r="K81" s="699">
        <v>64394.68</v>
      </c>
      <c r="L81" s="789">
        <v>0</v>
      </c>
      <c r="M81" s="789">
        <v>0</v>
      </c>
      <c r="N81" s="788">
        <v>64394.68</v>
      </c>
      <c r="O81" s="715">
        <f t="shared" si="1"/>
        <v>64394.68</v>
      </c>
      <c r="P81"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81" s="624">
        <v>64394.68</v>
      </c>
      <c r="R81"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1" s="727"/>
      <c r="U81" s="153" t="str">
        <f>Table1573939143467598111210144527691011813151217181916456739108121315181954781091112131416151817212223242567891011121314151617181921222325578910111213141516171819202122113[[#This Row],[Code]]</f>
        <v>55045</v>
      </c>
      <c r="W81" s="175"/>
      <c r="X81" s="175"/>
      <c r="Y81" s="175"/>
    </row>
    <row r="82" spans="1:25" ht="21" customHeight="1" x14ac:dyDescent="0.25">
      <c r="A82" s="296">
        <v>55055</v>
      </c>
      <c r="B82" s="504" t="s">
        <v>924</v>
      </c>
      <c r="C82" s="164">
        <v>0</v>
      </c>
      <c r="D82" s="164">
        <v>0</v>
      </c>
      <c r="E82" s="156">
        <v>16776.740000000002</v>
      </c>
      <c r="F82" s="156">
        <v>24926.49</v>
      </c>
      <c r="G82" s="536">
        <v>4595.46</v>
      </c>
      <c r="H82" s="294">
        <v>0</v>
      </c>
      <c r="I82" s="699">
        <v>1204.8599999999999</v>
      </c>
      <c r="J82" s="728">
        <v>-55261.54</v>
      </c>
      <c r="K82" s="699">
        <v>15000</v>
      </c>
      <c r="L82" s="789">
        <v>0</v>
      </c>
      <c r="M82" s="789">
        <v>5701.38</v>
      </c>
      <c r="N82" s="788">
        <v>974.43</v>
      </c>
      <c r="O82" s="715">
        <f t="shared" si="1"/>
        <v>6675.81</v>
      </c>
      <c r="P82"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8324.1899999999987</v>
      </c>
      <c r="Q82" s="624">
        <v>15000</v>
      </c>
      <c r="R82"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2" s="727"/>
      <c r="U82" s="153">
        <f>Table1573939143467598111210144527691011813151217181916456739108121315181954781091112131416151817212223242567891011121314151617181921222325578910111213141516171819202122113[[#This Row],[Code]]</f>
        <v>55055</v>
      </c>
      <c r="W82" s="175"/>
      <c r="X82" s="175"/>
      <c r="Y82" s="175"/>
    </row>
    <row r="83" spans="1:25" ht="22.5" customHeight="1" x14ac:dyDescent="0.25">
      <c r="A83" s="153" t="s">
        <v>1346</v>
      </c>
      <c r="B83" s="154" t="s">
        <v>1347</v>
      </c>
      <c r="C83" s="155">
        <v>33304.199999999997</v>
      </c>
      <c r="D83" s="156">
        <v>22699.4</v>
      </c>
      <c r="E83" s="155">
        <v>196280.95</v>
      </c>
      <c r="F83" s="155">
        <v>3285.65</v>
      </c>
      <c r="G83" s="536">
        <v>46639.42</v>
      </c>
      <c r="H83" s="623">
        <v>271719.40999999997</v>
      </c>
      <c r="I83" s="699">
        <v>1882912.68</v>
      </c>
      <c r="J83" s="728">
        <v>-203495.08</v>
      </c>
      <c r="K83" s="699">
        <v>938000</v>
      </c>
      <c r="L83" s="789">
        <v>0</v>
      </c>
      <c r="M83" s="789">
        <v>442928.83</v>
      </c>
      <c r="N83" s="788">
        <v>25512.35</v>
      </c>
      <c r="O83" s="715">
        <f t="shared" si="1"/>
        <v>468441.18</v>
      </c>
      <c r="P83"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469558.82</v>
      </c>
      <c r="Q83" s="624">
        <v>938000</v>
      </c>
      <c r="R83"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3" s="727"/>
      <c r="U83" s="153" t="str">
        <f>Table1573939143467598111210144527691011813151217181916456739108121315181954781091112131416151817212223242567891011121314151617181921222325578910111213141516171819202122113[[#This Row],[Code]]</f>
        <v>55095</v>
      </c>
      <c r="W83" s="175"/>
      <c r="X83" s="175"/>
      <c r="Y83" s="175"/>
    </row>
    <row r="84" spans="1:25" ht="20.100000000000001" customHeight="1" x14ac:dyDescent="0.25">
      <c r="A84" s="153" t="s">
        <v>1348</v>
      </c>
      <c r="B84" s="154" t="s">
        <v>1349</v>
      </c>
      <c r="C84" s="155">
        <v>8209.8000000000011</v>
      </c>
      <c r="D84" s="156">
        <v>12932.37</v>
      </c>
      <c r="E84" s="155">
        <v>15263.13</v>
      </c>
      <c r="F84" s="155">
        <v>19935.509999999998</v>
      </c>
      <c r="G84" s="536">
        <v>9020.08</v>
      </c>
      <c r="H84" s="623">
        <v>13973.36</v>
      </c>
      <c r="I84" s="699">
        <v>19760.46</v>
      </c>
      <c r="J84" s="728">
        <v>11303.42</v>
      </c>
      <c r="K84" s="699">
        <v>20000</v>
      </c>
      <c r="L84" s="789">
        <v>882.94</v>
      </c>
      <c r="M84" s="789">
        <v>263.39</v>
      </c>
      <c r="N84" s="788">
        <v>5425.01</v>
      </c>
      <c r="O84" s="715">
        <f t="shared" si="1"/>
        <v>6571.34</v>
      </c>
      <c r="P84"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13428.66</v>
      </c>
      <c r="Q84" s="624">
        <v>20000</v>
      </c>
      <c r="R84"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4" s="727"/>
      <c r="U84" s="153" t="str">
        <f>Table1573939143467598111210144527691011813151217181916456739108121315181954781091112131416151817212223242567891011121314151617181921222325578910111213141516171819202122113[[#This Row],[Code]]</f>
        <v>56015</v>
      </c>
      <c r="W84" s="175"/>
      <c r="X84" s="175"/>
      <c r="Y84" s="175"/>
    </row>
    <row r="85" spans="1:25" ht="20.100000000000001" customHeight="1" x14ac:dyDescent="0.25">
      <c r="A85" s="153" t="s">
        <v>1062</v>
      </c>
      <c r="B85" s="154" t="s">
        <v>1061</v>
      </c>
      <c r="C85" s="155">
        <v>53863.899999999994</v>
      </c>
      <c r="D85" s="156">
        <v>50596.81</v>
      </c>
      <c r="E85" s="155">
        <v>65830.179999999993</v>
      </c>
      <c r="F85" s="155">
        <v>41832.519999999997</v>
      </c>
      <c r="G85" s="536">
        <v>44429.49</v>
      </c>
      <c r="H85" s="623">
        <v>60150.400000000001</v>
      </c>
      <c r="I85" s="699">
        <v>64008.87</v>
      </c>
      <c r="J85" s="728">
        <v>141846.85</v>
      </c>
      <c r="K85" s="699">
        <v>77605.320000000007</v>
      </c>
      <c r="L85" s="789">
        <v>0</v>
      </c>
      <c r="M85" s="789">
        <v>3596.02</v>
      </c>
      <c r="N85" s="788">
        <v>43353.59</v>
      </c>
      <c r="O85" s="715">
        <f t="shared" si="1"/>
        <v>46949.609999999993</v>
      </c>
      <c r="P85"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30655.710000000014</v>
      </c>
      <c r="Q85" s="624">
        <v>77605.320000000007</v>
      </c>
      <c r="R85"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5" s="727"/>
      <c r="U85" s="153" t="str">
        <f>Table1573939143467598111210144527691011813151217181916456739108121315181954781091112131416151817212223242567891011121314151617181921222325578910111213141516171819202122113[[#This Row],[Code]]</f>
        <v>56045</v>
      </c>
      <c r="W85" s="175"/>
      <c r="X85" s="175"/>
      <c r="Y85" s="175"/>
    </row>
    <row r="86" spans="1:25" ht="20.100000000000001" customHeight="1" x14ac:dyDescent="0.25">
      <c r="A86" s="153" t="s">
        <v>1057</v>
      </c>
      <c r="B86" s="154" t="s">
        <v>1056</v>
      </c>
      <c r="C86" s="155">
        <v>41715.830000000009</v>
      </c>
      <c r="D86" s="156">
        <v>32999.69</v>
      </c>
      <c r="E86" s="155">
        <v>32775.410000000003</v>
      </c>
      <c r="F86" s="155">
        <v>14084.28</v>
      </c>
      <c r="G86" s="536">
        <v>3272.78</v>
      </c>
      <c r="H86" s="623">
        <v>19966.099999999999</v>
      </c>
      <c r="I86" s="699">
        <v>15696.92</v>
      </c>
      <c r="J86" s="728">
        <v>25498.12</v>
      </c>
      <c r="K86" s="699">
        <v>143133.28</v>
      </c>
      <c r="L86" s="789">
        <v>0</v>
      </c>
      <c r="M86" s="789">
        <v>35063.949999999997</v>
      </c>
      <c r="N86" s="788">
        <v>76844.429999999993</v>
      </c>
      <c r="O86" s="715">
        <f t="shared" si="1"/>
        <v>111908.37999999999</v>
      </c>
      <c r="P86"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31224.900000000009</v>
      </c>
      <c r="Q86" s="624">
        <v>143133.28</v>
      </c>
      <c r="R86"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6" s="727"/>
      <c r="U86" s="153" t="str">
        <f>Table1573939143467598111210144527691011813151217181916456739108121315181954781091112131416151817212223242567891011121314151617181921222325578910111213141516171819202122113[[#This Row],[Code]]</f>
        <v>56055</v>
      </c>
      <c r="W86" s="175"/>
      <c r="X86" s="175"/>
      <c r="Y86" s="175"/>
    </row>
    <row r="87" spans="1:25" ht="20.100000000000001" customHeight="1" x14ac:dyDescent="0.25">
      <c r="A87" s="153">
        <v>56090</v>
      </c>
      <c r="B87" s="538" t="s">
        <v>1617</v>
      </c>
      <c r="C87" s="140"/>
      <c r="D87" s="164"/>
      <c r="E87" s="178">
        <v>0</v>
      </c>
      <c r="F87" s="178">
        <v>0</v>
      </c>
      <c r="G87" s="155">
        <v>0</v>
      </c>
      <c r="H87" s="623">
        <v>3500</v>
      </c>
      <c r="I87" s="699">
        <v>3500</v>
      </c>
      <c r="J87" s="728">
        <v>3500</v>
      </c>
      <c r="K87" s="699">
        <v>3500</v>
      </c>
      <c r="L87" s="789">
        <v>0</v>
      </c>
      <c r="M87" s="789">
        <v>0</v>
      </c>
      <c r="N87" s="788">
        <v>3500</v>
      </c>
      <c r="O87" s="715">
        <f t="shared" si="1"/>
        <v>3500</v>
      </c>
      <c r="P87"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87" s="624">
        <v>3500</v>
      </c>
      <c r="R87"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7" s="727"/>
      <c r="U87" s="153">
        <f>Table1573939143467598111210144527691011813151217181916456739108121315181954781091112131416151817212223242567891011121314151617181921222325578910111213141516171819202122113[[#This Row],[Code]]</f>
        <v>56090</v>
      </c>
      <c r="W87" s="175"/>
      <c r="X87" s="175"/>
      <c r="Y87" s="175"/>
    </row>
    <row r="88" spans="1:25" ht="20.100000000000001" customHeight="1" x14ac:dyDescent="0.25">
      <c r="A88" s="153" t="s">
        <v>324</v>
      </c>
      <c r="B88" s="154" t="s">
        <v>323</v>
      </c>
      <c r="C88" s="155">
        <v>315</v>
      </c>
      <c r="D88" s="156">
        <v>252</v>
      </c>
      <c r="E88" s="155">
        <v>492</v>
      </c>
      <c r="F88" s="155">
        <v>128</v>
      </c>
      <c r="G88" s="536">
        <v>64</v>
      </c>
      <c r="H88" s="623">
        <v>500</v>
      </c>
      <c r="I88" s="699">
        <v>2329.33</v>
      </c>
      <c r="J88" s="728">
        <v>1116.1400000000001</v>
      </c>
      <c r="K88" s="699">
        <v>2562</v>
      </c>
      <c r="L88" s="789">
        <v>0</v>
      </c>
      <c r="M88" s="789">
        <v>0</v>
      </c>
      <c r="N88" s="788">
        <v>0</v>
      </c>
      <c r="O88" s="715">
        <f t="shared" si="1"/>
        <v>0</v>
      </c>
      <c r="P88"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2562</v>
      </c>
      <c r="Q88" s="624">
        <v>2562</v>
      </c>
      <c r="R88"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8" s="727"/>
      <c r="U88" s="153" t="str">
        <f>Table1573939143467598111210144527691011813151217181916456739108121315181954781091112131416151817212223242567891011121314151617181921222325578910111213141516171819202122113[[#This Row],[Code]]</f>
        <v>56115</v>
      </c>
      <c r="W88" s="175"/>
      <c r="X88" s="175"/>
      <c r="Y88" s="175"/>
    </row>
    <row r="89" spans="1:25" ht="20.100000000000001" customHeight="1" x14ac:dyDescent="0.25">
      <c r="A89" s="153">
        <v>56165</v>
      </c>
      <c r="B89" s="538" t="s">
        <v>1488</v>
      </c>
      <c r="C89" s="140"/>
      <c r="D89" s="164"/>
      <c r="E89" s="178">
        <v>0</v>
      </c>
      <c r="F89" s="178">
        <v>0</v>
      </c>
      <c r="G89" s="155">
        <v>0</v>
      </c>
      <c r="H89" s="623">
        <v>5000</v>
      </c>
      <c r="I89" s="699">
        <v>5000</v>
      </c>
      <c r="J89" s="728">
        <v>5000</v>
      </c>
      <c r="K89" s="699">
        <v>5000</v>
      </c>
      <c r="L89" s="789">
        <v>0</v>
      </c>
      <c r="M89" s="789">
        <v>0</v>
      </c>
      <c r="N89" s="788">
        <v>5000</v>
      </c>
      <c r="O89" s="715">
        <f t="shared" si="1"/>
        <v>5000</v>
      </c>
      <c r="P89"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89" s="624">
        <v>5000</v>
      </c>
      <c r="R89"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89" s="727"/>
      <c r="U89" s="153">
        <f>Table1573939143467598111210144527691011813151217181916456739108121315181954781091112131416151817212223242567891011121314151617181921222325578910111213141516171819202122113[[#This Row],[Code]]</f>
        <v>56165</v>
      </c>
      <c r="W89" s="175"/>
      <c r="X89" s="175"/>
      <c r="Y89" s="175"/>
    </row>
    <row r="90" spans="1:25" ht="21.95" customHeight="1" x14ac:dyDescent="0.25">
      <c r="A90" s="153" t="s">
        <v>767</v>
      </c>
      <c r="B90" s="154" t="s">
        <v>1350</v>
      </c>
      <c r="C90" s="155">
        <v>121920.35</v>
      </c>
      <c r="D90" s="156">
        <v>160951.48000000001</v>
      </c>
      <c r="E90" s="155">
        <v>135603.78</v>
      </c>
      <c r="F90" s="155">
        <v>142316.85</v>
      </c>
      <c r="G90" s="536">
        <v>147324.29999999999</v>
      </c>
      <c r="H90" s="623">
        <v>132883.89000000001</v>
      </c>
      <c r="I90" s="699">
        <v>158109.16</v>
      </c>
      <c r="J90" s="728">
        <v>212319.74</v>
      </c>
      <c r="K90" s="699">
        <v>173116</v>
      </c>
      <c r="L90" s="789">
        <v>0</v>
      </c>
      <c r="M90" s="789">
        <v>87648.31</v>
      </c>
      <c r="N90" s="788">
        <v>15710.4</v>
      </c>
      <c r="O90" s="715">
        <f t="shared" si="1"/>
        <v>103358.70999999999</v>
      </c>
      <c r="P90"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69757.290000000008</v>
      </c>
      <c r="Q90" s="624">
        <v>173116</v>
      </c>
      <c r="R90"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90" s="727"/>
      <c r="U90" s="153" t="str">
        <f>Table1573939143467598111210144527691011813151217181916456739108121315181954781091112131416151817212223242567891011121314151617181921222325578910111213141516171819202122113[[#This Row],[Code]]</f>
        <v>56170</v>
      </c>
      <c r="W90" s="175"/>
      <c r="X90" s="175"/>
      <c r="Y90" s="175"/>
    </row>
    <row r="91" spans="1:25" ht="20.100000000000001" customHeight="1" x14ac:dyDescent="0.25">
      <c r="A91" s="153" t="s">
        <v>1351</v>
      </c>
      <c r="B91" s="154" t="s">
        <v>1352</v>
      </c>
      <c r="C91" s="155">
        <v>12066.49</v>
      </c>
      <c r="D91" s="156">
        <v>10840</v>
      </c>
      <c r="E91" s="155">
        <v>9672.24</v>
      </c>
      <c r="F91" s="155">
        <v>9132</v>
      </c>
      <c r="G91" s="536">
        <v>9132</v>
      </c>
      <c r="H91" s="623">
        <v>9402.7000000000007</v>
      </c>
      <c r="I91" s="699">
        <v>9132</v>
      </c>
      <c r="J91" s="728">
        <v>-15516.08</v>
      </c>
      <c r="K91" s="699">
        <v>30388</v>
      </c>
      <c r="L91" s="789">
        <v>0</v>
      </c>
      <c r="M91" s="789">
        <v>0</v>
      </c>
      <c r="N91" s="788">
        <v>2521.25</v>
      </c>
      <c r="O91" s="715">
        <f t="shared" si="1"/>
        <v>2521.25</v>
      </c>
      <c r="P91"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27866.75</v>
      </c>
      <c r="Q91" s="624">
        <v>30388</v>
      </c>
      <c r="R91"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91" s="647" t="s">
        <v>1842</v>
      </c>
      <c r="U91" s="153" t="str">
        <f>Table1573939143467598111210144527691011813151217181916456739108121315181954781091112131416151817212223242567891011121314151617181921222325578910111213141516171819202122113[[#This Row],[Code]]</f>
        <v>56175</v>
      </c>
      <c r="W91" s="175"/>
      <c r="X91" s="175"/>
      <c r="Y91" s="175"/>
    </row>
    <row r="92" spans="1:25" ht="20.100000000000001" customHeight="1" x14ac:dyDescent="0.25">
      <c r="A92" s="153" t="s">
        <v>383</v>
      </c>
      <c r="B92" s="154" t="s">
        <v>382</v>
      </c>
      <c r="C92" s="155">
        <v>9684.4</v>
      </c>
      <c r="D92" s="156">
        <v>4149.8999999999996</v>
      </c>
      <c r="E92" s="155">
        <v>19360.8</v>
      </c>
      <c r="F92" s="155">
        <v>26931.61</v>
      </c>
      <c r="G92" s="536">
        <v>1416.97</v>
      </c>
      <c r="H92" s="623">
        <v>33843.54</v>
      </c>
      <c r="I92" s="699">
        <v>40366.43</v>
      </c>
      <c r="J92" s="728">
        <v>32448.61</v>
      </c>
      <c r="K92" s="699">
        <v>25000</v>
      </c>
      <c r="L92" s="789">
        <v>0</v>
      </c>
      <c r="M92" s="789">
        <v>233.55</v>
      </c>
      <c r="N92" s="788">
        <v>12149.22</v>
      </c>
      <c r="O92" s="715">
        <f t="shared" si="1"/>
        <v>12382.769999999999</v>
      </c>
      <c r="P92"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12617.230000000001</v>
      </c>
      <c r="Q92" s="624">
        <v>25000</v>
      </c>
      <c r="R92"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92" s="167"/>
      <c r="U92" s="153" t="str">
        <f>Table1573939143467598111210144527691011813151217181916456739108121315181954781091112131416151817212223242567891011121314151617181921222325578910111213141516171819202122113[[#This Row],[Code]]</f>
        <v>56180</v>
      </c>
      <c r="W92" s="175"/>
      <c r="X92" s="175"/>
      <c r="Y92" s="175"/>
    </row>
    <row r="93" spans="1:25" ht="21.6" customHeight="1" x14ac:dyDescent="0.25">
      <c r="A93" s="153" t="s">
        <v>927</v>
      </c>
      <c r="B93" s="154" t="s">
        <v>926</v>
      </c>
      <c r="C93" s="155">
        <v>24948.61</v>
      </c>
      <c r="D93" s="156">
        <v>17226.52</v>
      </c>
      <c r="E93" s="155">
        <v>44499.74</v>
      </c>
      <c r="F93" s="155">
        <v>6051.73</v>
      </c>
      <c r="G93" s="536">
        <v>12533.25</v>
      </c>
      <c r="H93" s="623">
        <v>19348.849999999999</v>
      </c>
      <c r="I93" s="699">
        <v>17668.23</v>
      </c>
      <c r="J93" s="728">
        <v>33952.54</v>
      </c>
      <c r="K93" s="699">
        <v>39790</v>
      </c>
      <c r="L93" s="789">
        <v>0</v>
      </c>
      <c r="M93" s="789">
        <v>13643.7</v>
      </c>
      <c r="N93" s="788">
        <v>11335.78</v>
      </c>
      <c r="O93" s="715">
        <f>SUM(L93:N93)</f>
        <v>24979.480000000003</v>
      </c>
      <c r="P93"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14810.519999999997</v>
      </c>
      <c r="Q93" s="624">
        <v>39790</v>
      </c>
      <c r="R93"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93" s="167"/>
      <c r="U93" s="153" t="str">
        <f>Table1573939143467598111210144527691011813151217181916456739108121315181954781091112131416151817212223242567891011121314151617181921222325578910111213141516171819202122113[[#This Row],[Code]]</f>
        <v>59005</v>
      </c>
      <c r="W93" s="175"/>
      <c r="X93" s="175"/>
      <c r="Y93" s="175"/>
    </row>
    <row r="94" spans="1:25" ht="20.100000000000001" customHeight="1" x14ac:dyDescent="0.25">
      <c r="A94" s="153">
        <v>59010</v>
      </c>
      <c r="B94" s="154" t="s">
        <v>1353</v>
      </c>
      <c r="C94" s="155">
        <v>9684.4</v>
      </c>
      <c r="D94" s="156">
        <v>4149.8999999999996</v>
      </c>
      <c r="E94" s="155">
        <v>0</v>
      </c>
      <c r="F94" s="155">
        <v>0</v>
      </c>
      <c r="G94" s="277">
        <v>0</v>
      </c>
      <c r="H94" s="155">
        <v>0</v>
      </c>
      <c r="I94" s="699">
        <v>0</v>
      </c>
      <c r="J94" s="699">
        <v>0</v>
      </c>
      <c r="K94" s="699"/>
      <c r="L94" s="731"/>
      <c r="M94" s="731"/>
      <c r="N94" s="731"/>
      <c r="O94" s="715">
        <f t="shared" ref="O94" si="2">SUM(L94:N94)</f>
        <v>0</v>
      </c>
      <c r="P94" s="709">
        <f>Table1573939143467598111210144527691011813151217181916456739108121315181954781091112131416151817212223242567891011121314151617181921222325578910111213141516171819202122113[[#This Row],[Projected]]-Table1573939143467598111210144527691011813151217181916456739108121315181954781091112131416151817212223242567891011121314151617181921222325578910111213141516171819202122113[[#This Row],[MUNIS: REVENUE Year to Date]]</f>
        <v>0</v>
      </c>
      <c r="Q94" s="624">
        <v>0</v>
      </c>
      <c r="R94" s="625">
        <f>Table1573939143467598111210144527691011813151217181916456739108121315181954781091112131416151817212223242567891011121314151617181921222325578910111213141516171819202122113[[#This Row],[FORECAST]]-Table1573939143467598111210144527691011813151217181916456739108121315181954781091112131416151817212223242567891011121314151617181921222325578910111213141516171819202122113[[#This Row],[Projected]]</f>
        <v>0</v>
      </c>
      <c r="S94" s="167"/>
      <c r="U94" s="153">
        <f>Table1573939143467598111210144527691011813151217181916456739108121315181954781091112131416151817212223242567891011121314151617181921222325578910111213141516171819202122113[[#This Row],[Code]]</f>
        <v>59010</v>
      </c>
      <c r="W94" s="175"/>
      <c r="X94" s="175"/>
      <c r="Y94" s="175"/>
    </row>
    <row r="95" spans="1:25" ht="19.5" customHeight="1" x14ac:dyDescent="0.25">
      <c r="A95" s="162"/>
      <c r="B95" s="163"/>
      <c r="C95" s="155"/>
      <c r="D95" s="156"/>
      <c r="E95" s="178"/>
      <c r="F95" s="167"/>
      <c r="G95" s="167"/>
      <c r="H95" s="167"/>
      <c r="I95" s="141"/>
      <c r="J95" s="141"/>
      <c r="K95" s="141"/>
      <c r="L95" s="174"/>
      <c r="M95" s="174"/>
      <c r="N95" s="174"/>
      <c r="O95" s="174"/>
      <c r="P95" s="436"/>
      <c r="Q95" s="627"/>
      <c r="R95" s="627"/>
      <c r="S95" s="167"/>
      <c r="W95" s="175"/>
      <c r="X95" s="175"/>
      <c r="Y95" s="175"/>
    </row>
    <row r="96" spans="1:25" ht="24" customHeight="1" x14ac:dyDescent="0.25">
      <c r="A96" s="165" t="s">
        <v>1354</v>
      </c>
      <c r="B96" s="158"/>
      <c r="C96" s="159">
        <f>SUM(C34:C93)</f>
        <v>15516169.869999999</v>
      </c>
      <c r="D96" s="159">
        <f>SUM(D34:D93)</f>
        <v>15582769.169999998</v>
      </c>
      <c r="E96" s="159">
        <f t="shared" ref="E96:P96" si="3">SUM(E34:E94)</f>
        <v>18941754.409999989</v>
      </c>
      <c r="F96" s="159">
        <f t="shared" si="3"/>
        <v>17051097.039999999</v>
      </c>
      <c r="G96" s="159">
        <f t="shared" si="3"/>
        <v>19651674.000000004</v>
      </c>
      <c r="H96" s="864">
        <f t="shared" si="3"/>
        <v>21268191.079999994</v>
      </c>
      <c r="I96" s="864">
        <f t="shared" si="3"/>
        <v>22000683.050000004</v>
      </c>
      <c r="J96" s="864">
        <f>SUM(J34:J94)</f>
        <v>25000553.520000007</v>
      </c>
      <c r="K96" s="864">
        <f>SUM(K34:K94)</f>
        <v>25000612.91</v>
      </c>
      <c r="L96" s="864">
        <f t="shared" si="3"/>
        <v>882.94</v>
      </c>
      <c r="M96" s="864">
        <f t="shared" si="3"/>
        <v>4124405.7500000009</v>
      </c>
      <c r="N96" s="864">
        <f>SUM(N34:N94)</f>
        <v>4694471.4000000004</v>
      </c>
      <c r="O96" s="864">
        <f>SUM(O34:O94)</f>
        <v>8819760.0899999999</v>
      </c>
      <c r="P96" s="864">
        <f t="shared" si="3"/>
        <v>16180852.82</v>
      </c>
      <c r="Q96" s="864">
        <f>SUM(Q34:Q94)</f>
        <v>25000613.300000001</v>
      </c>
      <c r="R96" s="871">
        <f>SUM(R34:R94)</f>
        <v>0.39000000047963113</v>
      </c>
      <c r="S96" s="640"/>
      <c r="W96" s="175"/>
      <c r="X96" s="175"/>
      <c r="Y96" s="175"/>
    </row>
    <row r="97" spans="1:31" ht="27" customHeight="1" x14ac:dyDescent="0.25">
      <c r="B97"/>
      <c r="C97" s="166">
        <f t="shared" ref="C97:G97" si="4">C28-C96</f>
        <v>-0.31999999843537807</v>
      </c>
      <c r="D97" s="166">
        <f t="shared" si="4"/>
        <v>0</v>
      </c>
      <c r="E97" s="294">
        <f t="shared" si="4"/>
        <v>1.0900000110268593</v>
      </c>
      <c r="F97" s="166">
        <f t="shared" si="4"/>
        <v>-5.9999998658895493E-2</v>
      </c>
      <c r="G97" s="539">
        <f t="shared" si="4"/>
        <v>-1.0000000037252903</v>
      </c>
      <c r="H97" s="628">
        <f>-(H28-H96)</f>
        <v>836838.07999999449</v>
      </c>
      <c r="I97" s="166">
        <f>I28-I96</f>
        <v>-5.0000004470348358E-2</v>
      </c>
      <c r="J97" s="166">
        <f>J28-J96</f>
        <v>0</v>
      </c>
      <c r="K97" s="166"/>
      <c r="L97" s="167"/>
      <c r="M97" s="167"/>
      <c r="N97" s="167"/>
      <c r="O97" s="166"/>
      <c r="P97" s="299"/>
      <c r="Q97" s="632"/>
      <c r="R97" s="633"/>
      <c r="S97" s="634"/>
      <c r="V97" s="724"/>
      <c r="W97" s="724"/>
      <c r="Y97" s="175"/>
    </row>
    <row r="98" spans="1:31" ht="6.6" customHeight="1" thickBot="1" x14ac:dyDescent="0.3">
      <c r="Y98" s="175"/>
    </row>
    <row r="99" spans="1:31" s="175" customFormat="1" ht="44.45" customHeight="1" thickBot="1" x14ac:dyDescent="0.3">
      <c r="A99"/>
      <c r="B99" s="133"/>
      <c r="C99"/>
      <c r="D99"/>
      <c r="E99"/>
      <c r="F99"/>
      <c r="G99"/>
      <c r="H99" s="629" t="s">
        <v>1788</v>
      </c>
      <c r="I99" s="629" t="s">
        <v>1914</v>
      </c>
      <c r="J99" s="629" t="s">
        <v>1914</v>
      </c>
      <c r="K99" s="796"/>
      <c r="L99"/>
      <c r="M99"/>
      <c r="N99"/>
      <c r="O99"/>
      <c r="P99"/>
      <c r="Q99" s="475">
        <f>Q96-Q43</f>
        <v>20325613.300000001</v>
      </c>
      <c r="R99" s="179"/>
      <c r="S99"/>
      <c r="T99"/>
      <c r="W99" s="309"/>
      <c r="X99"/>
      <c r="Z99"/>
      <c r="AA99"/>
      <c r="AB99"/>
      <c r="AC99"/>
      <c r="AD99"/>
      <c r="AE99"/>
    </row>
    <row r="100" spans="1:31" s="175" customFormat="1" ht="15" customHeight="1" thickBot="1" x14ac:dyDescent="0.3">
      <c r="A100"/>
      <c r="B100" s="133"/>
      <c r="C100"/>
      <c r="D100"/>
      <c r="E100"/>
      <c r="F100"/>
      <c r="G100"/>
      <c r="H100" s="629" t="s">
        <v>1789</v>
      </c>
      <c r="I100" s="629" t="s">
        <v>1789</v>
      </c>
      <c r="J100" s="629" t="s">
        <v>1789</v>
      </c>
      <c r="K100" s="796"/>
      <c r="L100"/>
      <c r="M100"/>
      <c r="N100"/>
      <c r="O100"/>
      <c r="P100"/>
      <c r="Q100" s="531"/>
      <c r="R100" s="179"/>
      <c r="S100"/>
      <c r="T100"/>
      <c r="W100" s="309"/>
      <c r="X100"/>
      <c r="Z100"/>
      <c r="AA100"/>
      <c r="AB100"/>
      <c r="AC100"/>
      <c r="AD100"/>
      <c r="AE100"/>
    </row>
    <row r="101" spans="1:31" s="175" customFormat="1" ht="57.95" customHeight="1" x14ac:dyDescent="0.25">
      <c r="A101"/>
      <c r="B101" s="133"/>
      <c r="C101"/>
      <c r="D101"/>
      <c r="E101"/>
      <c r="F101" s="501" t="s">
        <v>1526</v>
      </c>
      <c r="G101" s="501" t="s">
        <v>1633</v>
      </c>
      <c r="H101" s="630" t="s">
        <v>1790</v>
      </c>
      <c r="I101" s="630" t="s">
        <v>1915</v>
      </c>
      <c r="J101" s="630" t="s">
        <v>2143</v>
      </c>
      <c r="K101" s="797"/>
      <c r="L101"/>
      <c r="M101"/>
      <c r="N101"/>
      <c r="O101"/>
      <c r="P101" s="476"/>
      <c r="Q101" s="635" t="s">
        <v>2060</v>
      </c>
      <c r="R101" s="478"/>
      <c r="S101"/>
      <c r="T101"/>
      <c r="W101" s="309"/>
      <c r="X101"/>
      <c r="Z101"/>
      <c r="AA101"/>
      <c r="AB101"/>
      <c r="AC101"/>
      <c r="AD101"/>
      <c r="AE101"/>
    </row>
    <row r="102" spans="1:31" s="175" customFormat="1" ht="45.75" thickBot="1" x14ac:dyDescent="0.3">
      <c r="A102"/>
      <c r="B102" s="133"/>
      <c r="C102"/>
      <c r="D102"/>
      <c r="E102"/>
      <c r="F102"/>
      <c r="G102"/>
      <c r="H102" s="631" t="s">
        <v>1791</v>
      </c>
      <c r="I102" s="631" t="s">
        <v>1916</v>
      </c>
      <c r="J102" s="631" t="s">
        <v>2144</v>
      </c>
      <c r="K102" s="798"/>
      <c r="L102"/>
      <c r="M102"/>
      <c r="N102" s="277"/>
      <c r="O102"/>
      <c r="P102" s="476"/>
      <c r="Q102" s="635" t="s">
        <v>1795</v>
      </c>
      <c r="R102" s="478"/>
      <c r="S102"/>
      <c r="T102"/>
      <c r="W102" s="309"/>
      <c r="X102"/>
      <c r="Y102" s="22"/>
      <c r="Z102"/>
      <c r="AA102"/>
      <c r="AB102"/>
      <c r="AC102"/>
      <c r="AD102"/>
      <c r="AE102"/>
    </row>
    <row r="103" spans="1:31" s="175" customFormat="1" ht="23.1" customHeight="1" thickBot="1" x14ac:dyDescent="0.3">
      <c r="A103"/>
      <c r="B103" s="133"/>
      <c r="C103"/>
      <c r="D103"/>
      <c r="E103"/>
      <c r="F103"/>
      <c r="G103"/>
      <c r="H103" s="638" t="s">
        <v>1792</v>
      </c>
      <c r="I103" s="638"/>
      <c r="J103"/>
      <c r="K103"/>
      <c r="L103"/>
      <c r="M103"/>
      <c r="N103"/>
      <c r="O103"/>
      <c r="P103"/>
      <c r="Q103" s="636">
        <f>Q30-Q99</f>
        <v>-0.30000000074505806</v>
      </c>
      <c r="R103" s="179"/>
      <c r="S103"/>
      <c r="T103"/>
      <c r="W103" s="309"/>
      <c r="X103"/>
      <c r="Y103" s="22"/>
      <c r="Z103"/>
      <c r="AA103"/>
      <c r="AB103"/>
      <c r="AC103"/>
      <c r="AD103"/>
      <c r="AE103"/>
    </row>
    <row r="104" spans="1:31" s="175" customFormat="1" ht="27.6" customHeight="1" x14ac:dyDescent="0.25">
      <c r="A104"/>
      <c r="B104" s="133"/>
      <c r="C104"/>
      <c r="D104"/>
      <c r="E104"/>
      <c r="F104"/>
      <c r="G104"/>
      <c r="H104" s="638" t="s">
        <v>1793</v>
      </c>
      <c r="I104" s="638"/>
      <c r="J104"/>
      <c r="K104"/>
      <c r="L104"/>
      <c r="M104"/>
      <c r="N104"/>
      <c r="O104"/>
      <c r="P104" s="476"/>
      <c r="Q104" s="477" t="s">
        <v>1796</v>
      </c>
      <c r="R104" s="478"/>
      <c r="S104"/>
      <c r="T104"/>
      <c r="W104" s="309"/>
      <c r="X104"/>
      <c r="Y104" s="22"/>
      <c r="Z104"/>
      <c r="AA104"/>
      <c r="AB104"/>
      <c r="AC104"/>
      <c r="AD104"/>
      <c r="AE104"/>
    </row>
    <row r="105" spans="1:31" s="175" customFormat="1" ht="27.6" customHeight="1" thickBot="1" x14ac:dyDescent="0.3">
      <c r="A105"/>
      <c r="B105" s="133"/>
      <c r="C105"/>
      <c r="D105"/>
      <c r="E105"/>
      <c r="F105"/>
      <c r="G105"/>
      <c r="H105" s="549" t="s">
        <v>1794</v>
      </c>
      <c r="I105" s="549" t="s">
        <v>1917</v>
      </c>
      <c r="J105" s="549" t="s">
        <v>2148</v>
      </c>
      <c r="K105" s="799"/>
      <c r="L105"/>
      <c r="M105"/>
      <c r="N105"/>
      <c r="O105"/>
      <c r="P105" s="476"/>
      <c r="Q105" s="477" t="s">
        <v>1634</v>
      </c>
      <c r="R105" s="478"/>
      <c r="S105"/>
      <c r="T105"/>
      <c r="W105" s="309"/>
      <c r="X105"/>
      <c r="Y105" s="22"/>
      <c r="Z105"/>
      <c r="AA105"/>
      <c r="AB105"/>
      <c r="AC105"/>
      <c r="AD105"/>
      <c r="AE105"/>
    </row>
    <row r="106" spans="1:31" ht="57.75" thickBot="1" x14ac:dyDescent="0.3">
      <c r="J106" s="713" t="s">
        <v>2136</v>
      </c>
      <c r="K106" s="800"/>
    </row>
    <row r="114" spans="1:31" s="175" customFormat="1" x14ac:dyDescent="0.25">
      <c r="A114"/>
      <c r="B114" s="133"/>
      <c r="C114"/>
      <c r="D114"/>
      <c r="E114"/>
      <c r="F114"/>
      <c r="G114"/>
      <c r="H114"/>
      <c r="I114"/>
      <c r="J114"/>
      <c r="K114"/>
      <c r="L114"/>
      <c r="M114"/>
      <c r="N114"/>
      <c r="O114"/>
      <c r="P114"/>
      <c r="Q114" s="179"/>
      <c r="R114" s="179"/>
      <c r="S114"/>
      <c r="T114"/>
      <c r="U114"/>
      <c r="W114" s="309"/>
      <c r="X114"/>
      <c r="Y114" s="22"/>
      <c r="Z114"/>
      <c r="AA114"/>
      <c r="AB114"/>
      <c r="AC114"/>
      <c r="AD114"/>
      <c r="AE114"/>
    </row>
    <row r="115" spans="1:31" s="175" customFormat="1" x14ac:dyDescent="0.25">
      <c r="A115"/>
      <c r="B115" s="133"/>
      <c r="C115"/>
      <c r="D115"/>
      <c r="E115"/>
      <c r="F115"/>
      <c r="G115"/>
      <c r="H115"/>
      <c r="I115"/>
      <c r="J115"/>
      <c r="K115"/>
      <c r="L115"/>
      <c r="M115"/>
      <c r="N115"/>
      <c r="O115"/>
      <c r="P115"/>
      <c r="Q115" s="179"/>
      <c r="R115" s="179"/>
      <c r="S115"/>
      <c r="T115"/>
      <c r="U115"/>
      <c r="W115" s="309"/>
      <c r="X115"/>
      <c r="Y115" s="22"/>
      <c r="Z115"/>
      <c r="AA115"/>
      <c r="AB115"/>
      <c r="AC115"/>
      <c r="AD115"/>
      <c r="AE115"/>
    </row>
  </sheetData>
  <sheetProtection algorithmName="SHA-512" hashValue="MDz/iSI/8bnqY0CG9JH53XCTczq6S3EYOs5uOnXtcxjOmGDZBt+qPJGlDC0mWPwY6FYLMrUi7DVd95/B7qKZxA==" saltValue="DQPWyyv+EZDEhUWsTlxgMw==" spinCount="100000" sheet="1" objects="1" scenarios="1"/>
  <mergeCells count="2">
    <mergeCell ref="A1:S1"/>
    <mergeCell ref="A3:S3"/>
  </mergeCells>
  <conditionalFormatting sqref="Q34:Q94">
    <cfRule type="cellIs" dxfId="20" priority="1" operator="lessThan">
      <formula>0</formula>
    </cfRule>
  </conditionalFormatting>
  <pageMargins left="0.3" right="0.3" top="0.5" bottom="0.5" header="0.3" footer="0.3"/>
  <pageSetup scale="80" orientation="landscape" r:id="rId1"/>
  <headerFooter>
    <oddHeader>&amp;R&amp;P</oddHeader>
    <oddFooter>&amp;C&amp;P&amp;R&amp;D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FF00"/>
  </sheetPr>
  <dimension ref="A1:D48"/>
  <sheetViews>
    <sheetView workbookViewId="0">
      <selection activeCell="F251" sqref="F251"/>
    </sheetView>
  </sheetViews>
  <sheetFormatPr defaultColWidth="9.28515625" defaultRowHeight="15.75" x14ac:dyDescent="0.25"/>
  <cols>
    <col min="1" max="1" width="8.42578125" style="261" customWidth="1"/>
    <col min="2" max="2" width="31" style="261" customWidth="1"/>
    <col min="3" max="16384" width="9.28515625" style="258"/>
  </cols>
  <sheetData>
    <row r="1" spans="1:4" ht="29.25" customHeight="1" x14ac:dyDescent="0.25">
      <c r="A1" s="256" t="s">
        <v>1255</v>
      </c>
      <c r="B1" s="257" t="s">
        <v>1256</v>
      </c>
      <c r="D1" s="259"/>
    </row>
    <row r="2" spans="1:4" x14ac:dyDescent="0.25">
      <c r="A2" s="262">
        <v>801</v>
      </c>
      <c r="B2" s="258" t="s">
        <v>1257</v>
      </c>
    </row>
    <row r="3" spans="1:4" x14ac:dyDescent="0.25">
      <c r="A3" s="260">
        <v>802</v>
      </c>
      <c r="B3" s="258" t="s">
        <v>1258</v>
      </c>
    </row>
    <row r="4" spans="1:4" x14ac:dyDescent="0.25">
      <c r="A4" s="260">
        <v>803</v>
      </c>
      <c r="B4" s="258" t="s">
        <v>1259</v>
      </c>
    </row>
    <row r="5" spans="1:4" x14ac:dyDescent="0.25">
      <c r="A5" s="260">
        <v>804</v>
      </c>
      <c r="B5" s="258" t="s">
        <v>1260</v>
      </c>
    </row>
    <row r="6" spans="1:4" x14ac:dyDescent="0.25">
      <c r="A6" s="260">
        <v>805</v>
      </c>
      <c r="B6" s="258" t="s">
        <v>1261</v>
      </c>
    </row>
    <row r="7" spans="1:4" x14ac:dyDescent="0.25">
      <c r="A7" s="260">
        <v>807</v>
      </c>
      <c r="B7" s="258" t="s">
        <v>1263</v>
      </c>
    </row>
    <row r="8" spans="1:4" x14ac:dyDescent="0.25">
      <c r="A8" s="260">
        <v>808</v>
      </c>
      <c r="B8" s="258" t="s">
        <v>1264</v>
      </c>
    </row>
    <row r="9" spans="1:4" x14ac:dyDescent="0.25">
      <c r="A9" s="260">
        <v>810</v>
      </c>
      <c r="B9" s="258" t="s">
        <v>1265</v>
      </c>
    </row>
    <row r="10" spans="1:4" x14ac:dyDescent="0.25">
      <c r="A10" s="260">
        <v>811</v>
      </c>
      <c r="B10" s="258" t="s">
        <v>1266</v>
      </c>
    </row>
    <row r="11" spans="1:4" x14ac:dyDescent="0.25">
      <c r="A11" s="260">
        <v>812</v>
      </c>
      <c r="B11" s="258" t="s">
        <v>1267</v>
      </c>
    </row>
    <row r="12" spans="1:4" x14ac:dyDescent="0.25">
      <c r="A12" s="260">
        <v>813</v>
      </c>
      <c r="B12" s="258" t="s">
        <v>1268</v>
      </c>
    </row>
    <row r="13" spans="1:4" x14ac:dyDescent="0.25">
      <c r="A13" s="260">
        <v>814</v>
      </c>
      <c r="B13" s="258" t="s">
        <v>1269</v>
      </c>
    </row>
    <row r="14" spans="1:4" x14ac:dyDescent="0.25">
      <c r="A14" s="260">
        <v>815</v>
      </c>
      <c r="B14" s="258" t="s">
        <v>1270</v>
      </c>
    </row>
    <row r="15" spans="1:4" x14ac:dyDescent="0.25">
      <c r="A15" s="260">
        <v>816</v>
      </c>
      <c r="B15" s="258" t="s">
        <v>1271</v>
      </c>
    </row>
    <row r="16" spans="1:4" x14ac:dyDescent="0.25">
      <c r="A16" s="260">
        <v>817</v>
      </c>
      <c r="B16" s="258" t="s">
        <v>1272</v>
      </c>
    </row>
    <row r="17" spans="1:2" x14ac:dyDescent="0.25">
      <c r="A17" s="260">
        <v>818</v>
      </c>
      <c r="B17" s="258" t="s">
        <v>1262</v>
      </c>
    </row>
    <row r="18" spans="1:2" x14ac:dyDescent="0.25">
      <c r="A18" s="260">
        <v>820</v>
      </c>
      <c r="B18" s="258" t="s">
        <v>1273</v>
      </c>
    </row>
    <row r="19" spans="1:2" x14ac:dyDescent="0.25">
      <c r="A19" s="260">
        <v>821</v>
      </c>
      <c r="B19" s="258" t="s">
        <v>1274</v>
      </c>
    </row>
    <row r="20" spans="1:2" x14ac:dyDescent="0.25">
      <c r="A20" s="260">
        <v>822</v>
      </c>
      <c r="B20" s="258" t="s">
        <v>1275</v>
      </c>
    </row>
    <row r="21" spans="1:2" x14ac:dyDescent="0.25">
      <c r="A21" s="260">
        <v>825</v>
      </c>
      <c r="B21" s="258" t="s">
        <v>1276</v>
      </c>
    </row>
    <row r="22" spans="1:2" x14ac:dyDescent="0.25">
      <c r="A22" s="260">
        <v>826</v>
      </c>
      <c r="B22" s="258" t="s">
        <v>1277</v>
      </c>
    </row>
    <row r="23" spans="1:2" x14ac:dyDescent="0.25">
      <c r="A23" s="260">
        <v>828</v>
      </c>
      <c r="B23" s="258" t="s">
        <v>1278</v>
      </c>
    </row>
    <row r="24" spans="1:2" x14ac:dyDescent="0.25">
      <c r="A24" s="260">
        <v>830</v>
      </c>
      <c r="B24" s="258" t="s">
        <v>1279</v>
      </c>
    </row>
    <row r="25" spans="1:2" x14ac:dyDescent="0.25">
      <c r="A25" s="260">
        <v>831</v>
      </c>
      <c r="B25" s="258" t="s">
        <v>1280</v>
      </c>
    </row>
    <row r="26" spans="1:2" x14ac:dyDescent="0.25">
      <c r="A26" s="260">
        <v>832</v>
      </c>
      <c r="B26" s="258" t="s">
        <v>1281</v>
      </c>
    </row>
    <row r="27" spans="1:2" x14ac:dyDescent="0.25">
      <c r="A27" s="260">
        <v>836</v>
      </c>
      <c r="B27" s="258" t="s">
        <v>1282</v>
      </c>
    </row>
    <row r="28" spans="1:2" x14ac:dyDescent="0.25">
      <c r="A28" s="260">
        <v>837</v>
      </c>
      <c r="B28" s="258" t="s">
        <v>1283</v>
      </c>
    </row>
    <row r="29" spans="1:2" x14ac:dyDescent="0.25">
      <c r="A29" s="260">
        <v>839</v>
      </c>
      <c r="B29" s="258" t="s">
        <v>1284</v>
      </c>
    </row>
    <row r="30" spans="1:2" x14ac:dyDescent="0.25">
      <c r="A30" s="260">
        <v>840</v>
      </c>
      <c r="B30" s="258" t="s">
        <v>1285</v>
      </c>
    </row>
    <row r="31" spans="1:2" x14ac:dyDescent="0.25">
      <c r="A31" s="260">
        <v>841</v>
      </c>
      <c r="B31" s="258" t="s">
        <v>1286</v>
      </c>
    </row>
    <row r="32" spans="1:2" x14ac:dyDescent="0.25">
      <c r="A32" s="260">
        <v>842</v>
      </c>
      <c r="B32" s="258" t="s">
        <v>1287</v>
      </c>
    </row>
    <row r="33" spans="1:2" x14ac:dyDescent="0.25">
      <c r="A33" s="260">
        <v>844</v>
      </c>
      <c r="B33" s="258" t="s">
        <v>1288</v>
      </c>
    </row>
    <row r="34" spans="1:2" x14ac:dyDescent="0.25">
      <c r="A34" s="260">
        <v>845</v>
      </c>
      <c r="B34" s="258" t="s">
        <v>1289</v>
      </c>
    </row>
    <row r="35" spans="1:2" x14ac:dyDescent="0.25">
      <c r="A35" s="260">
        <v>846</v>
      </c>
      <c r="B35" s="258" t="s">
        <v>1290</v>
      </c>
    </row>
    <row r="36" spans="1:2" x14ac:dyDescent="0.25">
      <c r="A36" s="260">
        <v>854</v>
      </c>
      <c r="B36" s="258" t="s">
        <v>1291</v>
      </c>
    </row>
    <row r="37" spans="1:2" x14ac:dyDescent="0.25">
      <c r="A37" s="260">
        <v>861</v>
      </c>
      <c r="B37" s="258" t="s">
        <v>1292</v>
      </c>
    </row>
    <row r="38" spans="1:2" x14ac:dyDescent="0.25">
      <c r="A38" s="260">
        <v>862</v>
      </c>
      <c r="B38" s="258" t="s">
        <v>1293</v>
      </c>
    </row>
    <row r="39" spans="1:2" x14ac:dyDescent="0.25">
      <c r="A39" s="260">
        <v>863</v>
      </c>
      <c r="B39" s="258" t="s">
        <v>1294</v>
      </c>
    </row>
    <row r="40" spans="1:2" x14ac:dyDescent="0.25">
      <c r="A40" s="260">
        <v>864</v>
      </c>
      <c r="B40" s="258" t="s">
        <v>137</v>
      </c>
    </row>
    <row r="41" spans="1:2" x14ac:dyDescent="0.25">
      <c r="A41" s="260">
        <v>879</v>
      </c>
      <c r="B41" s="258" t="s">
        <v>1295</v>
      </c>
    </row>
    <row r="42" spans="1:2" x14ac:dyDescent="0.25">
      <c r="A42" s="260">
        <v>889</v>
      </c>
      <c r="B42" s="258" t="s">
        <v>1296</v>
      </c>
    </row>
    <row r="43" spans="1:2" x14ac:dyDescent="0.25">
      <c r="A43" s="260">
        <v>891</v>
      </c>
      <c r="B43" s="258" t="s">
        <v>1297</v>
      </c>
    </row>
    <row r="44" spans="1:2" x14ac:dyDescent="0.25">
      <c r="A44" s="260">
        <v>895</v>
      </c>
      <c r="B44" s="258" t="s">
        <v>148</v>
      </c>
    </row>
    <row r="45" spans="1:2" x14ac:dyDescent="0.25">
      <c r="A45" s="260">
        <v>905</v>
      </c>
      <c r="B45" s="258" t="s">
        <v>1298</v>
      </c>
    </row>
    <row r="46" spans="1:2" x14ac:dyDescent="0.25">
      <c r="A46" s="260">
        <v>984</v>
      </c>
      <c r="B46" s="258" t="s">
        <v>1299</v>
      </c>
    </row>
    <row r="47" spans="1:2" x14ac:dyDescent="0.25">
      <c r="A47" s="260">
        <v>988</v>
      </c>
      <c r="B47" s="258" t="s">
        <v>1300</v>
      </c>
    </row>
    <row r="48" spans="1:2" x14ac:dyDescent="0.25">
      <c r="A48" s="260"/>
    </row>
  </sheetData>
  <sheetProtection algorithmName="SHA-512" hashValue="PZcUDXThMv184TswP5SfRr1byh1vL7i6aqli5lWvPsVSa9/fGZZfKUPEXO+lgLHbqOtpj+7iiULSS2689VCOfw==" saltValue="VJZcZk+x1/C5Oj0iRn2OKw==" spinCount="100000" sheet="1" objects="1" scenarios="1" selectLockedCells="1" sort="0" autoFilter="0" selectUnlockedCells="1"/>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0CF1D8972E7241AD802F5E2E11D4B8" ma:contentTypeVersion="16" ma:contentTypeDescription="Create a new document." ma:contentTypeScope="" ma:versionID="7d811272c094e8adc35c9a3aed17d251">
  <xsd:schema xmlns:xsd="http://www.w3.org/2001/XMLSchema" xmlns:xs="http://www.w3.org/2001/XMLSchema" xmlns:p="http://schemas.microsoft.com/office/2006/metadata/properties" xmlns:ns2="927e5ee5-d266-49e7-846d-2667ca269898" xmlns:ns3="36067d21-28b2-450e-bbb2-f1565603fe1e" targetNamespace="http://schemas.microsoft.com/office/2006/metadata/properties" ma:root="true" ma:fieldsID="d2b694d34df73261dcca881be6b35ef4" ns2:_="" ns3:_="">
    <xsd:import namespace="927e5ee5-d266-49e7-846d-2667ca269898"/>
    <xsd:import namespace="36067d21-28b2-450e-bbb2-f1565603fe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7e5ee5-d266-49e7-846d-2667ca2698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b7ee510-cd1a-41b7-a0b3-bf3aee23275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067d21-28b2-450e-bbb2-f1565603fe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23fec07-06df-44dc-adea-0be98cfa05da}" ma:internalName="TaxCatchAll" ma:showField="CatchAllData" ma:web="36067d21-28b2-450e-bbb2-f1565603fe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27e5ee5-d266-49e7-846d-2667ca269898">
      <Terms xmlns="http://schemas.microsoft.com/office/infopath/2007/PartnerControls"/>
    </lcf76f155ced4ddcb4097134ff3c332f>
    <TaxCatchAll xmlns="36067d21-28b2-450e-bbb2-f1565603fe1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41FEA2-4E3A-46F7-AD37-3256EE9FE2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7e5ee5-d266-49e7-846d-2667ca269898"/>
    <ds:schemaRef ds:uri="36067d21-28b2-450e-bbb2-f1565603fe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1A3724-A699-4017-A206-95E10CEE2490}">
  <ds:schemaRefs>
    <ds:schemaRef ds:uri="36067d21-28b2-450e-bbb2-f1565603fe1e"/>
    <ds:schemaRef ds:uri="http://purl.org/dc/terms/"/>
    <ds:schemaRef ds:uri="927e5ee5-d266-49e7-846d-2667ca269898"/>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8AE9529-6169-478C-90E7-6C68802139E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Oper Budget Approp</vt:lpstr>
      <vt:lpstr>2 OPBUD Summary</vt:lpstr>
      <vt:lpstr>3 OPBUD_Detail</vt:lpstr>
      <vt:lpstr>4 GRANTS</vt:lpstr>
      <vt:lpstr>5 Grant Profile</vt:lpstr>
      <vt:lpstr>6 FNS Budget</vt:lpstr>
      <vt:lpstr>SchLocTable</vt:lpstr>
      <vt:lpstr>'1 Oper Budget Approp'!Print_Area</vt:lpstr>
      <vt:lpstr>'4 GRANTS'!Print_Area</vt:lpstr>
      <vt:lpstr>'5 Grant Profile'!Print_Area</vt:lpstr>
      <vt:lpstr>'6 FNS Budget'!Print_Area</vt:lpstr>
      <vt:lpstr>'1 Oper Budget Approp'!Print_Titles</vt:lpstr>
      <vt:lpstr>'2 OPBUD Summary'!Print_Titles</vt:lpstr>
      <vt:lpstr>'4 GRANTS'!Print_Titles</vt:lpstr>
      <vt:lpstr>'5 Grant Profile'!Print_Titles</vt:lpstr>
      <vt:lpstr>'6 FNS Budget'!Print_Titles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Marlene</dc:creator>
  <cp:keywords/>
  <dc:description/>
  <cp:lastModifiedBy>Nkwo, Nestor</cp:lastModifiedBy>
  <cp:revision/>
  <cp:lastPrinted>2023-03-16T17:34:09Z</cp:lastPrinted>
  <dcterms:created xsi:type="dcterms:W3CDTF">2012-06-16T20:59:40Z</dcterms:created>
  <dcterms:modified xsi:type="dcterms:W3CDTF">2025-03-10T15:34:47Z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0x010100520CF1D8972E7241AD802F5E2E11D4B8</vt:lpwstr>
  </property>
  <property fmtid="{D5CDD505-2E9C-101B-9397-08002B2CF9AE}" pid="3" name="TriggerFlowInfo">
    <vt:lpwstr/>
  </property>
  <property fmtid="{D5CDD505-2E9C-101B-9397-08002B2CF9AE}" pid="4" name="MediaServiceImageTags">
    <vt:lpwstr/>
  </property>
</Properties>
</file>